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bruiker\Documents\Wikiwijs\week 6\"/>
    </mc:Choice>
  </mc:AlternateContent>
  <bookViews>
    <workbookView xWindow="0" yWindow="0" windowWidth="20490" windowHeight="7755" tabRatio="847" firstSheet="2" activeTab="5"/>
  </bookViews>
  <sheets>
    <sheet name="Referentie" sheetId="6" state="hidden" r:id="rId1"/>
    <sheet name="Nieuwe" sheetId="15" state="hidden" r:id="rId2"/>
    <sheet name="Grafieken" sheetId="16" r:id="rId3"/>
    <sheet name="zoninstr" sheetId="5" state="hidden" r:id="rId4"/>
    <sheet name="jr_bel_duurkr" sheetId="9" state="hidden" r:id="rId5"/>
    <sheet name="Energiebalans" sheetId="17" r:id="rId6"/>
    <sheet name="kosten" sheetId="10" state="hidden" r:id="rId7"/>
  </sheets>
  <definedNames>
    <definedName name="_xlnm._FilterDatabase" localSheetId="0" hidden="1">Referentie!$F$5:$F$7</definedName>
    <definedName name="_xlnm.Print_Area" localSheetId="5">Energiebalans!$A$1:$K$32</definedName>
    <definedName name="_xlnm.Print_Area" localSheetId="1">Nieuwe!$1:$1048576</definedName>
    <definedName name="_xlnm.Print_Area" localSheetId="0">Referentie!$1:$1048576</definedName>
    <definedName name="Elektra_ref">Referentie!$B$21</definedName>
    <definedName name="Hv_gas">kosten!$F$2</definedName>
    <definedName name="personen_ref">Referentie!$B$20</definedName>
  </definedNames>
  <calcPr calcId="152511"/>
</workbook>
</file>

<file path=xl/calcChain.xml><?xml version="1.0" encoding="utf-8"?>
<calcChain xmlns="http://schemas.openxmlformats.org/spreadsheetml/2006/main">
  <c r="S32" i="17" l="1"/>
  <c r="S30" i="17"/>
  <c r="S29" i="17"/>
  <c r="O28" i="17"/>
  <c r="B20" i="6"/>
  <c r="B70" i="6" s="1"/>
  <c r="E28" i="17"/>
  <c r="E29" i="17"/>
  <c r="I29" i="17"/>
  <c r="E30" i="17"/>
  <c r="I30" i="17"/>
  <c r="I32" i="17"/>
  <c r="E70" i="6"/>
  <c r="B8" i="6"/>
  <c r="B9" i="6"/>
  <c r="B14" i="6"/>
  <c r="C33" i="6" s="1"/>
  <c r="D33" i="6" s="1"/>
  <c r="E33" i="6" s="1"/>
  <c r="B12" i="6"/>
  <c r="B16" i="6"/>
  <c r="C34" i="6" s="1"/>
  <c r="D34" i="6" s="1"/>
  <c r="B6" i="6"/>
  <c r="B10" i="6"/>
  <c r="B11" i="6"/>
  <c r="B15" i="6"/>
  <c r="C35" i="6" s="1"/>
  <c r="D35" i="6" s="1"/>
  <c r="B17" i="6"/>
  <c r="D36" i="6" s="1"/>
  <c r="B7" i="6"/>
  <c r="G1" i="9" s="1"/>
  <c r="E12" i="9" s="1"/>
  <c r="R12" i="9" s="1"/>
  <c r="B18" i="6"/>
  <c r="E47" i="6" s="1"/>
  <c r="F47" i="6" s="1"/>
  <c r="B19" i="6"/>
  <c r="B54" i="6" s="1"/>
  <c r="B21" i="6"/>
  <c r="D71" i="6" s="1"/>
  <c r="F71" i="6" s="1"/>
  <c r="I8" i="9" s="1"/>
  <c r="B13" i="6"/>
  <c r="C63" i="6" s="1"/>
  <c r="B18" i="5"/>
  <c r="B19" i="5" s="1"/>
  <c r="C18" i="5"/>
  <c r="C19" i="5" s="1"/>
  <c r="D18" i="5"/>
  <c r="D19" i="5" s="1"/>
  <c r="E18" i="5"/>
  <c r="E19" i="5" s="1"/>
  <c r="F18" i="5"/>
  <c r="F19" i="5" s="1"/>
  <c r="G18" i="5"/>
  <c r="G19" i="5" s="1"/>
  <c r="H18" i="5"/>
  <c r="H19" i="5" s="1"/>
  <c r="I18" i="5"/>
  <c r="I19" i="5" s="1"/>
  <c r="J18" i="5"/>
  <c r="J19" i="5" s="1"/>
  <c r="C5" i="10"/>
  <c r="B8" i="15"/>
  <c r="B9" i="15"/>
  <c r="B14" i="15"/>
  <c r="C33" i="15" s="1"/>
  <c r="D33" i="15" s="1"/>
  <c r="E33" i="15" s="1"/>
  <c r="B12" i="15"/>
  <c r="B16" i="15"/>
  <c r="C34" i="15" s="1"/>
  <c r="D34" i="15" s="1"/>
  <c r="B6" i="15"/>
  <c r="B10" i="15"/>
  <c r="B11" i="15"/>
  <c r="B15" i="15"/>
  <c r="C35" i="15" s="1"/>
  <c r="D35" i="15" s="1"/>
  <c r="B17" i="15"/>
  <c r="D36" i="15" s="1"/>
  <c r="B7" i="15"/>
  <c r="G34" i="9" s="1"/>
  <c r="E49" i="9" s="1"/>
  <c r="B18" i="15"/>
  <c r="E47" i="15" s="1"/>
  <c r="F47" i="15" s="1"/>
  <c r="B19" i="15"/>
  <c r="B54" i="15" s="1"/>
  <c r="B21" i="15"/>
  <c r="D71" i="15" s="1"/>
  <c r="F71" i="15" s="1"/>
  <c r="I49" i="9" s="1"/>
  <c r="B20" i="15"/>
  <c r="B70" i="15" s="1"/>
  <c r="F70" i="15" s="1"/>
  <c r="J50" i="9" s="1"/>
  <c r="E70" i="15"/>
  <c r="B13" i="15"/>
  <c r="C63" i="15" s="1"/>
  <c r="B55" i="9"/>
  <c r="B54" i="9" s="1"/>
  <c r="B53" i="9" s="1"/>
  <c r="B52" i="9" s="1"/>
  <c r="B51" i="9" s="1"/>
  <c r="B50" i="9" s="1"/>
  <c r="B49" i="9" s="1"/>
  <c r="B48" i="9" s="1"/>
  <c r="B47" i="9" s="1"/>
  <c r="B46" i="9" s="1"/>
  <c r="B45" i="9" s="1"/>
  <c r="B44" i="9" s="1"/>
  <c r="B43" i="9" s="1"/>
  <c r="B42" i="9" s="1"/>
  <c r="B41" i="9" s="1"/>
  <c r="B20" i="9"/>
  <c r="B19" i="9" s="1"/>
  <c r="B18" i="9" s="1"/>
  <c r="B17" i="9" s="1"/>
  <c r="B16" i="9" s="1"/>
  <c r="B15" i="9" s="1"/>
  <c r="B14" i="9" s="1"/>
  <c r="B13" i="9" s="1"/>
  <c r="B12" i="9" s="1"/>
  <c r="B11" i="9" s="1"/>
  <c r="B10" i="9" s="1"/>
  <c r="B9" i="9" s="1"/>
  <c r="B8" i="9" s="1"/>
  <c r="B7" i="9" s="1"/>
  <c r="B6" i="9" s="1"/>
  <c r="C27" i="10"/>
  <c r="C35" i="10" s="1"/>
  <c r="F15" i="10"/>
  <c r="G15" i="10" s="1"/>
  <c r="G36" i="10" s="1"/>
  <c r="F13" i="10"/>
  <c r="F14" i="10"/>
  <c r="K25" i="10"/>
  <c r="A35" i="10"/>
  <c r="B35" i="10"/>
  <c r="A34" i="10"/>
  <c r="B34" i="10"/>
  <c r="C36" i="10" l="1"/>
  <c r="F36" i="10" s="1"/>
  <c r="K19" i="5"/>
  <c r="F34" i="10"/>
  <c r="J36" i="10"/>
  <c r="C34" i="10"/>
  <c r="F35" i="10"/>
  <c r="M35" i="17"/>
  <c r="M34" i="17"/>
  <c r="K60" i="9"/>
  <c r="R30" i="17" s="1"/>
  <c r="K59" i="9"/>
  <c r="R29" i="17" s="1"/>
  <c r="J52" i="9"/>
  <c r="J54" i="9"/>
  <c r="E44" i="9"/>
  <c r="R44" i="9" s="1"/>
  <c r="E46" i="9"/>
  <c r="R46" i="9" s="1"/>
  <c r="K24" i="9"/>
  <c r="H29" i="17" s="1"/>
  <c r="G49" i="9"/>
  <c r="U49" i="9" s="1"/>
  <c r="E48" i="9"/>
  <c r="G48" i="9" s="1"/>
  <c r="U48" i="9" s="1"/>
  <c r="E42" i="9"/>
  <c r="R42" i="9" s="1"/>
  <c r="E50" i="9"/>
  <c r="R50" i="9" s="1"/>
  <c r="J55" i="9"/>
  <c r="E43" i="9"/>
  <c r="R43" i="9" s="1"/>
  <c r="E47" i="9"/>
  <c r="G47" i="9" s="1"/>
  <c r="U47" i="9" s="1"/>
  <c r="J51" i="9"/>
  <c r="E41" i="9"/>
  <c r="E45" i="9"/>
  <c r="G45" i="9" s="1"/>
  <c r="U45" i="9" s="1"/>
  <c r="J53" i="9"/>
  <c r="F70" i="6"/>
  <c r="F72" i="6" s="1"/>
  <c r="C34" i="17"/>
  <c r="F72" i="15"/>
  <c r="I42" i="9"/>
  <c r="I44" i="9"/>
  <c r="I46" i="9"/>
  <c r="I48" i="9"/>
  <c r="I50" i="9"/>
  <c r="R49" i="9"/>
  <c r="C35" i="17"/>
  <c r="I41" i="9"/>
  <c r="I43" i="9"/>
  <c r="I45" i="9"/>
  <c r="I47" i="9"/>
  <c r="B63" i="15"/>
  <c r="F63" i="15" s="1"/>
  <c r="B63" i="6"/>
  <c r="F63" i="6" s="1"/>
  <c r="I6" i="9"/>
  <c r="I7" i="9"/>
  <c r="I11" i="9"/>
  <c r="I15" i="9"/>
  <c r="I19" i="9"/>
  <c r="I9" i="9"/>
  <c r="I13" i="9"/>
  <c r="I17" i="9"/>
  <c r="I10" i="9"/>
  <c r="I14" i="9"/>
  <c r="I18" i="9"/>
  <c r="I20" i="9"/>
  <c r="I12" i="9"/>
  <c r="I16" i="9"/>
  <c r="B34" i="15"/>
  <c r="F34" i="15" s="1"/>
  <c r="B33" i="15"/>
  <c r="B25" i="15"/>
  <c r="B26" i="15" s="1"/>
  <c r="C54" i="15" s="1"/>
  <c r="D54" i="15" s="1"/>
  <c r="F54" i="15" s="1"/>
  <c r="E7" i="9"/>
  <c r="R7" i="9" s="1"/>
  <c r="E11" i="9"/>
  <c r="R11" i="9" s="1"/>
  <c r="E15" i="9"/>
  <c r="R15" i="9" s="1"/>
  <c r="E19" i="9"/>
  <c r="R19" i="9" s="1"/>
  <c r="E9" i="9"/>
  <c r="R9" i="9" s="1"/>
  <c r="E13" i="9"/>
  <c r="R13" i="9" s="1"/>
  <c r="E17" i="9"/>
  <c r="R17" i="9" s="1"/>
  <c r="E6" i="9"/>
  <c r="R6" i="9" s="1"/>
  <c r="E10" i="9"/>
  <c r="E14" i="9"/>
  <c r="E18" i="9"/>
  <c r="E8" i="9"/>
  <c r="R8" i="9" s="1"/>
  <c r="E16" i="9"/>
  <c r="R16" i="9" s="1"/>
  <c r="E20" i="9"/>
  <c r="R20" i="9" s="1"/>
  <c r="B27" i="6"/>
  <c r="J41" i="9"/>
  <c r="J42" i="9"/>
  <c r="J43" i="9"/>
  <c r="J44" i="9"/>
  <c r="J45" i="9"/>
  <c r="J46" i="9"/>
  <c r="J47" i="9"/>
  <c r="J48" i="9"/>
  <c r="J49" i="9"/>
  <c r="I55" i="9"/>
  <c r="I54" i="9"/>
  <c r="I53" i="9"/>
  <c r="I52" i="9"/>
  <c r="I51" i="9"/>
  <c r="E54" i="9"/>
  <c r="R54" i="9" s="1"/>
  <c r="E53" i="9"/>
  <c r="R53" i="9" s="1"/>
  <c r="E52" i="9"/>
  <c r="R52" i="9" s="1"/>
  <c r="E51" i="9"/>
  <c r="R51" i="9" s="1"/>
  <c r="E55" i="9"/>
  <c r="R55" i="9" s="1"/>
  <c r="G12" i="9"/>
  <c r="U12" i="9" s="1"/>
  <c r="B27" i="15"/>
  <c r="B34" i="6"/>
  <c r="F34" i="6" s="1"/>
  <c r="B33" i="6"/>
  <c r="B25" i="6"/>
  <c r="B26" i="6" s="1"/>
  <c r="C54" i="6" s="1"/>
  <c r="D54" i="6" s="1"/>
  <c r="F54" i="6" s="1"/>
  <c r="K25" i="9"/>
  <c r="H30" i="17" s="1"/>
  <c r="G50" i="9" l="1"/>
  <c r="U50" i="9" s="1"/>
  <c r="K62" i="9"/>
  <c r="J7" i="9"/>
  <c r="G44" i="9"/>
  <c r="U44" i="9" s="1"/>
  <c r="R47" i="9"/>
  <c r="J6" i="9"/>
  <c r="J14" i="9"/>
  <c r="J10" i="9"/>
  <c r="G9" i="9"/>
  <c r="U9" i="9" s="1"/>
  <c r="J8" i="9"/>
  <c r="G46" i="9"/>
  <c r="U46" i="9" s="1"/>
  <c r="R48" i="9"/>
  <c r="J15" i="9"/>
  <c r="J12" i="9"/>
  <c r="G7" i="9"/>
  <c r="U7" i="9" s="1"/>
  <c r="G15" i="9"/>
  <c r="U15" i="9" s="1"/>
  <c r="G42" i="9"/>
  <c r="U42" i="9" s="1"/>
  <c r="J11" i="9"/>
  <c r="J20" i="9"/>
  <c r="G16" i="9"/>
  <c r="U16" i="9" s="1"/>
  <c r="G17" i="9"/>
  <c r="U17" i="9" s="1"/>
  <c r="R45" i="9"/>
  <c r="G43" i="9"/>
  <c r="U43" i="9" s="1"/>
  <c r="J19" i="9"/>
  <c r="J18" i="9"/>
  <c r="J16" i="9"/>
  <c r="G20" i="9"/>
  <c r="U20" i="9" s="1"/>
  <c r="G41" i="9"/>
  <c r="U41" i="9" s="1"/>
  <c r="R41" i="9"/>
  <c r="J13" i="9"/>
  <c r="J17" i="9"/>
  <c r="J9" i="9"/>
  <c r="G11" i="9"/>
  <c r="U11" i="9" s="1"/>
  <c r="G19" i="9"/>
  <c r="U19" i="9" s="1"/>
  <c r="H55" i="9"/>
  <c r="V55" i="9" s="1"/>
  <c r="H50" i="9"/>
  <c r="V50" i="9" s="1"/>
  <c r="H49" i="9"/>
  <c r="V49" i="9" s="1"/>
  <c r="H48" i="9"/>
  <c r="V48" i="9" s="1"/>
  <c r="H47" i="9"/>
  <c r="V47" i="9" s="1"/>
  <c r="H46" i="9"/>
  <c r="V46" i="9" s="1"/>
  <c r="H45" i="9"/>
  <c r="V45" i="9" s="1"/>
  <c r="H44" i="9"/>
  <c r="V44" i="9" s="1"/>
  <c r="H43" i="9"/>
  <c r="V43" i="9" s="1"/>
  <c r="H42" i="9"/>
  <c r="V42" i="9" s="1"/>
  <c r="H41" i="9"/>
  <c r="V41" i="9" s="1"/>
  <c r="H54" i="9"/>
  <c r="V54" i="9" s="1"/>
  <c r="H53" i="9"/>
  <c r="V53" i="9" s="1"/>
  <c r="H52" i="9"/>
  <c r="V52" i="9" s="1"/>
  <c r="H51" i="9"/>
  <c r="V51" i="9" s="1"/>
  <c r="G52" i="9"/>
  <c r="U52" i="9" s="1"/>
  <c r="G14" i="9"/>
  <c r="U14" i="9" s="1"/>
  <c r="R14" i="9"/>
  <c r="K6" i="9"/>
  <c r="K10" i="9"/>
  <c r="K14" i="9"/>
  <c r="K18" i="9"/>
  <c r="K8" i="9"/>
  <c r="K12" i="9"/>
  <c r="W12" i="9" s="1"/>
  <c r="K16" i="9"/>
  <c r="K20" i="9"/>
  <c r="K9" i="9"/>
  <c r="K13" i="9"/>
  <c r="K17" i="9"/>
  <c r="K11" i="9"/>
  <c r="K19" i="9"/>
  <c r="K7" i="9"/>
  <c r="F76" i="6"/>
  <c r="K15" i="9"/>
  <c r="B36" i="15"/>
  <c r="F36" i="15" s="1"/>
  <c r="B35" i="15"/>
  <c r="F35" i="15" s="1"/>
  <c r="G54" i="9"/>
  <c r="U54" i="9" s="1"/>
  <c r="F33" i="6"/>
  <c r="K27" i="9"/>
  <c r="G8" i="9"/>
  <c r="U8" i="9" s="1"/>
  <c r="G6" i="9"/>
  <c r="U6" i="9" s="1"/>
  <c r="B36" i="6"/>
  <c r="F36" i="6" s="1"/>
  <c r="B35" i="6"/>
  <c r="F35" i="6" s="1"/>
  <c r="G53" i="9"/>
  <c r="U53" i="9" s="1"/>
  <c r="R10" i="9"/>
  <c r="G10" i="9"/>
  <c r="U10" i="9" s="1"/>
  <c r="K55" i="9"/>
  <c r="K54" i="9"/>
  <c r="W54" i="9" s="1"/>
  <c r="K53" i="9"/>
  <c r="W53" i="9" s="1"/>
  <c r="K52" i="9"/>
  <c r="W52" i="9" s="1"/>
  <c r="K51" i="9"/>
  <c r="W51" i="9" s="1"/>
  <c r="K50" i="9"/>
  <c r="W50" i="9" s="1"/>
  <c r="K49" i="9"/>
  <c r="W49" i="9" s="1"/>
  <c r="K48" i="9"/>
  <c r="W48" i="9" s="1"/>
  <c r="K47" i="9"/>
  <c r="W47" i="9" s="1"/>
  <c r="K46" i="9"/>
  <c r="W46" i="9" s="1"/>
  <c r="K45" i="9"/>
  <c r="W45" i="9" s="1"/>
  <c r="K44" i="9"/>
  <c r="W44" i="9" s="1"/>
  <c r="K43" i="9"/>
  <c r="W43" i="9" s="1"/>
  <c r="K42" i="9"/>
  <c r="W42" i="9" s="1"/>
  <c r="K41" i="9"/>
  <c r="W41" i="9" s="1"/>
  <c r="F76" i="15"/>
  <c r="H6" i="9"/>
  <c r="V6" i="9" s="1"/>
  <c r="H8" i="9"/>
  <c r="V8" i="9" s="1"/>
  <c r="H12" i="9"/>
  <c r="V12" i="9" s="1"/>
  <c r="H16" i="9"/>
  <c r="V16" i="9" s="1"/>
  <c r="H20" i="9"/>
  <c r="V20" i="9" s="1"/>
  <c r="H10" i="9"/>
  <c r="V10" i="9" s="1"/>
  <c r="H14" i="9"/>
  <c r="V14" i="9" s="1"/>
  <c r="H18" i="9"/>
  <c r="V18" i="9" s="1"/>
  <c r="H7" i="9"/>
  <c r="V7" i="9" s="1"/>
  <c r="H11" i="9"/>
  <c r="V11" i="9" s="1"/>
  <c r="H15" i="9"/>
  <c r="V15" i="9" s="1"/>
  <c r="H19" i="9"/>
  <c r="V19" i="9" s="1"/>
  <c r="H13" i="9"/>
  <c r="V13" i="9" s="1"/>
  <c r="H9" i="9"/>
  <c r="V9" i="9" s="1"/>
  <c r="H17" i="9"/>
  <c r="V17" i="9" s="1"/>
  <c r="G13" i="9"/>
  <c r="U13" i="9" s="1"/>
  <c r="W55" i="9"/>
  <c r="G51" i="9"/>
  <c r="U51" i="9" s="1"/>
  <c r="G55" i="9"/>
  <c r="U55" i="9" s="1"/>
  <c r="G18" i="9"/>
  <c r="U18" i="9" s="1"/>
  <c r="R18" i="9"/>
  <c r="F33" i="15"/>
  <c r="W14" i="9"/>
  <c r="K63" i="9" l="1"/>
  <c r="K65" i="9" s="1"/>
  <c r="K66" i="9" s="1"/>
  <c r="M38" i="17" s="1"/>
  <c r="R32" i="17"/>
  <c r="W7" i="9"/>
  <c r="W10" i="9"/>
  <c r="W6" i="9"/>
  <c r="W8" i="9"/>
  <c r="W15" i="9"/>
  <c r="W18" i="9"/>
  <c r="R56" i="9"/>
  <c r="R40" i="9" s="1"/>
  <c r="W11" i="9"/>
  <c r="W20" i="9"/>
  <c r="W16" i="9"/>
  <c r="F37" i="15"/>
  <c r="F48" i="9" s="1"/>
  <c r="U56" i="9"/>
  <c r="M26" i="17" s="1"/>
  <c r="W19" i="9"/>
  <c r="W9" i="9"/>
  <c r="W17" i="9"/>
  <c r="W13" i="9"/>
  <c r="B37" i="15"/>
  <c r="R21" i="9"/>
  <c r="R5" i="9" s="1"/>
  <c r="W56" i="9"/>
  <c r="M25" i="17" s="1"/>
  <c r="F37" i="6"/>
  <c r="H32" i="17"/>
  <c r="K28" i="9"/>
  <c r="K30" i="9" s="1"/>
  <c r="K31" i="9" s="1"/>
  <c r="C38" i="17" s="1"/>
  <c r="F55" i="9"/>
  <c r="V21" i="9"/>
  <c r="C28" i="17" s="1"/>
  <c r="V56" i="9"/>
  <c r="M28" i="17" s="1"/>
  <c r="U21" i="9"/>
  <c r="C26" i="17" s="1"/>
  <c r="B37" i="6"/>
  <c r="F53" i="9" l="1"/>
  <c r="L53" i="9" s="1"/>
  <c r="M53" i="9" s="1"/>
  <c r="X53" i="9" s="1"/>
  <c r="F41" i="9"/>
  <c r="L41" i="9" s="1"/>
  <c r="M41" i="9" s="1"/>
  <c r="F43" i="9"/>
  <c r="L43" i="9" s="1"/>
  <c r="M43" i="9" s="1"/>
  <c r="X43" i="9" s="1"/>
  <c r="F52" i="9"/>
  <c r="L52" i="9" s="1"/>
  <c r="M52" i="9" s="1"/>
  <c r="X52" i="9" s="1"/>
  <c r="F47" i="9"/>
  <c r="T47" i="9" s="1"/>
  <c r="F45" i="9"/>
  <c r="L45" i="9" s="1"/>
  <c r="M45" i="9" s="1"/>
  <c r="X45" i="9" s="1"/>
  <c r="F49" i="9"/>
  <c r="T49" i="9" s="1"/>
  <c r="F51" i="9"/>
  <c r="T51" i="9" s="1"/>
  <c r="F42" i="9"/>
  <c r="T42" i="9" s="1"/>
  <c r="F46" i="9"/>
  <c r="T46" i="9" s="1"/>
  <c r="F50" i="9"/>
  <c r="T50" i="9" s="1"/>
  <c r="W21" i="9"/>
  <c r="C25" i="17" s="1"/>
  <c r="F54" i="9"/>
  <c r="L54" i="9" s="1"/>
  <c r="M54" i="9" s="1"/>
  <c r="X54" i="9" s="1"/>
  <c r="F44" i="9"/>
  <c r="L44" i="9" s="1"/>
  <c r="M44" i="9" s="1"/>
  <c r="X44" i="9" s="1"/>
  <c r="L55" i="9"/>
  <c r="M55" i="9" s="1"/>
  <c r="X55" i="9" s="1"/>
  <c r="T55" i="9"/>
  <c r="F6" i="9"/>
  <c r="F10" i="9"/>
  <c r="F14" i="9"/>
  <c r="F18" i="9"/>
  <c r="F8" i="9"/>
  <c r="F12" i="9"/>
  <c r="F16" i="9"/>
  <c r="F20" i="9"/>
  <c r="F9" i="9"/>
  <c r="F13" i="9"/>
  <c r="F17" i="9"/>
  <c r="F15" i="9"/>
  <c r="F7" i="9"/>
  <c r="F11" i="9"/>
  <c r="F19" i="9"/>
  <c r="L48" i="9"/>
  <c r="M48" i="9" s="1"/>
  <c r="X48" i="9" s="1"/>
  <c r="T48" i="9"/>
  <c r="T41" i="9" l="1"/>
  <c r="T53" i="9"/>
  <c r="L47" i="9"/>
  <c r="M47" i="9" s="1"/>
  <c r="X47" i="9" s="1"/>
  <c r="T44" i="9"/>
  <c r="L46" i="9"/>
  <c r="M46" i="9" s="1"/>
  <c r="X46" i="9" s="1"/>
  <c r="L51" i="9"/>
  <c r="M51" i="9" s="1"/>
  <c r="X51" i="9" s="1"/>
  <c r="T43" i="9"/>
  <c r="L49" i="9"/>
  <c r="M49" i="9" s="1"/>
  <c r="X49" i="9" s="1"/>
  <c r="L50" i="9"/>
  <c r="M50" i="9" s="1"/>
  <c r="X50" i="9" s="1"/>
  <c r="T45" i="9"/>
  <c r="T52" i="9"/>
  <c r="T54" i="9"/>
  <c r="L42" i="9"/>
  <c r="M42" i="9" s="1"/>
  <c r="X42" i="9" s="1"/>
  <c r="L8" i="9"/>
  <c r="M8" i="9" s="1"/>
  <c r="X8" i="9" s="1"/>
  <c r="T8" i="9"/>
  <c r="T15" i="9"/>
  <c r="L15" i="9"/>
  <c r="M15" i="9" s="1"/>
  <c r="X15" i="9" s="1"/>
  <c r="L20" i="9"/>
  <c r="M20" i="9" s="1"/>
  <c r="X20" i="9" s="1"/>
  <c r="T20" i="9"/>
  <c r="T18" i="9"/>
  <c r="L18" i="9"/>
  <c r="M18" i="9" s="1"/>
  <c r="X18" i="9" s="1"/>
  <c r="L13" i="9"/>
  <c r="M13" i="9" s="1"/>
  <c r="X13" i="9" s="1"/>
  <c r="T13" i="9"/>
  <c r="L12" i="9"/>
  <c r="M12" i="9" s="1"/>
  <c r="X12" i="9" s="1"/>
  <c r="T12" i="9"/>
  <c r="L9" i="9"/>
  <c r="M9" i="9" s="1"/>
  <c r="X9" i="9" s="1"/>
  <c r="T9" i="9"/>
  <c r="T19" i="9"/>
  <c r="L19" i="9"/>
  <c r="M19" i="9" s="1"/>
  <c r="X19" i="9" s="1"/>
  <c r="L17" i="9"/>
  <c r="M17" i="9" s="1"/>
  <c r="X17" i="9" s="1"/>
  <c r="T17" i="9"/>
  <c r="L16" i="9"/>
  <c r="M16" i="9" s="1"/>
  <c r="X16" i="9" s="1"/>
  <c r="T16" i="9"/>
  <c r="T14" i="9"/>
  <c r="L14" i="9"/>
  <c r="M14" i="9" s="1"/>
  <c r="X14" i="9" s="1"/>
  <c r="T11" i="9"/>
  <c r="L11" i="9"/>
  <c r="M11" i="9" s="1"/>
  <c r="X11" i="9" s="1"/>
  <c r="T10" i="9"/>
  <c r="L10" i="9"/>
  <c r="M10" i="9" s="1"/>
  <c r="X10" i="9" s="1"/>
  <c r="T7" i="9"/>
  <c r="L7" i="9"/>
  <c r="M7" i="9" s="1"/>
  <c r="X7" i="9" s="1"/>
  <c r="T6" i="9"/>
  <c r="L6" i="9"/>
  <c r="M6" i="9" s="1"/>
  <c r="X41" i="9"/>
  <c r="T56" i="9" l="1"/>
  <c r="M27" i="17" s="1"/>
  <c r="X56" i="9"/>
  <c r="M56" i="9"/>
  <c r="D66" i="9" s="1"/>
  <c r="M37" i="17" s="1"/>
  <c r="M39" i="17" s="1"/>
  <c r="X6" i="9"/>
  <c r="X21" i="9" s="1"/>
  <c r="M21" i="9"/>
  <c r="T21" i="9"/>
  <c r="C27" i="17" s="1"/>
  <c r="L2" i="16" l="1"/>
  <c r="D31" i="9"/>
  <c r="C7" i="10"/>
  <c r="C37" i="17" l="1"/>
  <c r="C39" i="17" s="1"/>
  <c r="C2" i="16"/>
  <c r="E14" i="10"/>
  <c r="G14" i="10" s="1"/>
  <c r="H15" i="10"/>
  <c r="H14" i="10"/>
  <c r="D14" i="10"/>
  <c r="H13" i="10"/>
  <c r="D13" i="10"/>
  <c r="E13" i="10"/>
  <c r="G13" i="10" s="1"/>
  <c r="H36" i="10" l="1"/>
  <c r="I36" i="10" s="1"/>
  <c r="K36" i="10"/>
  <c r="L36" i="10" s="1"/>
  <c r="H34" i="10"/>
  <c r="K34" i="10"/>
  <c r="J35" i="10"/>
  <c r="G35" i="10"/>
  <c r="G34" i="10"/>
  <c r="I34" i="10" s="1"/>
  <c r="J34" i="10"/>
  <c r="L34" i="10" s="1"/>
  <c r="K35" i="10"/>
  <c r="H35" i="10"/>
  <c r="I35" i="10" l="1"/>
  <c r="L35" i="10"/>
</calcChain>
</file>

<file path=xl/sharedStrings.xml><?xml version="1.0" encoding="utf-8"?>
<sst xmlns="http://schemas.openxmlformats.org/spreadsheetml/2006/main" count="551" uniqueCount="252">
  <si>
    <t>aantal verdiep</t>
  </si>
  <si>
    <t>diepte (m)</t>
  </si>
  <si>
    <t>inhoud</t>
  </si>
  <si>
    <t>glas in buitenschil</t>
  </si>
  <si>
    <t>Transmissie</t>
  </si>
  <si>
    <t>A</t>
  </si>
  <si>
    <t>[m2]</t>
  </si>
  <si>
    <t>[K]</t>
  </si>
  <si>
    <t>totaal</t>
  </si>
  <si>
    <t>cp*ro</t>
  </si>
  <si>
    <t>[m3/h]</t>
  </si>
  <si>
    <t>[kW]</t>
  </si>
  <si>
    <t>aantal</t>
  </si>
  <si>
    <t>P_stuk</t>
  </si>
  <si>
    <t>tot</t>
  </si>
  <si>
    <t>N</t>
  </si>
  <si>
    <t>O</t>
  </si>
  <si>
    <t>Z</t>
  </si>
  <si>
    <t>W</t>
  </si>
  <si>
    <t>zoninstr (direct+indirect) [MJ/m2/mnd]</t>
  </si>
  <si>
    <t>Tabel 8, blz 20 NEN 2916</t>
  </si>
  <si>
    <t>maand</t>
  </si>
  <si>
    <t>Z-O</t>
  </si>
  <si>
    <t>N-O</t>
  </si>
  <si>
    <t>N-W</t>
  </si>
  <si>
    <t>Z-W</t>
  </si>
  <si>
    <t>H</t>
  </si>
  <si>
    <t>tot [MJ/m2]</t>
  </si>
  <si>
    <t>Ventilatie</t>
  </si>
  <si>
    <t>infiltratie</t>
  </si>
  <si>
    <t>[dm3/s/m2]</t>
  </si>
  <si>
    <t>Zoninstraling</t>
  </si>
  <si>
    <t>opp glas</t>
  </si>
  <si>
    <t>ZTA</t>
  </si>
  <si>
    <t>kozijnfactor</t>
  </si>
  <si>
    <t>int warmtebronnen</t>
  </si>
  <si>
    <t>[-], [m2]</t>
  </si>
  <si>
    <t xml:space="preserve"> [W], [W/m2]</t>
  </si>
  <si>
    <t>kWh/a</t>
  </si>
  <si>
    <t>hr/a</t>
  </si>
  <si>
    <t>hoek dak-horizont.</t>
  </si>
  <si>
    <t>hoogte per verdiep (m)</t>
  </si>
  <si>
    <t>Berekening van:</t>
  </si>
  <si>
    <t>hoek</t>
  </si>
  <si>
    <t>type woning:</t>
  </si>
  <si>
    <t>w.terugw.</t>
  </si>
  <si>
    <t>A*U*gew.fact.</t>
  </si>
  <si>
    <t>T_bui&lt;</t>
  </si>
  <si>
    <t>V*cp*ro</t>
  </si>
  <si>
    <t>W/K</t>
  </si>
  <si>
    <t>pers</t>
  </si>
  <si>
    <t>hr_cum</t>
  </si>
  <si>
    <t>PZE-woning</t>
  </si>
  <si>
    <t>gemid [kW/m2]</t>
  </si>
  <si>
    <t>[kW/m2 a]</t>
  </si>
  <si>
    <t>ketel</t>
  </si>
  <si>
    <t>P_wpomp</t>
  </si>
  <si>
    <t>[kf]</t>
  </si>
  <si>
    <t>investering</t>
  </si>
  <si>
    <t>E-kosten/jr</t>
  </si>
  <si>
    <t>f/kWh</t>
  </si>
  <si>
    <r>
      <t>f/m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gas</t>
    </r>
  </si>
  <si>
    <t>Q_ruimte</t>
  </si>
  <si>
    <r>
      <t>h</t>
    </r>
    <r>
      <rPr>
        <sz val="10"/>
        <rFont val="Arial"/>
        <family val="2"/>
      </rPr>
      <t>_ketel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</si>
  <si>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-uitstoot</t>
    </r>
  </si>
  <si>
    <t>Algemeen</t>
  </si>
  <si>
    <r>
      <t>h</t>
    </r>
    <r>
      <rPr>
        <sz val="10"/>
        <rFont val="Arial"/>
        <family val="2"/>
      </rPr>
      <t>_centr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</si>
  <si>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gas/kWh </t>
    </r>
  </si>
  <si>
    <t>% opwekk</t>
  </si>
  <si>
    <t>met wpomp</t>
  </si>
  <si>
    <t>bron: f/kW</t>
  </si>
  <si>
    <t>wp+install: f/kW</t>
  </si>
  <si>
    <t>kg CO2/m3 gas</t>
  </si>
  <si>
    <t>kg CO2/kWh</t>
  </si>
  <si>
    <t>tot [kg]</t>
  </si>
  <si>
    <r>
      <t xml:space="preserve">draaihr wp </t>
    </r>
    <r>
      <rPr>
        <vertAlign val="superscript"/>
        <sz val="10"/>
        <rFont val="Arial"/>
        <family val="2"/>
      </rPr>
      <t>1</t>
    </r>
  </si>
  <si>
    <r>
      <t>4</t>
    </r>
    <r>
      <rPr>
        <sz val="10"/>
        <rFont val="Arial"/>
        <family val="2"/>
      </rPr>
      <t xml:space="preserve"> gas_verbr = (1-%opwekking wpomp) * kWh/a /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gas/kWh) / </t>
    </r>
    <r>
      <rPr>
        <sz val="10"/>
        <rFont val="Symbol"/>
        <family val="1"/>
        <charset val="2"/>
      </rPr>
      <t>h</t>
    </r>
    <r>
      <rPr>
        <sz val="10"/>
        <rFont val="Arial"/>
        <family val="2"/>
      </rPr>
      <t>_ketel</t>
    </r>
  </si>
  <si>
    <r>
      <t>2</t>
    </r>
    <r>
      <rPr>
        <sz val="10"/>
        <rFont val="Arial"/>
        <family val="2"/>
      </rPr>
      <t xml:space="preserve"> elek_verbr = % opwekking wpomp * kWh/a / COP</t>
    </r>
  </si>
  <si>
    <r>
      <t xml:space="preserve">elek verbruik </t>
    </r>
    <r>
      <rPr>
        <vertAlign val="superscript"/>
        <sz val="10"/>
        <rFont val="Arial"/>
        <family val="2"/>
      </rPr>
      <t>2</t>
    </r>
  </si>
  <si>
    <t>wt-win</t>
  </si>
  <si>
    <r>
      <t xml:space="preserve">airco </t>
    </r>
    <r>
      <rPr>
        <vertAlign val="superscript"/>
        <sz val="10"/>
        <rFont val="Arial"/>
        <family val="2"/>
      </rPr>
      <t>5</t>
    </r>
  </si>
  <si>
    <t>airco: f/kW</t>
  </si>
  <si>
    <r>
      <t xml:space="preserve">elektr </t>
    </r>
    <r>
      <rPr>
        <vertAlign val="superscript"/>
        <sz val="10"/>
        <rFont val="Arial"/>
        <family val="2"/>
      </rPr>
      <t>6</t>
    </r>
  </si>
  <si>
    <r>
      <t>6</t>
    </r>
    <r>
      <rPr>
        <sz val="10"/>
        <rFont val="Arial"/>
        <family val="2"/>
      </rPr>
      <t xml:space="preserve"> kosten elektr = elek verbruik * f/kWh</t>
    </r>
  </si>
  <si>
    <r>
      <t xml:space="preserve">gas </t>
    </r>
    <r>
      <rPr>
        <vertAlign val="superscript"/>
        <sz val="10"/>
        <rFont val="Arial"/>
        <family val="2"/>
      </rPr>
      <t>7</t>
    </r>
  </si>
  <si>
    <r>
      <t>7</t>
    </r>
    <r>
      <rPr>
        <sz val="10"/>
        <rFont val="Arial"/>
        <family val="2"/>
      </rPr>
      <t xml:space="preserve"> kosten gas = gas verbruik * f/m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gas </t>
    </r>
  </si>
  <si>
    <r>
      <t xml:space="preserve">elek [kg] </t>
    </r>
    <r>
      <rPr>
        <vertAlign val="superscript"/>
        <sz val="10"/>
        <rFont val="Arial"/>
        <family val="2"/>
      </rPr>
      <t>8</t>
    </r>
  </si>
  <si>
    <r>
      <t xml:space="preserve">gas [kg] </t>
    </r>
    <r>
      <rPr>
        <vertAlign val="superscript"/>
        <sz val="10"/>
        <rFont val="Arial"/>
        <family val="2"/>
      </rPr>
      <t>9</t>
    </r>
  </si>
  <si>
    <r>
      <t>9</t>
    </r>
    <r>
      <rPr>
        <sz val="10"/>
        <rFont val="Arial"/>
        <family val="2"/>
      </rPr>
      <t xml:space="preserve">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elek verbruik *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/kWh</t>
    </r>
  </si>
  <si>
    <r>
      <t>9</t>
    </r>
    <r>
      <rPr>
        <sz val="10"/>
        <rFont val="Arial"/>
        <family val="2"/>
      </rPr>
      <t xml:space="preserve">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gas verbruik *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gas</t>
    </r>
  </si>
  <si>
    <t>energieprijzen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</si>
  <si>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uitstoot</t>
    </r>
  </si>
  <si>
    <t>Aannames</t>
  </si>
  <si>
    <t>kosten wp, bron en airco</t>
  </si>
  <si>
    <t>verw</t>
  </si>
  <si>
    <t>(kWh)</t>
  </si>
  <si>
    <r>
      <t xml:space="preserve">koeling </t>
    </r>
    <r>
      <rPr>
        <vertAlign val="superscript"/>
        <sz val="10"/>
        <rFont val="Arial"/>
        <family val="2"/>
      </rPr>
      <t>3</t>
    </r>
  </si>
  <si>
    <r>
      <t xml:space="preserve">gas verbruik </t>
    </r>
    <r>
      <rPr>
        <vertAlign val="superscript"/>
        <sz val="10"/>
        <rFont val="Arial"/>
        <family val="2"/>
      </rPr>
      <t>4</t>
    </r>
  </si>
  <si>
    <r>
      <t xml:space="preserve">w-pomp </t>
    </r>
    <r>
      <rPr>
        <vertAlign val="superscript"/>
        <sz val="10"/>
        <rFont val="Arial"/>
        <family val="2"/>
      </rPr>
      <t>5</t>
    </r>
  </si>
  <si>
    <r>
      <t xml:space="preserve">bron </t>
    </r>
    <r>
      <rPr>
        <vertAlign val="superscript"/>
        <sz val="10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</si>
  <si>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kosten zijn f/kW (zie boven) * P_wpomp</t>
    </r>
  </si>
  <si>
    <t>(1-wtw)*V*cp*ro</t>
  </si>
  <si>
    <t>inhoud / hoogte per verdiep</t>
  </si>
  <si>
    <t>gebr opp</t>
  </si>
  <si>
    <t>gemidd</t>
  </si>
  <si>
    <t>gemid van N,O,Z,W</t>
  </si>
  <si>
    <t>Berekening jaarbelasting duurkromme</t>
  </si>
  <si>
    <t>kl. warmtepomp + ketel</t>
  </si>
  <si>
    <t>warmtepomp</t>
  </si>
  <si>
    <r>
      <t>R</t>
    </r>
    <r>
      <rPr>
        <vertAlign val="subscript"/>
        <sz val="11"/>
        <rFont val="Arial"/>
        <family val="2"/>
      </rPr>
      <t>c</t>
    </r>
  </si>
  <si>
    <r>
      <t>1</t>
    </r>
    <r>
      <rPr>
        <sz val="11"/>
        <rFont val="Arial"/>
        <family val="2"/>
      </rPr>
      <t xml:space="preserve"> muuropp buitenwanden (excl glas) = tot opp (1-%glas)</t>
    </r>
  </si>
  <si>
    <r>
      <t>2</t>
    </r>
    <r>
      <rPr>
        <sz val="11"/>
        <rFont val="Arial"/>
        <family val="2"/>
      </rPr>
      <t xml:space="preserve"> raam oppervlak = tot opp* %glas</t>
    </r>
  </si>
  <si>
    <r>
      <t xml:space="preserve">vent debiet </t>
    </r>
    <r>
      <rPr>
        <vertAlign val="superscript"/>
        <sz val="11"/>
        <rFont val="Arial"/>
        <family val="2"/>
      </rPr>
      <t>1</t>
    </r>
  </si>
  <si>
    <r>
      <t xml:space="preserve">infiltr debiet </t>
    </r>
    <r>
      <rPr>
        <vertAlign val="superscript"/>
        <sz val="11"/>
        <rFont val="Arial"/>
        <family val="2"/>
      </rPr>
      <t>1</t>
    </r>
  </si>
  <si>
    <r>
      <t xml:space="preserve">q_zon </t>
    </r>
    <r>
      <rPr>
        <vertAlign val="superscript"/>
        <sz val="11"/>
        <rFont val="Arial"/>
        <family val="2"/>
      </rPr>
      <t>1</t>
    </r>
  </si>
  <si>
    <r>
      <t>1</t>
    </r>
    <r>
      <rPr>
        <sz val="11"/>
        <rFont val="Arial"/>
        <family val="2"/>
      </rPr>
      <t xml:space="preserve"> q_zon = zoninstr (oct t/m apr) in kWh/(24*210), gemidd van N,O,Z,W</t>
    </r>
  </si>
  <si>
    <r>
      <t xml:space="preserve">[kWh/a] </t>
    </r>
    <r>
      <rPr>
        <vertAlign val="superscript"/>
        <sz val="10"/>
        <rFont val="Arial"/>
        <family val="2"/>
      </rPr>
      <t>6</t>
    </r>
  </si>
  <si>
    <t>T_bin:</t>
  </si>
  <si>
    <t>°C</t>
  </si>
  <si>
    <r>
      <t>gebruik opp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</si>
  <si>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opp schil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</si>
  <si>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vloeropp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</si>
  <si>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dakopp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</si>
  <si>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muuropp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) </t>
    </r>
    <r>
      <rPr>
        <vertAlign val="superscript"/>
        <sz val="11"/>
        <rFont val="Arial"/>
        <family val="2"/>
      </rPr>
      <t>1</t>
    </r>
  </si>
  <si>
    <r>
      <t>raamopp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) </t>
    </r>
    <r>
      <rPr>
        <vertAlign val="superscript"/>
        <sz val="11"/>
        <rFont val="Arial"/>
        <family val="2"/>
      </rPr>
      <t>2</t>
    </r>
  </si>
  <si>
    <r>
      <t xml:space="preserve">elektr </t>
    </r>
    <r>
      <rPr>
        <vertAlign val="superscript"/>
        <sz val="11"/>
        <rFont val="Arial"/>
        <family val="2"/>
      </rPr>
      <t>1</t>
    </r>
  </si>
  <si>
    <r>
      <t xml:space="preserve">U </t>
    </r>
    <r>
      <rPr>
        <vertAlign val="superscript"/>
        <sz val="11"/>
        <rFont val="Arial"/>
        <family val="2"/>
      </rPr>
      <t>3</t>
    </r>
  </si>
  <si>
    <r>
      <t>3</t>
    </r>
    <r>
      <rPr>
        <sz val="11"/>
        <rFont val="Arial"/>
        <family val="2"/>
      </rPr>
      <t xml:space="preserve"> U = 1/(R</t>
    </r>
    <r>
      <rPr>
        <vertAlign val="subscript"/>
        <sz val="11"/>
        <rFont val="Arial"/>
        <family val="2"/>
      </rPr>
      <t>c</t>
    </r>
    <r>
      <rPr>
        <sz val="11"/>
        <rFont val="Arial"/>
        <family val="2"/>
      </rPr>
      <t xml:space="preserve"> + 0.04 + 0.13), vanwege isolerende grenslagen binnen en buiten</t>
    </r>
  </si>
  <si>
    <r>
      <t>4</t>
    </r>
    <r>
      <rPr>
        <sz val="11"/>
        <rFont val="Arial"/>
        <family val="2"/>
      </rPr>
      <t xml:space="preserve"> gew. factor vloer = 1/(1+U) om te corrigeren voor hogere T_kruipruimte</t>
    </r>
  </si>
  <si>
    <r>
      <t>gew. fact.</t>
    </r>
    <r>
      <rPr>
        <vertAlign val="superscript"/>
        <sz val="11"/>
        <rFont val="Arial"/>
        <family val="2"/>
      </rPr>
      <t>4</t>
    </r>
  </si>
  <si>
    <r>
      <t>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K/W]</t>
    </r>
  </si>
  <si>
    <r>
      <t>[W/m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K]</t>
    </r>
  </si>
  <si>
    <r>
      <t>1</t>
    </r>
    <r>
      <rPr>
        <sz val="11"/>
        <rFont val="Arial"/>
        <family val="2"/>
      </rPr>
      <t xml:space="preserve"> vent debiet volgens bouwbesluit</t>
    </r>
  </si>
  <si>
    <r>
      <t>[kJ/m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/K]</t>
    </r>
  </si>
  <si>
    <t>elek.verbruik</t>
  </si>
  <si>
    <t>uren/jaar</t>
  </si>
  <si>
    <r>
      <t xml:space="preserve">P_transm </t>
    </r>
    <r>
      <rPr>
        <vertAlign val="superscript"/>
        <sz val="10"/>
        <rFont val="Arial"/>
        <family val="2"/>
      </rPr>
      <t>1</t>
    </r>
  </si>
  <si>
    <r>
      <t xml:space="preserve">P_vent </t>
    </r>
    <r>
      <rPr>
        <vertAlign val="superscript"/>
        <sz val="10"/>
        <rFont val="Arial"/>
        <family val="2"/>
      </rPr>
      <t>2</t>
    </r>
  </si>
  <si>
    <r>
      <t xml:space="preserve">P_infilt </t>
    </r>
    <r>
      <rPr>
        <vertAlign val="superscript"/>
        <sz val="10"/>
        <rFont val="Arial"/>
        <family val="2"/>
      </rPr>
      <t>3</t>
    </r>
  </si>
  <si>
    <r>
      <t xml:space="preserve">P_int+zon </t>
    </r>
    <r>
      <rPr>
        <vertAlign val="superscript"/>
        <sz val="10"/>
        <rFont val="Arial"/>
        <family val="2"/>
      </rPr>
      <t>4</t>
    </r>
  </si>
  <si>
    <t>P(zoninstr + int warmtebronnen)</t>
  </si>
  <si>
    <r>
      <t>3</t>
    </r>
    <r>
      <rPr>
        <sz val="10"/>
        <rFont val="Arial"/>
        <family val="2"/>
      </rPr>
      <t xml:space="preserve"> koeling: vrije koeling met bodemkoude: 500 hr * 0.1 kW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</si>
  <si>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gas]</t>
    </r>
  </si>
  <si>
    <t>[kWh/a]</t>
  </si>
  <si>
    <r>
      <t xml:space="preserve">1 </t>
    </r>
    <r>
      <rPr>
        <sz val="10"/>
        <rFont val="Arial"/>
        <family val="2"/>
      </rPr>
      <t>draaihr wp = %opwekk wp * Q_ruimte/P_wpomp</t>
    </r>
  </si>
  <si>
    <t>ketel+airco (2 kW)</t>
  </si>
  <si>
    <t xml:space="preserve">                   airco: 500 hr * 2 kW (COP 2)</t>
  </si>
  <si>
    <t>COP_wp</t>
  </si>
  <si>
    <r>
      <t>6</t>
    </r>
    <r>
      <rPr>
        <sz val="10"/>
        <rFont val="Arial"/>
        <family val="2"/>
      </rPr>
      <t xml:space="preserve"> Q_tot = P_tot*hr/a mits P_tot &gt;0, anders 0</t>
    </r>
  </si>
  <si>
    <r>
      <t xml:space="preserve">P_tot </t>
    </r>
    <r>
      <rPr>
        <vertAlign val="superscript"/>
        <sz val="10"/>
        <rFont val="Arial"/>
        <family val="2"/>
      </rPr>
      <t>5</t>
    </r>
  </si>
  <si>
    <r>
      <t xml:space="preserve">Q_tot </t>
    </r>
    <r>
      <rPr>
        <vertAlign val="superscript"/>
        <sz val="10"/>
        <rFont val="Arial"/>
        <family val="2"/>
      </rPr>
      <t>6</t>
    </r>
  </si>
  <si>
    <r>
      <t>5</t>
    </r>
    <r>
      <rPr>
        <sz val="10"/>
        <rFont val="Arial"/>
        <family val="2"/>
      </rPr>
      <t xml:space="preserve"> P_tot = Ptransm+P_vent+P_infilt</t>
    </r>
    <r>
      <rPr>
        <b/>
        <sz val="16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P_int+zon</t>
    </r>
  </si>
  <si>
    <r>
      <t>4</t>
    </r>
    <r>
      <rPr>
        <sz val="10"/>
        <rFont val="Arial"/>
        <family val="2"/>
      </rPr>
      <t xml:space="preserve"> P_int+zon: zie vorig blad</t>
    </r>
  </si>
  <si>
    <r>
      <t>2</t>
    </r>
    <r>
      <rPr>
        <sz val="11"/>
        <rFont val="Arial"/>
        <family val="2"/>
      </rPr>
      <t xml:space="preserve"> P_instr = q_zon * opp_glas * ZTA * kozijnfactor</t>
    </r>
  </si>
  <si>
    <r>
      <t xml:space="preserve">P_instr 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</si>
  <si>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P_int_wb = aantal*P_stuk resp elek_verbr/(uren/jaar)</t>
    </r>
  </si>
  <si>
    <t xml:space="preserve"> </t>
  </si>
  <si>
    <r>
      <t xml:space="preserve">qvi </t>
    </r>
    <r>
      <rPr>
        <vertAlign val="superscript"/>
        <sz val="11"/>
        <rFont val="Arial"/>
        <family val="2"/>
      </rPr>
      <t>1</t>
    </r>
  </si>
  <si>
    <r>
      <t>1</t>
    </r>
    <r>
      <rPr>
        <sz val="11"/>
        <rFont val="Arial"/>
        <family val="2"/>
      </rPr>
      <t xml:space="preserve"> qvi: 0.35*1.43 voor nat. vent, 0.28*0.625 voor mech toev+afz, 0.28*0.07 voor goede kierdichting</t>
    </r>
  </si>
  <si>
    <r>
      <t>2</t>
    </r>
    <r>
      <rPr>
        <sz val="11"/>
        <rFont val="Arial"/>
        <family val="2"/>
      </rPr>
      <t xml:space="preserve"> infiltr debiet = 3.6* qvi * gebr opp</t>
    </r>
  </si>
  <si>
    <t>(gebal.vent.-mech.toev. systeem)</t>
  </si>
  <si>
    <t>warmte terugwin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</si>
  <si>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</si>
  <si>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T_bui&gt;</t>
  </si>
  <si>
    <t>DT</t>
  </si>
  <si>
    <r>
      <t>1</t>
    </r>
    <r>
      <rPr>
        <sz val="10"/>
        <rFont val="Arial"/>
        <family val="2"/>
      </rPr>
      <t xml:space="preserve"> P_transm = A*U*gew.fact *DT/1000</t>
    </r>
  </si>
  <si>
    <r>
      <t>2</t>
    </r>
    <r>
      <rPr>
        <sz val="10"/>
        <rFont val="Arial"/>
        <family val="2"/>
      </rPr>
      <t xml:space="preserve"> P_vent = (1-wtw)*V*cp*ro *DT/1000</t>
    </r>
  </si>
  <si>
    <r>
      <t>3</t>
    </r>
    <r>
      <rPr>
        <sz val="10"/>
        <rFont val="Arial"/>
        <family val="2"/>
      </rPr>
      <t xml:space="preserve"> P_infiltr = V*cp*ro *DT/1000</t>
    </r>
  </si>
  <si>
    <t>Jaar gemiddeld temp. verschil</t>
  </si>
  <si>
    <t>transmissie</t>
  </si>
  <si>
    <t>ventilatie</t>
  </si>
  <si>
    <t>intern+zon</t>
  </si>
  <si>
    <t>verwarming</t>
  </si>
  <si>
    <t>MWh</t>
  </si>
  <si>
    <t>breedte (m)</t>
  </si>
  <si>
    <t>(invullen: 'hoek' of 'tussen')</t>
  </si>
  <si>
    <t>isolatiewaarde vloer</t>
  </si>
  <si>
    <t>isolatiewaarde gevel</t>
  </si>
  <si>
    <t>isolatiewaarde dak</t>
  </si>
  <si>
    <t>U-waarde glas</t>
  </si>
  <si>
    <t>η warmterugwinning</t>
  </si>
  <si>
    <t>meter</t>
  </si>
  <si>
    <t>graden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</si>
  <si>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K/W</t>
    </r>
  </si>
  <si>
    <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K</t>
    </r>
  </si>
  <si>
    <t>dm3/s/m2</t>
  </si>
  <si>
    <t>glassoppervlak</t>
  </si>
  <si>
    <t>m2</t>
  </si>
  <si>
    <t>aantal bewoners</t>
  </si>
  <si>
    <t>Electriciteitsgebruik</t>
  </si>
  <si>
    <t>kWh/jaar</t>
  </si>
  <si>
    <t>Grijze gebieden invullen</t>
  </si>
  <si>
    <t>Referentie</t>
  </si>
  <si>
    <t>Nieuwe situatie</t>
  </si>
  <si>
    <t>Berekening</t>
  </si>
  <si>
    <t>binnentemperatuur</t>
  </si>
  <si>
    <t>m3 gasverbruik</t>
  </si>
  <si>
    <t>REFERENTIE SITUATIE</t>
  </si>
  <si>
    <t>NIEUWE SITUATIE</t>
  </si>
  <si>
    <t>Gegevens bewoners</t>
  </si>
  <si>
    <t>woning</t>
  </si>
  <si>
    <t>electriciteitsgebruik</t>
  </si>
  <si>
    <t>zoninstraling</t>
  </si>
  <si>
    <t>η warmterugwinning (rendement)</t>
  </si>
  <si>
    <t>Nieuw</t>
  </si>
  <si>
    <t>infiltratievoud (1)</t>
  </si>
  <si>
    <t>(1) standaard matig geisoleerd</t>
  </si>
  <si>
    <t>infiltratievoud (2)</t>
  </si>
  <si>
    <t>(2) waarde voor passiefhuis</t>
  </si>
  <si>
    <t>glasoppervlak</t>
  </si>
  <si>
    <r>
      <t xml:space="preserve">P_zon </t>
    </r>
    <r>
      <rPr>
        <vertAlign val="superscript"/>
        <sz val="10"/>
        <rFont val="Arial"/>
        <family val="2"/>
      </rPr>
      <t>4</t>
    </r>
  </si>
  <si>
    <r>
      <t>P_int</t>
    </r>
    <r>
      <rPr>
        <vertAlign val="superscript"/>
        <sz val="10"/>
        <rFont val="Arial"/>
        <family val="2"/>
      </rPr>
      <t>4</t>
    </r>
  </si>
  <si>
    <r>
      <t>P_pers</t>
    </r>
    <r>
      <rPr>
        <vertAlign val="superscript"/>
        <sz val="10"/>
        <rFont val="Arial"/>
        <family val="2"/>
      </rPr>
      <t>4</t>
    </r>
  </si>
  <si>
    <t>interne warmtelast</t>
  </si>
  <si>
    <t>- personen</t>
  </si>
  <si>
    <t>- elektrische apparatuur</t>
  </si>
  <si>
    <t>Invoergegevens woning</t>
  </si>
  <si>
    <t>aantal bewoners (12 upd aanwezig)</t>
  </si>
  <si>
    <t>type woning: (type: "hoek" of "tussen")</t>
  </si>
  <si>
    <t>Gasverbruik t.b.v. stoken:</t>
  </si>
  <si>
    <t>liter per dag</t>
  </si>
  <si>
    <t>keuken</t>
  </si>
  <si>
    <t>douche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</si>
  <si>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/jaar</t>
    </r>
  </si>
  <si>
    <t>MJ/jaar</t>
  </si>
  <si>
    <t>temperatuur warm water</t>
  </si>
  <si>
    <t>Gasverbruik t.b.v. wtw:</t>
  </si>
  <si>
    <t>warm tapwaterverbruik (wtw) gezin:</t>
  </si>
  <si>
    <t>Hv_gas</t>
  </si>
  <si>
    <r>
      <t>MJ/m</t>
    </r>
    <r>
      <rPr>
        <vertAlign val="superscript"/>
        <sz val="10"/>
        <rFont val="Arial"/>
        <family val="2"/>
      </rPr>
      <t>3</t>
    </r>
  </si>
  <si>
    <t>gasgebruik t.b.v. stoken</t>
  </si>
  <si>
    <t>gasgebruik t.b.v. warm tapwater</t>
  </si>
  <si>
    <t>Berekeningsresultaten woning (alle getallen per jaar)</t>
  </si>
  <si>
    <t>B</t>
  </si>
  <si>
    <t>C</t>
  </si>
  <si>
    <t>tussen</t>
  </si>
  <si>
    <t>Voorbeeldwoningen</t>
  </si>
  <si>
    <t>Woning:</t>
  </si>
  <si>
    <t>temperatuur wtw:</t>
  </si>
  <si>
    <r>
      <t>m</t>
    </r>
    <r>
      <rPr>
        <vertAlign val="superscript"/>
        <sz val="11"/>
        <rFont val="Calibri Light"/>
        <family val="2"/>
        <scheme val="major"/>
      </rPr>
      <t>2</t>
    </r>
  </si>
  <si>
    <r>
      <t>m</t>
    </r>
    <r>
      <rPr>
        <vertAlign val="superscript"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>K/W</t>
    </r>
  </si>
  <si>
    <r>
      <t>W/m</t>
    </r>
    <r>
      <rPr>
        <vertAlign val="superscript"/>
        <sz val="11"/>
        <rFont val="Calibri Light"/>
        <family val="2"/>
        <scheme val="major"/>
      </rPr>
      <t>2</t>
    </r>
    <r>
      <rPr>
        <sz val="11"/>
        <rFont val="Calibri Light"/>
        <family val="2"/>
        <scheme val="major"/>
      </rPr>
      <t>K</t>
    </r>
  </si>
  <si>
    <r>
      <t>dm</t>
    </r>
    <r>
      <rPr>
        <vertAlign val="superscript"/>
        <sz val="11"/>
        <rFont val="Calibri Light"/>
        <family val="2"/>
        <scheme val="major"/>
      </rPr>
      <t>3</t>
    </r>
    <r>
      <rPr>
        <sz val="11"/>
        <rFont val="Calibri Light"/>
        <family val="2"/>
        <scheme val="major"/>
      </rPr>
      <t>/s/m</t>
    </r>
    <r>
      <rPr>
        <vertAlign val="superscript"/>
        <sz val="11"/>
        <rFont val="Calibri Light"/>
        <family val="2"/>
        <scheme val="major"/>
      </rPr>
      <t>2</t>
    </r>
  </si>
  <si>
    <t>%</t>
  </si>
  <si>
    <r>
      <t>m</t>
    </r>
    <r>
      <rPr>
        <vertAlign val="superscript"/>
        <sz val="11"/>
        <rFont val="Calibri Light"/>
        <family val="2"/>
        <scheme val="major"/>
      </rPr>
      <t>3</t>
    </r>
  </si>
  <si>
    <r>
      <t>m</t>
    </r>
    <r>
      <rPr>
        <b/>
        <vertAlign val="superscript"/>
        <sz val="11"/>
        <rFont val="Calibri Light"/>
        <family val="2"/>
        <scheme val="major"/>
      </rPr>
      <t>3</t>
    </r>
  </si>
  <si>
    <r>
      <t>infiltratievoud q</t>
    </r>
    <r>
      <rPr>
        <vertAlign val="subscript"/>
        <sz val="11"/>
        <rFont val="Calibri Light"/>
        <family val="2"/>
        <scheme val="major"/>
      </rPr>
      <t>v;10</t>
    </r>
    <r>
      <rPr>
        <sz val="11"/>
        <rFont val="Calibri Light"/>
        <family val="2"/>
        <scheme val="major"/>
      </rPr>
      <t xml:space="preserve"> *</t>
    </r>
  </si>
  <si>
    <t>aantal personen x 5 +10 (keuken)</t>
  </si>
  <si>
    <t>douche: 35l/keer x aantal personen</t>
  </si>
  <si>
    <t>keuken: aantal personen x 5 +10</t>
  </si>
  <si>
    <t>aantal verdiepingen</t>
  </si>
  <si>
    <t>thuis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</si>
</sst>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28">
    <font>
      <sz val="10"/>
      <name val="Technical"/>
    </font>
    <font>
      <b/>
      <sz val="10"/>
      <name val="Technical"/>
    </font>
    <font>
      <sz val="10"/>
      <name val="Technical"/>
    </font>
    <font>
      <sz val="10"/>
      <name val="Technic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Technical"/>
    </font>
    <font>
      <b/>
      <sz val="16"/>
      <name val="Arial"/>
      <family val="2"/>
    </font>
    <font>
      <b/>
      <sz val="12"/>
      <name val="Arial"/>
      <family val="2"/>
    </font>
    <font>
      <sz val="8"/>
      <name val="Technical"/>
    </font>
    <font>
      <sz val="11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1"/>
      <name val="Technical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vertAlign val="superscript"/>
      <sz val="11"/>
      <name val="Calibri Light"/>
      <family val="2"/>
      <scheme val="major"/>
    </font>
    <font>
      <sz val="12"/>
      <name val="Calibri Light"/>
      <family val="2"/>
      <scheme val="major"/>
    </font>
    <font>
      <b/>
      <vertAlign val="superscript"/>
      <sz val="11"/>
      <name val="Calibri Light"/>
      <family val="2"/>
      <scheme val="major"/>
    </font>
    <font>
      <vertAlign val="subscript"/>
      <sz val="1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38"/>
      </left>
      <right style="thin">
        <color indexed="38"/>
      </right>
      <top style="medium">
        <color indexed="64"/>
      </top>
      <bottom style="thin">
        <color indexed="3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6" fillId="0" borderId="0" xfId="0" applyFont="1"/>
    <xf numFmtId="164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" fontId="5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7" fillId="0" borderId="3" xfId="0" applyFont="1" applyBorder="1"/>
    <xf numFmtId="0" fontId="5" fillId="0" borderId="4" xfId="0" applyFont="1" applyBorder="1"/>
    <xf numFmtId="1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5" fillId="0" borderId="0" xfId="0" applyNumberFormat="1" applyFont="1" applyAlignment="1"/>
    <xf numFmtId="0" fontId="5" fillId="0" borderId="0" xfId="0" applyFont="1" applyAlignment="1"/>
    <xf numFmtId="1" fontId="5" fillId="0" borderId="0" xfId="0" applyNumberFormat="1" applyFont="1" applyAlignment="1"/>
    <xf numFmtId="165" fontId="5" fillId="0" borderId="0" xfId="0" applyNumberFormat="1" applyFont="1" applyAlignment="1"/>
    <xf numFmtId="0" fontId="5" fillId="0" borderId="7" xfId="0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165" fontId="5" fillId="0" borderId="7" xfId="0" applyNumberFormat="1" applyFont="1" applyBorder="1"/>
    <xf numFmtId="165" fontId="5" fillId="0" borderId="5" xfId="0" applyNumberFormat="1" applyFont="1" applyBorder="1"/>
    <xf numFmtId="164" fontId="5" fillId="0" borderId="5" xfId="0" applyNumberFormat="1" applyFont="1" applyBorder="1"/>
    <xf numFmtId="165" fontId="5" fillId="0" borderId="6" xfId="0" applyNumberFormat="1" applyFont="1" applyBorder="1"/>
    <xf numFmtId="0" fontId="14" fillId="0" borderId="12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3" xfId="0" applyFont="1" applyBorder="1"/>
    <xf numFmtId="165" fontId="5" fillId="0" borderId="3" xfId="0" applyNumberFormat="1" applyFont="1" applyBorder="1"/>
    <xf numFmtId="165" fontId="5" fillId="0" borderId="0" xfId="0" applyNumberFormat="1" applyFont="1" applyBorder="1"/>
    <xf numFmtId="164" fontId="5" fillId="0" borderId="0" xfId="0" applyNumberFormat="1" applyFont="1" applyBorder="1"/>
    <xf numFmtId="165" fontId="5" fillId="0" borderId="2" xfId="0" applyNumberFormat="1" applyFont="1" applyBorder="1"/>
    <xf numFmtId="165" fontId="5" fillId="0" borderId="12" xfId="0" applyNumberFormat="1" applyFont="1" applyBorder="1"/>
    <xf numFmtId="165" fontId="5" fillId="0" borderId="1" xfId="0" applyNumberFormat="1" applyFont="1" applyBorder="1"/>
    <xf numFmtId="164" fontId="5" fillId="0" borderId="1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5" fillId="0" borderId="4" xfId="0" applyNumberFormat="1" applyFont="1" applyBorder="1"/>
    <xf numFmtId="164" fontId="5" fillId="0" borderId="4" xfId="0" applyNumberFormat="1" applyFont="1" applyBorder="1"/>
    <xf numFmtId="165" fontId="5" fillId="0" borderId="15" xfId="0" applyNumberFormat="1" applyFont="1" applyBorder="1"/>
    <xf numFmtId="0" fontId="10" fillId="0" borderId="16" xfId="0" applyFont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/>
    <xf numFmtId="0" fontId="11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8" fillId="0" borderId="19" xfId="0" applyFont="1" applyBorder="1"/>
    <xf numFmtId="0" fontId="11" fillId="0" borderId="21" xfId="0" applyFont="1" applyBorder="1"/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0" xfId="0" applyFont="1" applyBorder="1"/>
    <xf numFmtId="0" fontId="10" fillId="0" borderId="0" xfId="0" applyFont="1" applyBorder="1"/>
    <xf numFmtId="0" fontId="18" fillId="0" borderId="0" xfId="0" applyFont="1" applyBorder="1"/>
    <xf numFmtId="0" fontId="11" fillId="2" borderId="0" xfId="0" applyFont="1" applyFill="1"/>
    <xf numFmtId="1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9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0" fontId="10" fillId="2" borderId="0" xfId="0" applyFont="1" applyFill="1"/>
    <xf numFmtId="165" fontId="11" fillId="2" borderId="0" xfId="0" applyNumberFormat="1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165" fontId="11" fillId="2" borderId="1" xfId="0" applyNumberFormat="1" applyFont="1" applyFill="1" applyBorder="1" applyAlignment="1">
      <alignment horizontal="center"/>
    </xf>
    <xf numFmtId="0" fontId="13" fillId="2" borderId="12" xfId="0" applyFont="1" applyFill="1" applyBorder="1"/>
    <xf numFmtId="1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5" fontId="11" fillId="2" borderId="13" xfId="0" applyNumberFormat="1" applyFont="1" applyFill="1" applyBorder="1" applyAlignment="1">
      <alignment horizontal="center"/>
    </xf>
    <xf numFmtId="0" fontId="13" fillId="2" borderId="3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3" fillId="2" borderId="14" xfId="0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3" fillId="2" borderId="7" xfId="0" applyFont="1" applyFill="1" applyBorder="1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/>
    </xf>
    <xf numFmtId="0" fontId="13" fillId="2" borderId="0" xfId="0" applyFont="1" applyFill="1"/>
    <xf numFmtId="164" fontId="11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7" xfId="0" applyFont="1" applyFill="1" applyBorder="1"/>
    <xf numFmtId="2" fontId="11" fillId="2" borderId="6" xfId="0" applyNumberFormat="1" applyFont="1" applyFill="1" applyBorder="1" applyAlignment="1">
      <alignment horizontal="center"/>
    </xf>
    <xf numFmtId="0" fontId="6" fillId="0" borderId="16" xfId="0" applyFont="1" applyBorder="1"/>
    <xf numFmtId="0" fontId="5" fillId="0" borderId="17" xfId="0" applyFont="1" applyBorder="1" applyAlignment="1">
      <alignment horizontal="center"/>
    </xf>
    <xf numFmtId="0" fontId="14" fillId="0" borderId="17" xfId="0" applyFont="1" applyBorder="1"/>
    <xf numFmtId="0" fontId="5" fillId="0" borderId="17" xfId="0" applyFont="1" applyBorder="1" applyAlignment="1">
      <alignment horizontal="right"/>
    </xf>
    <xf numFmtId="0" fontId="5" fillId="3" borderId="24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/>
    <xf numFmtId="0" fontId="5" fillId="0" borderId="19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0" fontId="5" fillId="0" borderId="20" xfId="0" applyFont="1" applyBorder="1"/>
    <xf numFmtId="2" fontId="5" fillId="0" borderId="19" xfId="0" applyNumberFormat="1" applyFont="1" applyBorder="1" applyAlignment="1"/>
    <xf numFmtId="0" fontId="5" fillId="0" borderId="0" xfId="0" applyFont="1" applyBorder="1" applyAlignment="1"/>
    <xf numFmtId="1" fontId="5" fillId="0" borderId="0" xfId="0" applyNumberFormat="1" applyFont="1" applyBorder="1" applyAlignment="1"/>
    <xf numFmtId="165" fontId="5" fillId="0" borderId="0" xfId="0" applyNumberFormat="1" applyFont="1" applyBorder="1" applyAlignme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20" xfId="0" applyFont="1" applyBorder="1"/>
    <xf numFmtId="2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20" xfId="0" applyNumberFormat="1" applyFont="1" applyBorder="1"/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7" fillId="0" borderId="19" xfId="0" applyFont="1" applyBorder="1" applyAlignment="1">
      <alignment horizontal="left"/>
    </xf>
    <xf numFmtId="0" fontId="7" fillId="0" borderId="19" xfId="0" applyFont="1" applyBorder="1"/>
    <xf numFmtId="0" fontId="5" fillId="0" borderId="19" xfId="0" applyFont="1" applyBorder="1"/>
    <xf numFmtId="0" fontId="5" fillId="0" borderId="25" xfId="0" applyFont="1" applyBorder="1"/>
    <xf numFmtId="0" fontId="5" fillId="0" borderId="21" xfId="0" applyFont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1" fontId="0" fillId="0" borderId="0" xfId="0" applyNumberFormat="1"/>
    <xf numFmtId="0" fontId="19" fillId="0" borderId="0" xfId="0" applyFont="1"/>
    <xf numFmtId="0" fontId="2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10" fillId="0" borderId="0" xfId="0" applyFont="1" applyFill="1" applyBorder="1"/>
    <xf numFmtId="0" fontId="11" fillId="3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/>
    <xf numFmtId="0" fontId="20" fillId="0" borderId="7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" fontId="20" fillId="0" borderId="0" xfId="0" applyNumberFormat="1" applyFont="1" applyBorder="1"/>
    <xf numFmtId="165" fontId="20" fillId="0" borderId="0" xfId="0" applyNumberFormat="1" applyFont="1" applyBorder="1" applyAlignment="1"/>
    <xf numFmtId="0" fontId="21" fillId="0" borderId="19" xfId="0" applyFont="1" applyBorder="1"/>
    <xf numFmtId="0" fontId="21" fillId="0" borderId="21" xfId="0" applyFont="1" applyBorder="1"/>
    <xf numFmtId="0" fontId="0" fillId="0" borderId="0" xfId="0" applyAlignment="1">
      <alignment horizontal="right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4" fillId="0" borderId="0" xfId="0" applyFont="1" applyProtection="1"/>
    <xf numFmtId="2" fontId="5" fillId="0" borderId="0" xfId="0" applyNumberFormat="1" applyFont="1" applyAlignment="1" applyProtection="1">
      <alignment horizontal="right"/>
    </xf>
    <xf numFmtId="1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9" fontId="5" fillId="0" borderId="0" xfId="0" applyNumberFormat="1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0" fontId="7" fillId="0" borderId="12" xfId="0" applyFont="1" applyBorder="1" applyProtection="1"/>
    <xf numFmtId="0" fontId="5" fillId="0" borderId="1" xfId="0" applyFont="1" applyBorder="1" applyProtection="1"/>
    <xf numFmtId="0" fontId="5" fillId="0" borderId="13" xfId="0" applyFont="1" applyBorder="1" applyProtection="1"/>
    <xf numFmtId="0" fontId="7" fillId="0" borderId="3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2" xfId="0" applyFont="1" applyBorder="1" applyProtection="1"/>
    <xf numFmtId="0" fontId="7" fillId="0" borderId="3" xfId="0" applyFont="1" applyBorder="1" applyProtection="1"/>
    <xf numFmtId="0" fontId="5" fillId="0" borderId="3" xfId="0" applyFont="1" applyBorder="1" applyProtection="1"/>
    <xf numFmtId="0" fontId="7" fillId="0" borderId="14" xfId="0" applyFont="1" applyBorder="1" applyProtection="1"/>
    <xf numFmtId="0" fontId="5" fillId="0" borderId="4" xfId="0" applyFont="1" applyBorder="1" applyProtection="1"/>
    <xf numFmtId="0" fontId="5" fillId="0" borderId="15" xfId="0" applyFont="1" applyBorder="1" applyProtection="1"/>
    <xf numFmtId="0" fontId="7" fillId="0" borderId="0" xfId="0" applyFont="1" applyBorder="1" applyProtection="1"/>
    <xf numFmtId="2" fontId="5" fillId="0" borderId="0" xfId="0" applyNumberFormat="1" applyFont="1" applyProtection="1"/>
    <xf numFmtId="0" fontId="6" fillId="0" borderId="26" xfId="0" applyFont="1" applyBorder="1" applyProtection="1"/>
    <xf numFmtId="0" fontId="5" fillId="0" borderId="27" xfId="0" applyFont="1" applyBorder="1" applyProtection="1"/>
    <xf numFmtId="0" fontId="5" fillId="0" borderId="28" xfId="0" applyFont="1" applyBorder="1" applyProtection="1"/>
    <xf numFmtId="0" fontId="5" fillId="0" borderId="29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1" fontId="5" fillId="0" borderId="29" xfId="0" applyNumberFormat="1" applyFont="1" applyBorder="1" applyAlignment="1" applyProtection="1">
      <alignment horizontal="center"/>
    </xf>
    <xf numFmtId="1" fontId="5" fillId="0" borderId="30" xfId="0" applyNumberFormat="1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1" fontId="5" fillId="0" borderId="31" xfId="0" applyNumberFormat="1" applyFont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</xf>
    <xf numFmtId="1" fontId="5" fillId="0" borderId="33" xfId="0" applyNumberFormat="1" applyFont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1" fillId="0" borderId="16" xfId="0" applyFont="1" applyBorder="1"/>
    <xf numFmtId="0" fontId="20" fillId="6" borderId="17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20" fillId="6" borderId="0" xfId="0" applyFont="1" applyFill="1" applyBorder="1"/>
    <xf numFmtId="0" fontId="0" fillId="6" borderId="0" xfId="0" applyFill="1" applyBorder="1"/>
    <xf numFmtId="0" fontId="0" fillId="6" borderId="20" xfId="0" applyFill="1" applyBorder="1"/>
    <xf numFmtId="0" fontId="0" fillId="8" borderId="0" xfId="0" applyFill="1"/>
    <xf numFmtId="0" fontId="0" fillId="6" borderId="22" xfId="0" applyFill="1" applyBorder="1"/>
    <xf numFmtId="0" fontId="22" fillId="6" borderId="16" xfId="0" applyFont="1" applyFill="1" applyBorder="1"/>
    <xf numFmtId="0" fontId="22" fillId="6" borderId="17" xfId="0" applyFont="1" applyFill="1" applyBorder="1" applyAlignment="1">
      <alignment horizontal="center"/>
    </xf>
    <xf numFmtId="0" fontId="23" fillId="6" borderId="18" xfId="0" applyFont="1" applyFill="1" applyBorder="1"/>
    <xf numFmtId="0" fontId="23" fillId="6" borderId="19" xfId="0" applyFont="1" applyFill="1" applyBorder="1"/>
    <xf numFmtId="0" fontId="23" fillId="6" borderId="20" xfId="0" applyFont="1" applyFill="1" applyBorder="1" applyAlignment="1">
      <alignment horizontal="center"/>
    </xf>
    <xf numFmtId="0" fontId="23" fillId="6" borderId="20" xfId="0" applyFont="1" applyFill="1" applyBorder="1" applyAlignment="1">
      <alignment horizontal="left"/>
    </xf>
    <xf numFmtId="0" fontId="22" fillId="6" borderId="19" xfId="0" applyFont="1" applyFill="1" applyBorder="1"/>
    <xf numFmtId="0" fontId="23" fillId="6" borderId="21" xfId="0" applyFont="1" applyFill="1" applyBorder="1"/>
    <xf numFmtId="0" fontId="23" fillId="6" borderId="22" xfId="0" applyFont="1" applyFill="1" applyBorder="1"/>
    <xf numFmtId="0" fontId="22" fillId="4" borderId="16" xfId="0" applyFont="1" applyFill="1" applyBorder="1"/>
    <xf numFmtId="0" fontId="23" fillId="4" borderId="17" xfId="0" applyFont="1" applyFill="1" applyBorder="1"/>
    <xf numFmtId="0" fontId="23" fillId="4" borderId="18" xfId="0" applyFont="1" applyFill="1" applyBorder="1"/>
    <xf numFmtId="0" fontId="23" fillId="4" borderId="19" xfId="0" applyFont="1" applyFill="1" applyBorder="1"/>
    <xf numFmtId="0" fontId="23" fillId="4" borderId="0" xfId="0" applyFont="1" applyFill="1" applyBorder="1"/>
    <xf numFmtId="0" fontId="23" fillId="4" borderId="20" xfId="0" applyFont="1" applyFill="1" applyBorder="1"/>
    <xf numFmtId="0" fontId="22" fillId="8" borderId="0" xfId="0" applyFont="1" applyFill="1"/>
    <xf numFmtId="0" fontId="23" fillId="8" borderId="0" xfId="0" applyFont="1" applyFill="1"/>
    <xf numFmtId="0" fontId="23" fillId="7" borderId="11" xfId="0" applyFont="1" applyFill="1" applyBorder="1"/>
    <xf numFmtId="0" fontId="23" fillId="7" borderId="11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left"/>
    </xf>
    <xf numFmtId="0" fontId="23" fillId="8" borderId="0" xfId="0" applyFont="1" applyFill="1" applyBorder="1" applyAlignment="1">
      <alignment horizontal="center"/>
    </xf>
    <xf numFmtId="9" fontId="23" fillId="7" borderId="11" xfId="1" applyFont="1" applyFill="1" applyBorder="1" applyAlignment="1">
      <alignment horizontal="center"/>
    </xf>
    <xf numFmtId="0" fontId="23" fillId="0" borderId="0" xfId="0" applyFont="1" applyFill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23" fillId="4" borderId="16" xfId="0" applyFont="1" applyFill="1" applyBorder="1"/>
    <xf numFmtId="0" fontId="23" fillId="4" borderId="4" xfId="0" applyFont="1" applyFill="1" applyBorder="1"/>
    <xf numFmtId="0" fontId="23" fillId="4" borderId="21" xfId="0" applyFont="1" applyFill="1" applyBorder="1"/>
    <xf numFmtId="0" fontId="23" fillId="4" borderId="22" xfId="0" applyFont="1" applyFill="1" applyBorder="1"/>
    <xf numFmtId="0" fontId="23" fillId="4" borderId="23" xfId="0" applyFont="1" applyFill="1" applyBorder="1"/>
    <xf numFmtId="0" fontId="23" fillId="4" borderId="34" xfId="0" applyFont="1" applyFill="1" applyBorder="1"/>
    <xf numFmtId="2" fontId="23" fillId="4" borderId="34" xfId="0" applyNumberFormat="1" applyFont="1" applyFill="1" applyBorder="1" applyAlignment="1">
      <alignment horizontal="center"/>
    </xf>
    <xf numFmtId="0" fontId="22" fillId="4" borderId="12" xfId="0" applyFont="1" applyFill="1" applyBorder="1"/>
    <xf numFmtId="0" fontId="23" fillId="4" borderId="35" xfId="0" applyFont="1" applyFill="1" applyBorder="1"/>
    <xf numFmtId="0" fontId="23" fillId="4" borderId="36" xfId="0" applyFont="1" applyFill="1" applyBorder="1"/>
    <xf numFmtId="0" fontId="23" fillId="4" borderId="3" xfId="0" applyFont="1" applyFill="1" applyBorder="1"/>
    <xf numFmtId="0" fontId="23" fillId="4" borderId="2" xfId="0" applyFont="1" applyFill="1" applyBorder="1"/>
    <xf numFmtId="0" fontId="23" fillId="4" borderId="14" xfId="0" applyFont="1" applyFill="1" applyBorder="1"/>
    <xf numFmtId="0" fontId="23" fillId="4" borderId="15" xfId="0" applyFont="1" applyFill="1" applyBorder="1"/>
    <xf numFmtId="0" fontId="23" fillId="4" borderId="9" xfId="0" applyFont="1" applyFill="1" applyBorder="1"/>
    <xf numFmtId="2" fontId="23" fillId="4" borderId="9" xfId="0" applyNumberFormat="1" applyFont="1" applyFill="1" applyBorder="1" applyAlignment="1">
      <alignment horizontal="center"/>
    </xf>
    <xf numFmtId="0" fontId="22" fillId="8" borderId="16" xfId="0" applyFont="1" applyFill="1" applyBorder="1"/>
    <xf numFmtId="0" fontId="23" fillId="8" borderId="17" xfId="0" applyFont="1" applyFill="1" applyBorder="1"/>
    <xf numFmtId="0" fontId="23" fillId="8" borderId="18" xfId="0" applyFont="1" applyFill="1" applyBorder="1"/>
    <xf numFmtId="0" fontId="23" fillId="8" borderId="34" xfId="0" quotePrefix="1" applyFont="1" applyFill="1" applyBorder="1"/>
    <xf numFmtId="2" fontId="23" fillId="8" borderId="34" xfId="0" applyNumberFormat="1" applyFont="1" applyFill="1" applyBorder="1" applyAlignment="1">
      <alignment horizontal="center"/>
    </xf>
    <xf numFmtId="0" fontId="23" fillId="8" borderId="34" xfId="0" applyFont="1" applyFill="1" applyBorder="1"/>
    <xf numFmtId="0" fontId="23" fillId="8" borderId="34" xfId="0" applyFont="1" applyFill="1" applyBorder="1" applyAlignment="1">
      <alignment horizontal="center"/>
    </xf>
    <xf numFmtId="1" fontId="23" fillId="8" borderId="34" xfId="0" applyNumberFormat="1" applyFont="1" applyFill="1" applyBorder="1" applyAlignment="1">
      <alignment horizontal="center"/>
    </xf>
    <xf numFmtId="0" fontId="23" fillId="8" borderId="34" xfId="0" applyFont="1" applyFill="1" applyBorder="1" applyAlignment="1">
      <alignment horizontal="left"/>
    </xf>
    <xf numFmtId="0" fontId="22" fillId="9" borderId="37" xfId="0" applyFont="1" applyFill="1" applyBorder="1"/>
    <xf numFmtId="1" fontId="22" fillId="9" borderId="37" xfId="0" applyNumberFormat="1" applyFont="1" applyFill="1" applyBorder="1" applyAlignment="1">
      <alignment horizontal="center"/>
    </xf>
    <xf numFmtId="0" fontId="22" fillId="9" borderId="37" xfId="0" applyFont="1" applyFill="1" applyBorder="1" applyAlignment="1">
      <alignment horizontal="left"/>
    </xf>
    <xf numFmtId="0" fontId="23" fillId="8" borderId="0" xfId="0" applyFont="1" applyFill="1" applyBorder="1"/>
    <xf numFmtId="0" fontId="23" fillId="4" borderId="38" xfId="0" applyFont="1" applyFill="1" applyBorder="1"/>
    <xf numFmtId="0" fontId="23" fillId="8" borderId="19" xfId="0" applyFont="1" applyFill="1" applyBorder="1"/>
    <xf numFmtId="0" fontId="23" fillId="5" borderId="11" xfId="0" applyFont="1" applyFill="1" applyBorder="1" applyAlignment="1" applyProtection="1">
      <alignment horizontal="center"/>
    </xf>
    <xf numFmtId="9" fontId="23" fillId="5" borderId="11" xfId="1" applyFont="1" applyFill="1" applyBorder="1" applyAlignment="1" applyProtection="1">
      <alignment horizontal="center"/>
    </xf>
    <xf numFmtId="0" fontId="23" fillId="5" borderId="9" xfId="0" applyFont="1" applyFill="1" applyBorder="1" applyProtection="1"/>
    <xf numFmtId="0" fontId="23" fillId="5" borderId="9" xfId="0" applyFont="1" applyFill="1" applyBorder="1" applyAlignment="1" applyProtection="1">
      <alignment horizontal="center"/>
    </xf>
    <xf numFmtId="0" fontId="0" fillId="6" borderId="22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/>
              <a:t>Warmteverliezen</a:t>
            </a:r>
          </a:p>
        </c:rich>
      </c:tx>
      <c:layout>
        <c:manualLayout>
          <c:xMode val="edge"/>
          <c:yMode val="edge"/>
          <c:x val="0.28619318865439308"/>
          <c:y val="4.2624321270575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97729551464361E-2"/>
          <c:y val="0.30820663072569865"/>
          <c:w val="0.46711991711406692"/>
          <c:h val="0.4655887400324383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jr_bel_duurkr!$T$5:$V$5</c:f>
              <c:strCache>
                <c:ptCount val="3"/>
                <c:pt idx="0">
                  <c:v>transmissie</c:v>
                </c:pt>
                <c:pt idx="1">
                  <c:v>ventilatie</c:v>
                </c:pt>
                <c:pt idx="2">
                  <c:v>infiltratie</c:v>
                </c:pt>
              </c:strCache>
            </c:strRef>
          </c:cat>
          <c:val>
            <c:numRef>
              <c:f>jr_bel_duurkr!$T$21:$V$21</c:f>
              <c:numCache>
                <c:formatCode>0.0</c:formatCode>
                <c:ptCount val="3"/>
                <c:pt idx="0">
                  <c:v>11.254312158382657</c:v>
                </c:pt>
                <c:pt idx="1">
                  <c:v>4.7388824999999981</c:v>
                </c:pt>
                <c:pt idx="2" formatCode="0.000">
                  <c:v>11.119081541193603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57172300072104"/>
          <c:y val="0.58034652806860276"/>
          <c:w val="0.3717221875626025"/>
          <c:h val="0.239351957903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/>
              <a:t>Warmtewinsten</a:t>
            </a:r>
          </a:p>
        </c:rich>
      </c:tx>
      <c:layout>
        <c:manualLayout>
          <c:xMode val="edge"/>
          <c:yMode val="edge"/>
          <c:x val="0.321222632138771"/>
          <c:y val="4.2624321270575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3367445960578"/>
          <c:y val="0.26230351551123288"/>
          <c:w val="0.58183722047777386"/>
          <c:h val="0.6295284372269589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jr_bel_duurkr!$W$5:$X$5</c:f>
              <c:strCache>
                <c:ptCount val="2"/>
                <c:pt idx="0">
                  <c:v>intern+zon</c:v>
                </c:pt>
                <c:pt idx="1">
                  <c:v>verwarming</c:v>
                </c:pt>
              </c:strCache>
            </c:strRef>
          </c:cat>
          <c:val>
            <c:numRef>
              <c:f>jr_bel_duurkr!$W$21:$X$21</c:f>
              <c:numCache>
                <c:formatCode>0.0</c:formatCode>
                <c:ptCount val="2"/>
                <c:pt idx="0">
                  <c:v>8.88128743120485</c:v>
                </c:pt>
                <c:pt idx="1">
                  <c:v>18.801502635229792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941486208755349"/>
          <c:y val="0.69182552216087667"/>
          <c:w val="0.34243544746868981"/>
          <c:h val="0.16721849113841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/>
              <a:t>jaarbelasting duurkromme</a:t>
            </a:r>
          </a:p>
        </c:rich>
      </c:tx>
      <c:layout>
        <c:manualLayout>
          <c:xMode val="edge"/>
          <c:yMode val="edge"/>
          <c:x val="0.34489293441934105"/>
          <c:y val="2.7587117978556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6314012770151"/>
          <c:y val="0.20345499509185719"/>
          <c:w val="0.80160047314814886"/>
          <c:h val="0.551742359571138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jr_bel_duurkr!$B$6:$B$20</c:f>
              <c:numCache>
                <c:formatCode>0</c:formatCode>
                <c:ptCount val="15"/>
                <c:pt idx="0">
                  <c:v>7873</c:v>
                </c:pt>
                <c:pt idx="1">
                  <c:v>7223</c:v>
                </c:pt>
                <c:pt idx="2">
                  <c:v>6313</c:v>
                </c:pt>
                <c:pt idx="3">
                  <c:v>5462</c:v>
                </c:pt>
                <c:pt idx="4">
                  <c:v>4680</c:v>
                </c:pt>
                <c:pt idx="5">
                  <c:v>3901</c:v>
                </c:pt>
                <c:pt idx="6">
                  <c:v>2928</c:v>
                </c:pt>
                <c:pt idx="7">
                  <c:v>1970</c:v>
                </c:pt>
                <c:pt idx="8">
                  <c:v>1240</c:v>
                </c:pt>
                <c:pt idx="9">
                  <c:v>585</c:v>
                </c:pt>
                <c:pt idx="10">
                  <c:v>167</c:v>
                </c:pt>
                <c:pt idx="11">
                  <c:v>69</c:v>
                </c:pt>
                <c:pt idx="12">
                  <c:v>34</c:v>
                </c:pt>
                <c:pt idx="13">
                  <c:v>19</c:v>
                </c:pt>
                <c:pt idx="14">
                  <c:v>0</c:v>
                </c:pt>
              </c:numCache>
            </c:numRef>
          </c:xVal>
          <c:yVal>
            <c:numRef>
              <c:f>jr_bel_duurkr!$L$6:$L$20</c:f>
              <c:numCache>
                <c:formatCode>0.0</c:formatCode>
                <c:ptCount val="15"/>
                <c:pt idx="0">
                  <c:v>-0.77621286738244999</c:v>
                </c:pt>
                <c:pt idx="1">
                  <c:v>-7.2500552812953867E-2</c:v>
                </c:pt>
                <c:pt idx="2">
                  <c:v>0.63121176175654203</c:v>
                </c:pt>
                <c:pt idx="3">
                  <c:v>1.3349240763260388</c:v>
                </c:pt>
                <c:pt idx="4">
                  <c:v>2.0386363908955345</c:v>
                </c:pt>
                <c:pt idx="5">
                  <c:v>2.7423487054650306</c:v>
                </c:pt>
                <c:pt idx="6">
                  <c:v>3.4460610200345272</c:v>
                </c:pt>
                <c:pt idx="7">
                  <c:v>4.1497733346040224</c:v>
                </c:pt>
                <c:pt idx="8">
                  <c:v>4.8534856491735194</c:v>
                </c:pt>
                <c:pt idx="9">
                  <c:v>5.5571979637430147</c:v>
                </c:pt>
                <c:pt idx="10">
                  <c:v>6.2609102783125117</c:v>
                </c:pt>
                <c:pt idx="11">
                  <c:v>6.9646225928820087</c:v>
                </c:pt>
                <c:pt idx="12">
                  <c:v>7.6683349074515039</c:v>
                </c:pt>
                <c:pt idx="13">
                  <c:v>8.3720472220209992</c:v>
                </c:pt>
                <c:pt idx="14">
                  <c:v>9.0757595365904962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669976"/>
        <c:axId val="253670368"/>
      </c:scatterChart>
      <c:valAx>
        <c:axId val="253669976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t (hr)</a:t>
                </a:r>
              </a:p>
            </c:rich>
          </c:tx>
          <c:layout>
            <c:manualLayout>
              <c:xMode val="edge"/>
              <c:yMode val="edge"/>
              <c:x val="0.49135431752892428"/>
              <c:y val="0.855200657335263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NL"/>
          </a:p>
        </c:txPr>
        <c:crossAx val="253670368"/>
        <c:crosses val="autoZero"/>
        <c:crossBetween val="midCat"/>
        <c:majorUnit val="1000"/>
      </c:valAx>
      <c:valAx>
        <c:axId val="253670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P (kW)</a:t>
                </a:r>
              </a:p>
            </c:rich>
          </c:tx>
          <c:layout>
            <c:manualLayout>
              <c:xMode val="edge"/>
              <c:yMode val="edge"/>
              <c:x val="1.1023975072764328E-2"/>
              <c:y val="0.372426092710518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NL"/>
          </a:p>
        </c:txPr>
        <c:crossAx val="253669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/>
              <a:t>Warmteverliezen</a:t>
            </a:r>
          </a:p>
        </c:rich>
      </c:tx>
      <c:layout>
        <c:manualLayout>
          <c:xMode val="edge"/>
          <c:yMode val="edge"/>
          <c:x val="0.28948276553547808"/>
          <c:y val="4.2624321270575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97729551464361E-2"/>
          <c:y val="0.30820663072569865"/>
          <c:w val="0.46711991711406692"/>
          <c:h val="0.4655887400324383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jr_bel_duurkr!$T$40:$V$40</c:f>
              <c:strCache>
                <c:ptCount val="3"/>
                <c:pt idx="0">
                  <c:v>transmissie</c:v>
                </c:pt>
                <c:pt idx="1">
                  <c:v>ventilatie</c:v>
                </c:pt>
                <c:pt idx="2">
                  <c:v>infiltratie</c:v>
                </c:pt>
              </c:strCache>
            </c:strRef>
          </c:cat>
          <c:val>
            <c:numRef>
              <c:f>jr_bel_duurkr!$T$56:$V$56</c:f>
              <c:numCache>
                <c:formatCode>0.0</c:formatCode>
                <c:ptCount val="3"/>
                <c:pt idx="0">
                  <c:v>8.9545211098343032</c:v>
                </c:pt>
                <c:pt idx="1">
                  <c:v>3.7705034999999998</c:v>
                </c:pt>
                <c:pt idx="2" formatCode="0.000">
                  <c:v>2.2117311342840789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57172300072104"/>
          <c:y val="0.58362532201249329"/>
          <c:w val="0.3717221875626025"/>
          <c:h val="0.239351957903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/>
              <a:t>Warmtewinsten</a:t>
            </a:r>
          </a:p>
        </c:rich>
      </c:tx>
      <c:layout>
        <c:manualLayout>
          <c:xMode val="edge"/>
          <c:yMode val="edge"/>
          <c:x val="0.321222632138771"/>
          <c:y val="4.2624321270575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3367445960578"/>
          <c:y val="0.26558230945512334"/>
          <c:w val="0.57880681828778546"/>
          <c:h val="0.62624964328306854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jr_bel_duurkr!$W$40:$X$40</c:f>
              <c:strCache>
                <c:ptCount val="2"/>
                <c:pt idx="0">
                  <c:v>intern+zon</c:v>
                </c:pt>
                <c:pt idx="1">
                  <c:v>verwarming</c:v>
                </c:pt>
              </c:strCache>
            </c:strRef>
          </c:cat>
          <c:val>
            <c:numRef>
              <c:f>jr_bel_duurkr!$W$56:$X$56</c:f>
              <c:numCache>
                <c:formatCode>0.0</c:formatCode>
                <c:ptCount val="2"/>
                <c:pt idx="0">
                  <c:v>8.88128743120485</c:v>
                </c:pt>
                <c:pt idx="1">
                  <c:v>8.0899095191627381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941486208755349"/>
          <c:y val="0.69182552216087667"/>
          <c:w val="0.34243544746868981"/>
          <c:h val="0.16721849113841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/>
              <a:t>jaarbelasting duurkromme</a:t>
            </a:r>
          </a:p>
        </c:rich>
      </c:tx>
      <c:layout>
        <c:manualLayout>
          <c:xMode val="edge"/>
          <c:yMode val="edge"/>
          <c:x val="0.34489293441934105"/>
          <c:y val="2.7778652006747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6314012770151"/>
          <c:y val="0.20139522704891982"/>
          <c:w val="0.80317532672997238"/>
          <c:h val="0.5521007086341077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jr_bel_duurkr!$B$41:$B$55</c:f>
              <c:numCache>
                <c:formatCode>0</c:formatCode>
                <c:ptCount val="15"/>
                <c:pt idx="0">
                  <c:v>7873</c:v>
                </c:pt>
                <c:pt idx="1">
                  <c:v>7223</c:v>
                </c:pt>
                <c:pt idx="2">
                  <c:v>6313</c:v>
                </c:pt>
                <c:pt idx="3">
                  <c:v>5462</c:v>
                </c:pt>
                <c:pt idx="4">
                  <c:v>4680</c:v>
                </c:pt>
                <c:pt idx="5">
                  <c:v>3901</c:v>
                </c:pt>
                <c:pt idx="6">
                  <c:v>2928</c:v>
                </c:pt>
                <c:pt idx="7">
                  <c:v>1970</c:v>
                </c:pt>
                <c:pt idx="8">
                  <c:v>1240</c:v>
                </c:pt>
                <c:pt idx="9">
                  <c:v>585</c:v>
                </c:pt>
                <c:pt idx="10">
                  <c:v>167</c:v>
                </c:pt>
                <c:pt idx="11">
                  <c:v>69</c:v>
                </c:pt>
                <c:pt idx="12">
                  <c:v>34</c:v>
                </c:pt>
                <c:pt idx="13">
                  <c:v>19</c:v>
                </c:pt>
                <c:pt idx="14">
                  <c:v>0</c:v>
                </c:pt>
              </c:numCache>
            </c:numRef>
          </c:xVal>
          <c:yVal>
            <c:numRef>
              <c:f>jr_bel_duurkr!$L$41:$L$55</c:f>
              <c:numCache>
                <c:formatCode>0.0</c:formatCode>
                <c:ptCount val="15"/>
                <c:pt idx="0">
                  <c:v>-1.3716997435521641</c:v>
                </c:pt>
                <c:pt idx="1">
                  <c:v>-0.88443830578223204</c:v>
                </c:pt>
                <c:pt idx="2">
                  <c:v>-0.3971768680122999</c:v>
                </c:pt>
                <c:pt idx="3">
                  <c:v>9.0084569757632016E-2</c:v>
                </c:pt>
                <c:pt idx="4">
                  <c:v>0.57734600752756449</c:v>
                </c:pt>
                <c:pt idx="5">
                  <c:v>1.0646074452974963</c:v>
                </c:pt>
                <c:pt idx="6">
                  <c:v>1.5518688830674283</c:v>
                </c:pt>
                <c:pt idx="7">
                  <c:v>2.0391303208373603</c:v>
                </c:pt>
                <c:pt idx="8">
                  <c:v>2.5263917586072924</c:v>
                </c:pt>
                <c:pt idx="9">
                  <c:v>3.0136531963772253</c:v>
                </c:pt>
                <c:pt idx="10">
                  <c:v>3.500914634147156</c:v>
                </c:pt>
                <c:pt idx="11">
                  <c:v>3.9881760719170893</c:v>
                </c:pt>
                <c:pt idx="12">
                  <c:v>4.4754375096870209</c:v>
                </c:pt>
                <c:pt idx="13">
                  <c:v>4.9626989474569534</c:v>
                </c:pt>
                <c:pt idx="14">
                  <c:v>5.449960385226885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726608"/>
        <c:axId val="326727000"/>
      </c:scatterChart>
      <c:valAx>
        <c:axId val="326726608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t (hr)</a:t>
                </a:r>
              </a:p>
            </c:rich>
          </c:tx>
          <c:layout>
            <c:manualLayout>
              <c:xMode val="edge"/>
              <c:yMode val="edge"/>
              <c:x val="0.49292917111074774"/>
              <c:y val="0.854193549207487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NL"/>
          </a:p>
        </c:txPr>
        <c:crossAx val="326727000"/>
        <c:crosses val="autoZero"/>
        <c:crossBetween val="midCat"/>
        <c:majorUnit val="1000"/>
      </c:valAx>
      <c:valAx>
        <c:axId val="326727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P (kW)</a:t>
                </a:r>
              </a:p>
            </c:rich>
          </c:tx>
          <c:layout>
            <c:manualLayout>
              <c:xMode val="edge"/>
              <c:yMode val="edge"/>
              <c:x val="1.1023975072764328E-2"/>
              <c:y val="0.368067139089405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NL"/>
          </a:p>
        </c:txPr>
        <c:crossAx val="3267266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617220</xdr:colOff>
      <xdr:row>78</xdr:row>
      <xdr:rowOff>0</xdr:rowOff>
    </xdr:from>
    <xdr:ext cx="83820" cy="180340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926080" y="148666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617220</xdr:colOff>
      <xdr:row>78</xdr:row>
      <xdr:rowOff>0</xdr:rowOff>
    </xdr:from>
    <xdr:ext cx="83820" cy="18034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26080" y="14866620"/>
          <a:ext cx="838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68580</xdr:rowOff>
    </xdr:from>
    <xdr:to>
      <xdr:col>3</xdr:col>
      <xdr:colOff>495300</xdr:colOff>
      <xdr:row>16</xdr:row>
      <xdr:rowOff>45720</xdr:rowOff>
    </xdr:to>
    <xdr:graphicFrame macro="">
      <xdr:nvGraphicFramePr>
        <xdr:cNvPr id="4097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2</xdr:row>
      <xdr:rowOff>68580</xdr:rowOff>
    </xdr:from>
    <xdr:to>
      <xdr:col>7</xdr:col>
      <xdr:colOff>571500</xdr:colOff>
      <xdr:row>16</xdr:row>
      <xdr:rowOff>45720</xdr:rowOff>
    </xdr:to>
    <xdr:graphicFrame macro="">
      <xdr:nvGraphicFramePr>
        <xdr:cNvPr id="4099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129540</xdr:rowOff>
    </xdr:from>
    <xdr:to>
      <xdr:col>7</xdr:col>
      <xdr:colOff>571500</xdr:colOff>
      <xdr:row>29</xdr:row>
      <xdr:rowOff>160020</xdr:rowOff>
    </xdr:to>
    <xdr:graphicFrame macro="">
      <xdr:nvGraphicFramePr>
        <xdr:cNvPr id="4100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114300</xdr:colOff>
      <xdr:row>2</xdr:row>
      <xdr:rowOff>68580</xdr:rowOff>
    </xdr:from>
    <xdr:to>
      <xdr:col>11</xdr:col>
      <xdr:colOff>601980</xdr:colOff>
      <xdr:row>16</xdr:row>
      <xdr:rowOff>45720</xdr:rowOff>
    </xdr:to>
    <xdr:graphicFrame macro="">
      <xdr:nvGraphicFramePr>
        <xdr:cNvPr id="4101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601980</xdr:colOff>
      <xdr:row>2</xdr:row>
      <xdr:rowOff>68580</xdr:rowOff>
    </xdr:from>
    <xdr:to>
      <xdr:col>16</xdr:col>
      <xdr:colOff>68580</xdr:colOff>
      <xdr:row>16</xdr:row>
      <xdr:rowOff>45720</xdr:rowOff>
    </xdr:to>
    <xdr:graphicFrame macro="">
      <xdr:nvGraphicFramePr>
        <xdr:cNvPr id="4102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106680</xdr:colOff>
      <xdr:row>16</xdr:row>
      <xdr:rowOff>121920</xdr:rowOff>
    </xdr:from>
    <xdr:to>
      <xdr:col>16</xdr:col>
      <xdr:colOff>68580</xdr:colOff>
      <xdr:row>29</xdr:row>
      <xdr:rowOff>137160</xdr:rowOff>
    </xdr:to>
    <xdr:graphicFrame macro="">
      <xdr:nvGraphicFramePr>
        <xdr:cNvPr id="4103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235527</xdr:colOff>
      <xdr:row>0</xdr:row>
      <xdr:rowOff>55418</xdr:rowOff>
    </xdr:from>
    <xdr:to>
      <xdr:col>10</xdr:col>
      <xdr:colOff>2426368</xdr:colOff>
      <xdr:row>17</xdr:row>
      <xdr:rowOff>40106</xdr:rowOff>
    </xdr:to>
    <xdr:grpSp>
      <xdr:nvGrpSpPr>
        <xdr:cNvPr id="5121" name="Group 1"/>
        <xdr:cNvGrpSpPr>
          <a:grpSpLocks/>
        </xdr:cNvGrpSpPr>
      </xdr:nvGrpSpPr>
      <xdr:grpSpPr bwMode="auto">
        <a:xfrm>
          <a:off x="4258586" y="55418"/>
          <a:ext cx="5712585" cy="3356037"/>
          <a:chOff x="3130" y="1358"/>
          <a:chExt cx="7197" cy="5885"/>
        </a:xfrm>
      </xdr:grpSpPr>
      <xdr:pic>
        <xdr:nvPicPr>
          <xdr:cNvPr id="5122" name="Picture 2" descr="energiebalanshui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lum bright="-12000" contrast="48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8523" b="12770"/>
          <a:stretch>
            <a:fillRect/>
          </a:stretch>
        </xdr:blipFill>
        <xdr:spPr bwMode="auto">
          <a:xfrm>
            <a:off x="3489" y="1358"/>
            <a:ext cx="6415" cy="48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5123" name="Group 3"/>
          <xdr:cNvGrpSpPr>
            <a:grpSpLocks/>
          </xdr:cNvGrpSpPr>
        </xdr:nvGrpSpPr>
        <xdr:grpSpPr bwMode="auto">
          <a:xfrm rot="-2017812">
            <a:off x="7746" y="1825"/>
            <a:ext cx="2313" cy="773"/>
            <a:chOff x="11309" y="2606"/>
            <a:chExt cx="2722" cy="1059"/>
          </a:xfrm>
        </xdr:grpSpPr>
        <xdr:sp macro="" textlink="">
          <xdr:nvSpPr>
            <xdr:cNvPr id="5124" name="AutoShape 4"/>
            <xdr:cNvSpPr>
              <a:spLocks noChangeArrowheads="1"/>
            </xdr:cNvSpPr>
          </xdr:nvSpPr>
          <xdr:spPr bwMode="auto">
            <a:xfrm>
              <a:off x="11309" y="2606"/>
              <a:ext cx="2722" cy="1059"/>
            </a:xfrm>
            <a:custGeom>
              <a:avLst/>
              <a:gdLst>
                <a:gd name="G0" fmla="+- 16200 0 0"/>
                <a:gd name="G1" fmla="+- 5400 0 0"/>
                <a:gd name="G2" fmla="+- 21600 0 5400"/>
                <a:gd name="G3" fmla="+- 10800 0 5400"/>
                <a:gd name="G4" fmla="+- 21600 0 16200"/>
                <a:gd name="G5" fmla="*/ G4 G3 10800"/>
                <a:gd name="G6" fmla="+- 21600 0 G5"/>
                <a:gd name="T0" fmla="*/ 16200 w 21600"/>
                <a:gd name="T1" fmla="*/ 0 h 21600"/>
                <a:gd name="T2" fmla="*/ 0 w 21600"/>
                <a:gd name="T3" fmla="*/ 10800 h 21600"/>
                <a:gd name="T4" fmla="*/ 16200 w 21600"/>
                <a:gd name="T5" fmla="*/ 21600 h 21600"/>
                <a:gd name="T6" fmla="*/ 21600 w 21600"/>
                <a:gd name="T7" fmla="*/ 10800 h 21600"/>
                <a:gd name="T8" fmla="*/ 17694720 60000 65536"/>
                <a:gd name="T9" fmla="*/ 11796480 60000 65536"/>
                <a:gd name="T10" fmla="*/ 5898240 60000 65536"/>
                <a:gd name="T11" fmla="*/ 0 60000 65536"/>
                <a:gd name="T12" fmla="*/ 3375 w 21600"/>
                <a:gd name="T13" fmla="*/ G1 h 21600"/>
                <a:gd name="T14" fmla="*/ G6 w 21600"/>
                <a:gd name="T15" fmla="*/ G2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close/>
                </a:path>
                <a:path w="21600" h="2160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close/>
                </a:path>
                <a:path w="21600" h="2160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close/>
                </a:path>
              </a:pathLst>
            </a:custGeom>
            <a:solidFill>
              <a:srgbClr val="F8A500">
                <a:alpha val="50000"/>
              </a:srgb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66330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125" name="WordArt 5"/>
            <xdr:cNvSpPr>
              <a:spLocks noChangeArrowheads="1" noChangeShapeType="1" noTextEdit="1"/>
            </xdr:cNvSpPr>
          </xdr:nvSpPr>
          <xdr:spPr bwMode="auto">
            <a:xfrm>
              <a:off x="11602" y="2970"/>
              <a:ext cx="1695" cy="40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nl-NL" sz="1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FFFF"/>
                  </a:solidFill>
                  <a:effectLst/>
                  <a:latin typeface="Arial Black" panose="020B0A04020102020204" pitchFamily="34" charset="0"/>
                </a:rPr>
                <a:t>Energie uit</a:t>
              </a:r>
            </a:p>
          </xdr:txBody>
        </xdr:sp>
      </xdr:grpSp>
      <xdr:grpSp>
        <xdr:nvGrpSpPr>
          <xdr:cNvPr id="5126" name="Group 6"/>
          <xdr:cNvGrpSpPr>
            <a:grpSpLocks/>
          </xdr:cNvGrpSpPr>
        </xdr:nvGrpSpPr>
        <xdr:grpSpPr bwMode="auto">
          <a:xfrm>
            <a:off x="8343" y="3858"/>
            <a:ext cx="1984" cy="750"/>
            <a:chOff x="11309" y="2606"/>
            <a:chExt cx="2722" cy="1059"/>
          </a:xfrm>
        </xdr:grpSpPr>
        <xdr:sp macro="" textlink="">
          <xdr:nvSpPr>
            <xdr:cNvPr id="5127" name="AutoShape 7"/>
            <xdr:cNvSpPr>
              <a:spLocks noChangeArrowheads="1"/>
            </xdr:cNvSpPr>
          </xdr:nvSpPr>
          <xdr:spPr bwMode="auto">
            <a:xfrm>
              <a:off x="11309" y="2606"/>
              <a:ext cx="2722" cy="1059"/>
            </a:xfrm>
            <a:custGeom>
              <a:avLst/>
              <a:gdLst>
                <a:gd name="G0" fmla="+- 16200 0 0"/>
                <a:gd name="G1" fmla="+- 5400 0 0"/>
                <a:gd name="G2" fmla="+- 21600 0 5400"/>
                <a:gd name="G3" fmla="+- 10800 0 5400"/>
                <a:gd name="G4" fmla="+- 21600 0 16200"/>
                <a:gd name="G5" fmla="*/ G4 G3 10800"/>
                <a:gd name="G6" fmla="+- 21600 0 G5"/>
                <a:gd name="T0" fmla="*/ 16200 w 21600"/>
                <a:gd name="T1" fmla="*/ 0 h 21600"/>
                <a:gd name="T2" fmla="*/ 0 w 21600"/>
                <a:gd name="T3" fmla="*/ 10800 h 21600"/>
                <a:gd name="T4" fmla="*/ 16200 w 21600"/>
                <a:gd name="T5" fmla="*/ 21600 h 21600"/>
                <a:gd name="T6" fmla="*/ 21600 w 21600"/>
                <a:gd name="T7" fmla="*/ 10800 h 21600"/>
                <a:gd name="T8" fmla="*/ 17694720 60000 65536"/>
                <a:gd name="T9" fmla="*/ 11796480 60000 65536"/>
                <a:gd name="T10" fmla="*/ 5898240 60000 65536"/>
                <a:gd name="T11" fmla="*/ 0 60000 65536"/>
                <a:gd name="T12" fmla="*/ 3375 w 21600"/>
                <a:gd name="T13" fmla="*/ G1 h 21600"/>
                <a:gd name="T14" fmla="*/ G6 w 21600"/>
                <a:gd name="T15" fmla="*/ G2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close/>
                </a:path>
                <a:path w="21600" h="2160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close/>
                </a:path>
                <a:path w="21600" h="2160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close/>
                </a:path>
              </a:pathLst>
            </a:custGeom>
            <a:solidFill>
              <a:srgbClr val="F8A500">
                <a:alpha val="50000"/>
              </a:srgb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66330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128" name="WordArt 8"/>
            <xdr:cNvSpPr>
              <a:spLocks noChangeArrowheads="1" noChangeShapeType="1" noTextEdit="1"/>
            </xdr:cNvSpPr>
          </xdr:nvSpPr>
          <xdr:spPr bwMode="auto">
            <a:xfrm>
              <a:off x="11602" y="2970"/>
              <a:ext cx="1695" cy="40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nl-NL" sz="1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FFFF"/>
                  </a:solidFill>
                  <a:effectLst/>
                  <a:latin typeface="Arial Black" panose="020B0A04020102020204" pitchFamily="34" charset="0"/>
                </a:rPr>
                <a:t>Energie uit</a:t>
              </a:r>
            </a:p>
          </xdr:txBody>
        </xdr:sp>
      </xdr:grpSp>
      <xdr:grpSp>
        <xdr:nvGrpSpPr>
          <xdr:cNvPr id="5129" name="Group 9"/>
          <xdr:cNvGrpSpPr>
            <a:grpSpLocks/>
          </xdr:cNvGrpSpPr>
        </xdr:nvGrpSpPr>
        <xdr:grpSpPr bwMode="auto">
          <a:xfrm rot="1705887">
            <a:off x="3130" y="2630"/>
            <a:ext cx="2175" cy="1352"/>
            <a:chOff x="1090" y="3155"/>
            <a:chExt cx="2175" cy="1352"/>
          </a:xfrm>
        </xdr:grpSpPr>
        <xdr:sp macro="" textlink="">
          <xdr:nvSpPr>
            <xdr:cNvPr id="5130" name="AutoShape 10"/>
            <xdr:cNvSpPr>
              <a:spLocks noChangeArrowheads="1"/>
            </xdr:cNvSpPr>
          </xdr:nvSpPr>
          <xdr:spPr bwMode="auto">
            <a:xfrm>
              <a:off x="1090" y="3155"/>
              <a:ext cx="2175" cy="1352"/>
            </a:xfrm>
            <a:custGeom>
              <a:avLst/>
              <a:gdLst>
                <a:gd name="G0" fmla="+- 16200 0 0"/>
                <a:gd name="G1" fmla="+- 5400 0 0"/>
                <a:gd name="G2" fmla="+- 21600 0 5400"/>
                <a:gd name="G3" fmla="+- 10800 0 5400"/>
                <a:gd name="G4" fmla="+- 21600 0 16200"/>
                <a:gd name="G5" fmla="*/ G4 G3 10800"/>
                <a:gd name="G6" fmla="+- 21600 0 G5"/>
                <a:gd name="T0" fmla="*/ 16200 w 21600"/>
                <a:gd name="T1" fmla="*/ 0 h 21600"/>
                <a:gd name="T2" fmla="*/ 0 w 21600"/>
                <a:gd name="T3" fmla="*/ 10800 h 21600"/>
                <a:gd name="T4" fmla="*/ 16200 w 21600"/>
                <a:gd name="T5" fmla="*/ 21600 h 21600"/>
                <a:gd name="T6" fmla="*/ 21600 w 21600"/>
                <a:gd name="T7" fmla="*/ 10800 h 21600"/>
                <a:gd name="T8" fmla="*/ 17694720 60000 65536"/>
                <a:gd name="T9" fmla="*/ 11796480 60000 65536"/>
                <a:gd name="T10" fmla="*/ 5898240 60000 65536"/>
                <a:gd name="T11" fmla="*/ 0 60000 65536"/>
                <a:gd name="T12" fmla="*/ 3375 w 21600"/>
                <a:gd name="T13" fmla="*/ G1 h 21600"/>
                <a:gd name="T14" fmla="*/ G6 w 21600"/>
                <a:gd name="T15" fmla="*/ G2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close/>
                </a:path>
                <a:path w="21600" h="2160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close/>
                </a:path>
                <a:path w="21600" h="2160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close/>
                </a:path>
              </a:pathLst>
            </a:custGeom>
            <a:solidFill>
              <a:srgbClr val="F8A500">
                <a:alpha val="50000"/>
              </a:srgb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66330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131" name="WordArt 11"/>
            <xdr:cNvSpPr>
              <a:spLocks noChangeArrowheads="1" noChangeShapeType="1" noTextEdit="1"/>
            </xdr:cNvSpPr>
          </xdr:nvSpPr>
          <xdr:spPr bwMode="auto">
            <a:xfrm>
              <a:off x="1342" y="3660"/>
              <a:ext cx="1575" cy="40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nl-NL" sz="1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FFFF"/>
                  </a:solidFill>
                  <a:effectLst/>
                  <a:latin typeface="Arial Black" panose="020B0A04020102020204" pitchFamily="34" charset="0"/>
                </a:rPr>
                <a:t>Energie in</a:t>
              </a:r>
            </a:p>
          </xdr:txBody>
        </xdr:sp>
      </xdr:grpSp>
      <xdr:grpSp>
        <xdr:nvGrpSpPr>
          <xdr:cNvPr id="5132" name="Group 12"/>
          <xdr:cNvGrpSpPr>
            <a:grpSpLocks/>
          </xdr:cNvGrpSpPr>
        </xdr:nvGrpSpPr>
        <xdr:grpSpPr bwMode="auto">
          <a:xfrm rot="16200000">
            <a:off x="6551" y="5779"/>
            <a:ext cx="1950" cy="977"/>
            <a:chOff x="1090" y="3155"/>
            <a:chExt cx="2175" cy="1352"/>
          </a:xfrm>
        </xdr:grpSpPr>
        <xdr:sp macro="" textlink="">
          <xdr:nvSpPr>
            <xdr:cNvPr id="5133" name="AutoShape 13"/>
            <xdr:cNvSpPr>
              <a:spLocks noChangeArrowheads="1"/>
            </xdr:cNvSpPr>
          </xdr:nvSpPr>
          <xdr:spPr bwMode="auto">
            <a:xfrm>
              <a:off x="1090" y="3155"/>
              <a:ext cx="2175" cy="1352"/>
            </a:xfrm>
            <a:custGeom>
              <a:avLst/>
              <a:gdLst>
                <a:gd name="G0" fmla="+- 16200 0 0"/>
                <a:gd name="G1" fmla="+- 5400 0 0"/>
                <a:gd name="G2" fmla="+- 21600 0 5400"/>
                <a:gd name="G3" fmla="+- 10800 0 5400"/>
                <a:gd name="G4" fmla="+- 21600 0 16200"/>
                <a:gd name="G5" fmla="*/ G4 G3 10800"/>
                <a:gd name="G6" fmla="+- 21600 0 G5"/>
                <a:gd name="T0" fmla="*/ 16200 w 21600"/>
                <a:gd name="T1" fmla="*/ 0 h 21600"/>
                <a:gd name="T2" fmla="*/ 0 w 21600"/>
                <a:gd name="T3" fmla="*/ 10800 h 21600"/>
                <a:gd name="T4" fmla="*/ 16200 w 21600"/>
                <a:gd name="T5" fmla="*/ 21600 h 21600"/>
                <a:gd name="T6" fmla="*/ 21600 w 21600"/>
                <a:gd name="T7" fmla="*/ 10800 h 21600"/>
                <a:gd name="T8" fmla="*/ 17694720 60000 65536"/>
                <a:gd name="T9" fmla="*/ 11796480 60000 65536"/>
                <a:gd name="T10" fmla="*/ 5898240 60000 65536"/>
                <a:gd name="T11" fmla="*/ 0 60000 65536"/>
                <a:gd name="T12" fmla="*/ 3375 w 21600"/>
                <a:gd name="T13" fmla="*/ G1 h 21600"/>
                <a:gd name="T14" fmla="*/ G6 w 21600"/>
                <a:gd name="T15" fmla="*/ G2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close/>
                </a:path>
                <a:path w="21600" h="2160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close/>
                </a:path>
                <a:path w="21600" h="2160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close/>
                </a:path>
              </a:pathLst>
            </a:custGeom>
            <a:solidFill>
              <a:srgbClr val="F8A500">
                <a:alpha val="50000"/>
              </a:srgb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66330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134" name="WordArt 14"/>
            <xdr:cNvSpPr>
              <a:spLocks noChangeArrowheads="1" noChangeShapeType="1" noTextEdit="1"/>
            </xdr:cNvSpPr>
          </xdr:nvSpPr>
          <xdr:spPr bwMode="auto">
            <a:xfrm>
              <a:off x="1342" y="3660"/>
              <a:ext cx="1575" cy="40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nl-NL" sz="1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FFFF"/>
                  </a:solidFill>
                  <a:effectLst/>
                  <a:latin typeface="Arial Black" panose="020B0A04020102020204" pitchFamily="34" charset="0"/>
                </a:rPr>
                <a:t>Energie in</a:t>
              </a:r>
            </a:p>
          </xdr:txBody>
        </xdr:sp>
      </xdr:grpSp>
    </xdr:grpSp>
    <xdr:clientData/>
  </xdr:twoCellAnchor>
  <xdr:twoCellAnchor editAs="oneCell">
    <xdr:from>
      <xdr:col>4</xdr:col>
      <xdr:colOff>35929</xdr:colOff>
      <xdr:row>17</xdr:row>
      <xdr:rowOff>100263</xdr:rowOff>
    </xdr:from>
    <xdr:to>
      <xdr:col>10</xdr:col>
      <xdr:colOff>2857500</xdr:colOff>
      <xdr:row>21</xdr:row>
      <xdr:rowOff>120715</xdr:rowOff>
    </xdr:to>
    <xdr:pic>
      <xdr:nvPicPr>
        <xdr:cNvPr id="18" name="Afbeelding 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0"/>
        <a:stretch/>
      </xdr:blipFill>
      <xdr:spPr bwMode="auto">
        <a:xfrm>
          <a:off x="4166771" y="3348789"/>
          <a:ext cx="6370887" cy="742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opLeftCell="A41" zoomScale="75" workbookViewId="0">
      <selection activeCell="B20" sqref="B20"/>
    </sheetView>
  </sheetViews>
  <sheetFormatPr defaultColWidth="9.28515625" defaultRowHeight="14.25"/>
  <cols>
    <col min="1" max="1" width="22.7109375" style="22" customWidth="1"/>
    <col min="2" max="2" width="11" style="21" customWidth="1"/>
    <col min="3" max="3" width="15" style="21" bestFit="1" customWidth="1"/>
    <col min="4" max="4" width="27.28515625" style="21" customWidth="1"/>
    <col min="5" max="5" width="12.140625" style="21" bestFit="1" customWidth="1"/>
    <col min="6" max="6" width="23.85546875" style="21" customWidth="1"/>
    <col min="7" max="7" width="14.140625" style="21" customWidth="1"/>
    <col min="8" max="16384" width="9.28515625" style="22"/>
  </cols>
  <sheetData>
    <row r="1" spans="1:11" ht="27">
      <c r="A1" s="150" t="s">
        <v>197</v>
      </c>
    </row>
    <row r="3" spans="1:11" ht="21.75" customHeight="1" thickBot="1">
      <c r="A3" s="22" t="s">
        <v>191</v>
      </c>
    </row>
    <row r="4" spans="1:11" ht="21.75" customHeight="1">
      <c r="A4" s="69" t="s">
        <v>42</v>
      </c>
      <c r="B4" s="70"/>
      <c r="C4" s="70"/>
      <c r="D4" s="71"/>
      <c r="F4" s="32"/>
      <c r="G4" s="32"/>
      <c r="H4" s="80"/>
      <c r="I4" s="80"/>
      <c r="J4" s="80"/>
      <c r="K4" s="80"/>
    </row>
    <row r="5" spans="1:11" ht="15">
      <c r="A5" s="72"/>
      <c r="B5" s="32" t="s">
        <v>192</v>
      </c>
      <c r="C5" s="32"/>
      <c r="D5" s="74"/>
      <c r="E5" s="22"/>
      <c r="F5" s="155"/>
      <c r="G5" s="80"/>
      <c r="H5" s="80"/>
      <c r="I5" s="80"/>
      <c r="J5" s="80"/>
      <c r="K5" s="80"/>
    </row>
    <row r="6" spans="1:11">
      <c r="A6" s="72" t="s">
        <v>44</v>
      </c>
      <c r="B6" s="156" t="str">
        <f>Energiebalans!C3</f>
        <v>hoek</v>
      </c>
      <c r="C6" s="73" t="s">
        <v>175</v>
      </c>
      <c r="D6" s="74"/>
      <c r="F6" s="80"/>
      <c r="G6" s="73"/>
      <c r="H6" s="73"/>
      <c r="I6" s="80"/>
      <c r="J6" s="80"/>
      <c r="K6" s="80"/>
    </row>
    <row r="7" spans="1:11">
      <c r="A7" s="72" t="s">
        <v>195</v>
      </c>
      <c r="B7" s="156">
        <f>Energiebalans!$C$4</f>
        <v>18</v>
      </c>
      <c r="C7" s="32" t="s">
        <v>118</v>
      </c>
      <c r="D7" s="75"/>
      <c r="F7" s="80"/>
      <c r="G7" s="32"/>
      <c r="H7" s="32"/>
      <c r="I7" s="80"/>
      <c r="J7" s="80"/>
      <c r="K7" s="80"/>
    </row>
    <row r="8" spans="1:11">
      <c r="A8" s="72" t="s">
        <v>174</v>
      </c>
      <c r="B8" s="156">
        <f>Energiebalans!C5</f>
        <v>8</v>
      </c>
      <c r="C8" s="32" t="s">
        <v>181</v>
      </c>
      <c r="D8" s="75"/>
      <c r="E8" s="22"/>
      <c r="F8"/>
      <c r="G8" s="32"/>
      <c r="H8" s="32"/>
      <c r="I8" s="80"/>
      <c r="J8" s="80"/>
      <c r="K8" s="80"/>
    </row>
    <row r="9" spans="1:11">
      <c r="A9" s="72" t="s">
        <v>1</v>
      </c>
      <c r="B9" s="156">
        <f>Energiebalans!C6</f>
        <v>10</v>
      </c>
      <c r="C9" s="32" t="s">
        <v>181</v>
      </c>
      <c r="D9" s="74"/>
      <c r="E9" s="24"/>
      <c r="F9" s="80"/>
      <c r="G9" s="32"/>
      <c r="H9" s="32"/>
      <c r="I9" s="80"/>
      <c r="J9" s="80"/>
      <c r="K9" s="80"/>
    </row>
    <row r="10" spans="1:11">
      <c r="A10" s="72" t="s">
        <v>0</v>
      </c>
      <c r="B10" s="156">
        <f>Energiebalans!C7</f>
        <v>2</v>
      </c>
      <c r="C10" s="32"/>
      <c r="D10" s="74"/>
      <c r="F10" s="80"/>
      <c r="G10" s="32"/>
      <c r="H10" s="32"/>
      <c r="I10" s="80"/>
      <c r="J10" s="80"/>
      <c r="K10" s="80"/>
    </row>
    <row r="11" spans="1:11">
      <c r="A11" s="72" t="s">
        <v>41</v>
      </c>
      <c r="B11" s="156">
        <f>Energiebalans!C8</f>
        <v>2.6</v>
      </c>
      <c r="C11" s="32" t="s">
        <v>181</v>
      </c>
      <c r="D11" s="74"/>
      <c r="F11" s="80"/>
      <c r="G11" s="32"/>
      <c r="H11" s="32"/>
      <c r="I11" s="80"/>
      <c r="J11" s="80"/>
      <c r="K11" s="80"/>
    </row>
    <row r="12" spans="1:11">
      <c r="A12" s="72" t="s">
        <v>40</v>
      </c>
      <c r="B12" s="156">
        <f>Energiebalans!C9</f>
        <v>30</v>
      </c>
      <c r="C12" s="32" t="s">
        <v>182</v>
      </c>
      <c r="D12" s="75"/>
      <c r="E12" s="22"/>
      <c r="F12" s="80"/>
      <c r="G12" s="32"/>
      <c r="H12" s="32"/>
      <c r="I12" s="80"/>
      <c r="J12" s="80"/>
      <c r="K12" s="80"/>
    </row>
    <row r="13" spans="1:11">
      <c r="A13" s="72" t="s">
        <v>209</v>
      </c>
      <c r="B13" s="156">
        <f>Energiebalans!C10</f>
        <v>25</v>
      </c>
      <c r="C13" s="32" t="s">
        <v>187</v>
      </c>
      <c r="D13" s="75"/>
      <c r="E13" s="22"/>
      <c r="F13" s="80"/>
      <c r="G13" s="32"/>
      <c r="H13" s="32"/>
      <c r="I13" s="80"/>
      <c r="J13" s="80"/>
      <c r="K13" s="80"/>
    </row>
    <row r="14" spans="1:11" ht="16.5">
      <c r="A14" s="72" t="s">
        <v>176</v>
      </c>
      <c r="B14" s="156">
        <f>Energiebalans!C11</f>
        <v>2.2000000000000002</v>
      </c>
      <c r="C14" s="32" t="s">
        <v>183</v>
      </c>
      <c r="D14" s="75"/>
      <c r="E14" s="22"/>
      <c r="F14" s="80"/>
      <c r="G14" s="32"/>
      <c r="H14" s="32"/>
      <c r="I14" s="80"/>
      <c r="J14" s="80"/>
      <c r="K14" s="80"/>
    </row>
    <row r="15" spans="1:11" ht="16.5">
      <c r="A15" s="72" t="s">
        <v>177</v>
      </c>
      <c r="B15" s="156">
        <f>Energiebalans!C12</f>
        <v>2.6</v>
      </c>
      <c r="C15" s="32" t="s">
        <v>183</v>
      </c>
      <c r="D15" s="75"/>
      <c r="E15" s="22"/>
      <c r="F15" s="80"/>
      <c r="G15" s="32"/>
      <c r="H15" s="32"/>
      <c r="I15" s="80"/>
      <c r="J15" s="80"/>
      <c r="K15" s="80"/>
    </row>
    <row r="16" spans="1:11" ht="16.5">
      <c r="A16" s="72" t="s">
        <v>178</v>
      </c>
      <c r="B16" s="156">
        <f>Energiebalans!C13</f>
        <v>2.5</v>
      </c>
      <c r="C16" s="32" t="s">
        <v>183</v>
      </c>
      <c r="D16" s="75"/>
      <c r="E16" s="22"/>
      <c r="F16" s="80"/>
      <c r="G16" s="32"/>
      <c r="H16" s="32"/>
      <c r="I16" s="80"/>
      <c r="J16" s="80"/>
      <c r="K16" s="80"/>
    </row>
    <row r="17" spans="1:11" ht="16.5">
      <c r="A17" s="72" t="s">
        <v>179</v>
      </c>
      <c r="B17" s="156">
        <f>Energiebalans!C14</f>
        <v>1.8</v>
      </c>
      <c r="C17" s="32" t="s">
        <v>184</v>
      </c>
      <c r="D17" s="75"/>
      <c r="E17" s="22"/>
      <c r="F17" s="80"/>
      <c r="G17" s="32"/>
      <c r="H17" s="32"/>
      <c r="I17" s="80"/>
      <c r="J17" s="80"/>
      <c r="K17" s="80"/>
    </row>
    <row r="18" spans="1:11">
      <c r="A18" s="76" t="s">
        <v>180</v>
      </c>
      <c r="B18" s="156">
        <f>Energiebalans!C15</f>
        <v>0</v>
      </c>
      <c r="C18" s="32"/>
      <c r="D18" s="75"/>
      <c r="E18" s="22"/>
      <c r="F18" s="82"/>
      <c r="G18" s="32"/>
      <c r="H18" s="32"/>
      <c r="I18" s="80"/>
      <c r="J18" s="80"/>
      <c r="K18" s="80"/>
    </row>
    <row r="19" spans="1:11">
      <c r="A19" s="72" t="s">
        <v>205</v>
      </c>
      <c r="B19" s="156">
        <f>Energiebalans!C16</f>
        <v>0.6</v>
      </c>
      <c r="C19" s="32" t="s">
        <v>185</v>
      </c>
      <c r="D19" s="75" t="s">
        <v>206</v>
      </c>
      <c r="E19" s="22"/>
      <c r="F19" s="80"/>
      <c r="G19" s="32"/>
      <c r="H19" s="32"/>
      <c r="I19" s="80"/>
      <c r="J19" s="80"/>
      <c r="K19" s="80"/>
    </row>
    <row r="20" spans="1:11">
      <c r="A20" s="72" t="s">
        <v>188</v>
      </c>
      <c r="B20" s="156">
        <f>Energiebalans!C20</f>
        <v>2</v>
      </c>
      <c r="C20" s="32"/>
      <c r="D20" s="75"/>
      <c r="E20" s="22"/>
      <c r="F20" s="80"/>
      <c r="G20" s="32"/>
      <c r="H20" s="32"/>
      <c r="I20" s="80"/>
      <c r="J20" s="80"/>
      <c r="K20" s="80"/>
    </row>
    <row r="21" spans="1:11">
      <c r="A21" s="72" t="s">
        <v>189</v>
      </c>
      <c r="B21" s="156">
        <f>Energiebalans!C21</f>
        <v>5000</v>
      </c>
      <c r="C21" s="32" t="s">
        <v>190</v>
      </c>
      <c r="D21" s="75"/>
      <c r="E21" s="22"/>
      <c r="F21" s="80"/>
      <c r="G21" s="32"/>
      <c r="H21" s="32"/>
      <c r="I21" s="80"/>
      <c r="J21" s="80"/>
      <c r="K21" s="80"/>
    </row>
    <row r="22" spans="1:11" ht="9" customHeight="1" thickBot="1">
      <c r="A22" s="77"/>
      <c r="B22" s="78"/>
      <c r="C22" s="78"/>
      <c r="D22" s="79"/>
      <c r="E22" s="22"/>
      <c r="F22" s="32"/>
      <c r="G22" s="80"/>
      <c r="H22" s="80"/>
      <c r="I22" s="80"/>
      <c r="J22" s="80"/>
      <c r="K22" s="80"/>
    </row>
    <row r="23" spans="1:11" ht="9" customHeight="1">
      <c r="A23" s="80"/>
      <c r="B23" s="32"/>
      <c r="C23" s="32"/>
      <c r="D23" s="73"/>
      <c r="E23" s="22"/>
      <c r="F23" s="32"/>
      <c r="G23" s="80"/>
      <c r="H23" s="80"/>
      <c r="I23" s="80"/>
      <c r="J23" s="80"/>
      <c r="K23" s="80"/>
    </row>
    <row r="24" spans="1:11" ht="15">
      <c r="A24" s="81" t="s">
        <v>194</v>
      </c>
      <c r="B24" s="32"/>
      <c r="C24" s="32"/>
      <c r="D24" s="73"/>
      <c r="E24" s="22"/>
      <c r="G24" s="22"/>
    </row>
    <row r="25" spans="1:11">
      <c r="A25" s="83" t="s">
        <v>2</v>
      </c>
      <c r="B25" s="84">
        <f>B8*B9*(B10*B11+B8/4*TAN(PI()*B12/180))</f>
        <v>508.37604307034013</v>
      </c>
      <c r="C25" s="85"/>
      <c r="D25" s="86"/>
      <c r="E25" s="85"/>
      <c r="F25" s="85"/>
    </row>
    <row r="26" spans="1:11" ht="16.5">
      <c r="A26" s="83" t="s">
        <v>119</v>
      </c>
      <c r="B26" s="84">
        <f>B25/B11</f>
        <v>195.5292473347462</v>
      </c>
      <c r="C26" s="85"/>
      <c r="D26" s="86" t="s">
        <v>102</v>
      </c>
      <c r="E26" s="85"/>
      <c r="F26" s="85"/>
    </row>
    <row r="27" spans="1:11" ht="16.5">
      <c r="A27" s="83" t="s">
        <v>120</v>
      </c>
      <c r="B27" s="85">
        <f>IF($B$6="hoek",(2*$B$8+$B$9)*$B$10*$B$11,2*$B$8*$B$10*$B$11)</f>
        <v>135.20000000000002</v>
      </c>
      <c r="C27" s="85"/>
      <c r="D27" s="86"/>
      <c r="E27" s="85"/>
      <c r="F27" s="85"/>
    </row>
    <row r="28" spans="1:11">
      <c r="A28" s="83" t="s">
        <v>3</v>
      </c>
      <c r="B28" s="87">
        <v>0.2</v>
      </c>
      <c r="C28" s="85"/>
      <c r="D28" s="83"/>
      <c r="E28" s="83"/>
      <c r="F28" s="85"/>
      <c r="G28" s="22"/>
    </row>
    <row r="29" spans="1:11">
      <c r="A29" s="83"/>
      <c r="B29" s="88"/>
      <c r="C29" s="85"/>
      <c r="D29" s="83"/>
      <c r="E29" s="83"/>
      <c r="F29" s="85"/>
      <c r="G29" s="22"/>
    </row>
    <row r="30" spans="1:11" ht="18.75">
      <c r="A30" s="89" t="s">
        <v>4</v>
      </c>
      <c r="B30" s="85" t="s">
        <v>5</v>
      </c>
      <c r="C30" s="85" t="s">
        <v>109</v>
      </c>
      <c r="D30" s="85" t="s">
        <v>126</v>
      </c>
      <c r="E30" s="85" t="s">
        <v>129</v>
      </c>
      <c r="F30" s="85" t="s">
        <v>46</v>
      </c>
    </row>
    <row r="31" spans="1:11" ht="16.5">
      <c r="A31" s="83"/>
      <c r="B31" s="85" t="s">
        <v>6</v>
      </c>
      <c r="C31" s="85" t="s">
        <v>130</v>
      </c>
      <c r="D31" s="85" t="s">
        <v>131</v>
      </c>
      <c r="E31" s="85"/>
      <c r="F31" s="85" t="s">
        <v>49</v>
      </c>
    </row>
    <row r="32" spans="1:11">
      <c r="A32" s="83"/>
      <c r="B32" s="85"/>
      <c r="C32" s="85"/>
      <c r="D32" s="85"/>
      <c r="E32" s="85"/>
      <c r="F32" s="85"/>
    </row>
    <row r="33" spans="1:7" ht="16.5">
      <c r="A33" s="86" t="s">
        <v>121</v>
      </c>
      <c r="B33" s="85">
        <f>B8*B9</f>
        <v>80</v>
      </c>
      <c r="C33" s="85">
        <f>B14</f>
        <v>2.2000000000000002</v>
      </c>
      <c r="D33" s="90">
        <f>1/(C33+0.17)</f>
        <v>0.42194092827004215</v>
      </c>
      <c r="E33" s="91">
        <f>1/(1+D33)</f>
        <v>0.70326409495548958</v>
      </c>
      <c r="F33" s="90">
        <f>B33*D33*E33</f>
        <v>23.73887240356083</v>
      </c>
    </row>
    <row r="34" spans="1:7" ht="16.5">
      <c r="A34" s="86" t="s">
        <v>122</v>
      </c>
      <c r="B34" s="90">
        <f>B8*B9/COS(PI()*B12/180)</f>
        <v>92.376043070340117</v>
      </c>
      <c r="C34" s="85">
        <f>B16</f>
        <v>2.5</v>
      </c>
      <c r="D34" s="90">
        <f>1/(C34+0.17)</f>
        <v>0.37453183520599254</v>
      </c>
      <c r="E34" s="85">
        <v>1</v>
      </c>
      <c r="F34" s="90">
        <f>B34*D34*E34</f>
        <v>34.597768940202293</v>
      </c>
    </row>
    <row r="35" spans="1:7" ht="16.5">
      <c r="A35" s="86" t="s">
        <v>123</v>
      </c>
      <c r="B35" s="85">
        <f>B27*(1-$B$28)</f>
        <v>108.16000000000003</v>
      </c>
      <c r="C35" s="85">
        <f>B15</f>
        <v>2.6</v>
      </c>
      <c r="D35" s="90">
        <f>1/(C35+0.17)</f>
        <v>0.36101083032490977</v>
      </c>
      <c r="E35" s="85">
        <v>1</v>
      </c>
      <c r="F35" s="90">
        <f>B35*D35*E35</f>
        <v>39.046931407942253</v>
      </c>
    </row>
    <row r="36" spans="1:7" ht="16.5">
      <c r="A36" s="86" t="s">
        <v>124</v>
      </c>
      <c r="B36" s="85">
        <f>B27*B28</f>
        <v>27.040000000000006</v>
      </c>
      <c r="C36" s="85"/>
      <c r="D36" s="85">
        <f>B17</f>
        <v>1.8</v>
      </c>
      <c r="E36" s="85">
        <v>1</v>
      </c>
      <c r="F36" s="90">
        <f>B36*D36*E36</f>
        <v>48.672000000000011</v>
      </c>
    </row>
    <row r="37" spans="1:7">
      <c r="A37" s="86" t="s">
        <v>8</v>
      </c>
      <c r="B37" s="84">
        <f>SUM(B33:B36)</f>
        <v>307.57604307034018</v>
      </c>
      <c r="C37" s="91"/>
      <c r="D37" s="85"/>
      <c r="E37" s="85"/>
      <c r="F37" s="92">
        <f>SUM(F33:F36)</f>
        <v>146.05557275170537</v>
      </c>
    </row>
    <row r="38" spans="1:7">
      <c r="A38" s="86"/>
      <c r="B38" s="84"/>
      <c r="C38" s="91"/>
      <c r="D38" s="85"/>
      <c r="E38" s="85"/>
      <c r="F38" s="90"/>
      <c r="G38" s="27"/>
    </row>
    <row r="39" spans="1:7" ht="16.5">
      <c r="A39" s="93" t="s">
        <v>110</v>
      </c>
      <c r="B39" s="94"/>
      <c r="C39" s="95"/>
      <c r="D39" s="96"/>
      <c r="E39" s="96"/>
      <c r="F39" s="97"/>
      <c r="G39" s="27"/>
    </row>
    <row r="40" spans="1:7" ht="16.5">
      <c r="A40" s="98" t="s">
        <v>111</v>
      </c>
      <c r="B40" s="99"/>
      <c r="C40" s="99"/>
      <c r="D40" s="99"/>
      <c r="E40" s="99"/>
      <c r="F40" s="100"/>
    </row>
    <row r="41" spans="1:7" ht="18.75">
      <c r="A41" s="98" t="s">
        <v>127</v>
      </c>
      <c r="B41" s="99"/>
      <c r="C41" s="99"/>
      <c r="D41" s="99"/>
      <c r="E41" s="99"/>
      <c r="F41" s="100"/>
    </row>
    <row r="42" spans="1:7" ht="16.5">
      <c r="A42" s="101" t="s">
        <v>128</v>
      </c>
      <c r="B42" s="102"/>
      <c r="C42" s="102"/>
      <c r="D42" s="102"/>
      <c r="E42" s="102"/>
      <c r="F42" s="103"/>
    </row>
    <row r="43" spans="1:7">
      <c r="A43" s="83"/>
      <c r="B43" s="85"/>
      <c r="C43" s="85"/>
      <c r="D43" s="85"/>
      <c r="E43" s="85"/>
      <c r="F43" s="85"/>
    </row>
    <row r="44" spans="1:7" s="23" customFormat="1" ht="17.25">
      <c r="A44" s="89" t="s">
        <v>28</v>
      </c>
      <c r="B44" s="86"/>
      <c r="C44" s="85" t="s">
        <v>112</v>
      </c>
      <c r="D44" s="85" t="s">
        <v>9</v>
      </c>
      <c r="E44" s="85" t="s">
        <v>45</v>
      </c>
      <c r="F44" s="85" t="s">
        <v>101</v>
      </c>
    </row>
    <row r="45" spans="1:7" s="23" customFormat="1" ht="16.5">
      <c r="A45" s="86"/>
      <c r="B45" s="86"/>
      <c r="C45" s="85" t="s">
        <v>10</v>
      </c>
      <c r="D45" s="85" t="s">
        <v>133</v>
      </c>
      <c r="E45" s="85"/>
      <c r="F45" s="85" t="s">
        <v>49</v>
      </c>
    </row>
    <row r="46" spans="1:7" s="23" customFormat="1">
      <c r="A46" s="86"/>
      <c r="B46" s="86"/>
      <c r="C46" s="85"/>
      <c r="D46" s="85"/>
      <c r="E46" s="85"/>
      <c r="F46" s="86"/>
    </row>
    <row r="47" spans="1:7" s="23" customFormat="1">
      <c r="A47" s="86"/>
      <c r="B47" s="86"/>
      <c r="C47" s="85">
        <v>180</v>
      </c>
      <c r="D47" s="85">
        <v>1.23</v>
      </c>
      <c r="E47" s="85">
        <f>B18</f>
        <v>0</v>
      </c>
      <c r="F47" s="84">
        <f>C47*D47*(1-E47)/3.6</f>
        <v>61.5</v>
      </c>
    </row>
    <row r="48" spans="1:7">
      <c r="A48" s="83"/>
      <c r="B48" s="85"/>
      <c r="C48" s="85"/>
      <c r="D48" s="84"/>
      <c r="E48" s="85"/>
      <c r="F48" s="85"/>
      <c r="G48" s="26"/>
    </row>
    <row r="49" spans="1:7" ht="16.5">
      <c r="A49" s="104" t="s">
        <v>132</v>
      </c>
      <c r="B49" s="105"/>
      <c r="C49" s="106"/>
      <c r="D49" s="106"/>
      <c r="E49" s="105"/>
      <c r="F49" s="107"/>
    </row>
    <row r="50" spans="1:7" s="23" customFormat="1">
      <c r="A50" s="86"/>
      <c r="B50" s="85"/>
      <c r="C50" s="85"/>
      <c r="D50" s="85"/>
      <c r="E50" s="85"/>
      <c r="F50" s="91"/>
      <c r="G50" s="21"/>
    </row>
    <row r="51" spans="1:7" s="23" customFormat="1" ht="17.25">
      <c r="A51" s="89" t="s">
        <v>29</v>
      </c>
      <c r="B51" s="85" t="s">
        <v>157</v>
      </c>
      <c r="C51" s="85" t="s">
        <v>103</v>
      </c>
      <c r="D51" s="85" t="s">
        <v>113</v>
      </c>
      <c r="E51" s="85" t="s">
        <v>9</v>
      </c>
      <c r="F51" s="85" t="s">
        <v>48</v>
      </c>
    </row>
    <row r="52" spans="1:7" s="23" customFormat="1" ht="17.25">
      <c r="A52" s="89"/>
      <c r="B52" s="85" t="s">
        <v>30</v>
      </c>
      <c r="C52" s="85" t="s">
        <v>6</v>
      </c>
      <c r="D52" s="85" t="s">
        <v>10</v>
      </c>
      <c r="E52" s="85" t="s">
        <v>133</v>
      </c>
      <c r="F52" s="85" t="s">
        <v>49</v>
      </c>
    </row>
    <row r="53" spans="1:7" s="23" customFormat="1" ht="15">
      <c r="A53" s="89"/>
      <c r="B53" s="85"/>
      <c r="C53" s="85"/>
      <c r="D53" s="85"/>
      <c r="E53" s="85"/>
      <c r="F53" s="86"/>
    </row>
    <row r="54" spans="1:7">
      <c r="A54" s="83"/>
      <c r="B54" s="91">
        <f>B19</f>
        <v>0.6</v>
      </c>
      <c r="C54" s="84">
        <f>B26</f>
        <v>195.5292473347462</v>
      </c>
      <c r="D54" s="84">
        <f>B54*3.6*C54</f>
        <v>422.34317424305181</v>
      </c>
      <c r="E54" s="85">
        <v>1.23</v>
      </c>
      <c r="F54" s="84">
        <f>D54*E54/3.6</f>
        <v>144.3005845330427</v>
      </c>
    </row>
    <row r="55" spans="1:7">
      <c r="A55" s="83"/>
      <c r="B55" s="85"/>
      <c r="C55" s="85"/>
      <c r="D55" s="85"/>
      <c r="E55" s="85"/>
      <c r="F55" s="85"/>
    </row>
    <row r="56" spans="1:7">
      <c r="A56" s="83"/>
      <c r="B56" s="85"/>
      <c r="C56" s="85"/>
      <c r="D56" s="85"/>
      <c r="E56" s="85"/>
      <c r="F56" s="85"/>
    </row>
    <row r="57" spans="1:7" ht="16.5">
      <c r="A57" s="108" t="s">
        <v>158</v>
      </c>
      <c r="B57" s="96"/>
      <c r="C57" s="96"/>
      <c r="D57" s="96"/>
      <c r="E57" s="96"/>
      <c r="F57" s="109"/>
    </row>
    <row r="58" spans="1:7" ht="16.5">
      <c r="A58" s="101" t="s">
        <v>159</v>
      </c>
      <c r="B58" s="102"/>
      <c r="C58" s="102"/>
      <c r="D58" s="102"/>
      <c r="E58" s="102"/>
      <c r="F58" s="103"/>
    </row>
    <row r="59" spans="1:7" ht="16.5">
      <c r="A59" s="110"/>
      <c r="B59" s="85"/>
      <c r="C59" s="85"/>
      <c r="D59" s="85"/>
      <c r="E59" s="85"/>
      <c r="F59" s="85"/>
    </row>
    <row r="60" spans="1:7">
      <c r="A60" s="83"/>
      <c r="B60" s="85"/>
      <c r="C60" s="85"/>
      <c r="D60" s="85"/>
      <c r="E60" s="85"/>
      <c r="F60" s="85"/>
    </row>
    <row r="61" spans="1:7" ht="17.25">
      <c r="A61" s="89" t="s">
        <v>31</v>
      </c>
      <c r="B61" s="85" t="s">
        <v>114</v>
      </c>
      <c r="C61" s="85" t="s">
        <v>32</v>
      </c>
      <c r="D61" s="85" t="s">
        <v>33</v>
      </c>
      <c r="E61" s="85" t="s">
        <v>34</v>
      </c>
      <c r="F61" s="85" t="s">
        <v>154</v>
      </c>
    </row>
    <row r="62" spans="1:7" ht="15">
      <c r="A62" s="89"/>
      <c r="B62" s="85" t="s">
        <v>54</v>
      </c>
      <c r="C62" s="85" t="s">
        <v>6</v>
      </c>
      <c r="D62" s="85"/>
      <c r="E62" s="85"/>
      <c r="F62" s="85" t="s">
        <v>11</v>
      </c>
    </row>
    <row r="63" spans="1:7">
      <c r="A63" s="83" t="s">
        <v>105</v>
      </c>
      <c r="B63" s="111">
        <f>zoninstr!K19</f>
        <v>3.9774397413286304E-2</v>
      </c>
      <c r="C63" s="85">
        <f>B13</f>
        <v>25</v>
      </c>
      <c r="D63" s="85">
        <v>0.6</v>
      </c>
      <c r="E63" s="85">
        <v>0.8</v>
      </c>
      <c r="F63" s="91">
        <f>B63*C63*D63*E63</f>
        <v>0.47729276895943562</v>
      </c>
    </row>
    <row r="64" spans="1:7">
      <c r="A64" s="83"/>
      <c r="B64" s="85"/>
      <c r="C64" s="84"/>
      <c r="D64" s="83"/>
      <c r="E64" s="85"/>
      <c r="F64" s="85"/>
      <c r="G64" s="25"/>
    </row>
    <row r="65" spans="1:7" ht="16.5">
      <c r="A65" s="93" t="s">
        <v>115</v>
      </c>
      <c r="B65" s="96"/>
      <c r="C65" s="96"/>
      <c r="D65" s="96"/>
      <c r="E65" s="96"/>
      <c r="F65" s="109"/>
    </row>
    <row r="66" spans="1:7" ht="16.5">
      <c r="A66" s="101" t="s">
        <v>153</v>
      </c>
      <c r="B66" s="102"/>
      <c r="C66" s="102"/>
      <c r="D66" s="102"/>
      <c r="E66" s="102"/>
      <c r="F66" s="103"/>
    </row>
    <row r="67" spans="1:7" ht="16.5">
      <c r="A67" s="110"/>
      <c r="B67" s="85"/>
      <c r="C67" s="85"/>
      <c r="D67" s="85"/>
      <c r="E67" s="85"/>
      <c r="F67" s="85"/>
    </row>
    <row r="68" spans="1:7" ht="15">
      <c r="A68" s="112" t="s">
        <v>35</v>
      </c>
      <c r="B68" s="85" t="s">
        <v>12</v>
      </c>
      <c r="C68" s="85" t="s">
        <v>13</v>
      </c>
      <c r="D68" s="85" t="s">
        <v>134</v>
      </c>
      <c r="E68" s="85" t="s">
        <v>135</v>
      </c>
      <c r="F68" s="85" t="s">
        <v>156</v>
      </c>
      <c r="G68" s="22"/>
    </row>
    <row r="69" spans="1:7">
      <c r="A69" s="83"/>
      <c r="B69" s="85" t="s">
        <v>36</v>
      </c>
      <c r="C69" s="85" t="s">
        <v>37</v>
      </c>
      <c r="D69" s="85" t="s">
        <v>38</v>
      </c>
      <c r="E69" s="85" t="s">
        <v>39</v>
      </c>
      <c r="F69" s="85" t="s">
        <v>11</v>
      </c>
      <c r="G69" s="22"/>
    </row>
    <row r="70" spans="1:7">
      <c r="A70" s="83" t="s">
        <v>50</v>
      </c>
      <c r="B70" s="83">
        <f>B20</f>
        <v>2</v>
      </c>
      <c r="C70" s="83">
        <v>80</v>
      </c>
      <c r="D70" s="83"/>
      <c r="E70" s="84">
        <f>+E71*0.5</f>
        <v>4380</v>
      </c>
      <c r="F70" s="91">
        <f>B70*C70/1000*E70/8760</f>
        <v>0.08</v>
      </c>
      <c r="G70" s="22"/>
    </row>
    <row r="71" spans="1:7" ht="16.5">
      <c r="A71" s="83" t="s">
        <v>125</v>
      </c>
      <c r="B71" s="84"/>
      <c r="C71" s="84"/>
      <c r="D71" s="84">
        <f>B21</f>
        <v>5000</v>
      </c>
      <c r="E71" s="84">
        <v>8760</v>
      </c>
      <c r="F71" s="91">
        <f>D71/E71</f>
        <v>0.57077625570776258</v>
      </c>
      <c r="G71" s="22"/>
    </row>
    <row r="72" spans="1:7">
      <c r="A72" s="83" t="s">
        <v>8</v>
      </c>
      <c r="B72" s="85"/>
      <c r="C72" s="85"/>
      <c r="D72" s="85"/>
      <c r="E72" s="85"/>
      <c r="F72" s="91">
        <f>SUM(F70:F71)</f>
        <v>0.65077625570776254</v>
      </c>
      <c r="G72" s="22"/>
    </row>
    <row r="73" spans="1:7">
      <c r="A73" s="83"/>
      <c r="B73" s="85"/>
      <c r="C73" s="85"/>
      <c r="D73" s="85"/>
      <c r="E73" s="85"/>
      <c r="F73" s="83"/>
      <c r="G73" s="22"/>
    </row>
    <row r="74" spans="1:7" ht="16.5">
      <c r="A74" s="104" t="s">
        <v>155</v>
      </c>
      <c r="B74" s="105"/>
      <c r="C74" s="106"/>
      <c r="D74" s="106"/>
      <c r="E74" s="105"/>
      <c r="F74" s="107"/>
      <c r="G74" s="22"/>
    </row>
    <row r="75" spans="1:7">
      <c r="A75" s="83"/>
      <c r="B75" s="85"/>
      <c r="C75" s="85"/>
      <c r="D75" s="85"/>
      <c r="E75" s="85"/>
      <c r="F75" s="83"/>
      <c r="G75" s="22"/>
    </row>
    <row r="76" spans="1:7" ht="15">
      <c r="A76" s="113" t="s">
        <v>140</v>
      </c>
      <c r="B76" s="105"/>
      <c r="C76" s="105"/>
      <c r="D76" s="105"/>
      <c r="E76" s="106" t="s">
        <v>11</v>
      </c>
      <c r="F76" s="114">
        <f>F63+F72</f>
        <v>1.1280690246671981</v>
      </c>
    </row>
  </sheetData>
  <sheetProtection password="CC20" sheet="1" objects="1" scenarios="1"/>
  <phoneticPr fontId="17" type="noConversion"/>
  <pageMargins left="0.75" right="0.23" top="1" bottom="1" header="0.5" footer="0.5"/>
  <pageSetup paperSize="9" scale="76" orientation="portrait" r:id="rId1"/>
  <headerFooter alignWithMargins="0">
    <oddHeader>&amp;C&amp;"Arial,Vet"&amp;11&amp;A</oddHeader>
    <oddFooter>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opLeftCell="A43" zoomScale="75" workbookViewId="0">
      <selection activeCell="B70" sqref="B70"/>
    </sheetView>
  </sheetViews>
  <sheetFormatPr defaultColWidth="9.28515625" defaultRowHeight="14.25"/>
  <cols>
    <col min="1" max="1" width="22.7109375" style="22" customWidth="1"/>
    <col min="2" max="2" width="11" style="21" customWidth="1"/>
    <col min="3" max="3" width="15" style="21" bestFit="1" customWidth="1"/>
    <col min="4" max="4" width="27.28515625" style="21" customWidth="1"/>
    <col min="5" max="5" width="12.140625" style="21" bestFit="1" customWidth="1"/>
    <col min="6" max="6" width="23.85546875" style="21" customWidth="1"/>
    <col min="7" max="7" width="14.140625" style="21" customWidth="1"/>
    <col min="8" max="16384" width="9.28515625" style="22"/>
  </cols>
  <sheetData>
    <row r="1" spans="1:11" ht="27">
      <c r="A1" s="150" t="s">
        <v>198</v>
      </c>
    </row>
    <row r="3" spans="1:11" ht="21.75" customHeight="1" thickBot="1">
      <c r="A3" s="22" t="s">
        <v>191</v>
      </c>
    </row>
    <row r="4" spans="1:11" ht="21.75" customHeight="1">
      <c r="A4" s="69" t="s">
        <v>42</v>
      </c>
      <c r="B4" s="70"/>
      <c r="C4" s="70"/>
      <c r="D4" s="71"/>
      <c r="F4" s="32"/>
      <c r="G4" s="32"/>
      <c r="H4" s="80"/>
      <c r="I4" s="80"/>
      <c r="J4" s="80"/>
      <c r="K4" s="80"/>
    </row>
    <row r="5" spans="1:11">
      <c r="A5" s="72"/>
      <c r="B5" s="32" t="s">
        <v>193</v>
      </c>
      <c r="C5" s="32"/>
      <c r="D5" s="74"/>
      <c r="E5" s="22"/>
      <c r="F5" s="80"/>
      <c r="G5" s="80"/>
      <c r="H5" s="80"/>
      <c r="I5" s="80"/>
      <c r="J5" s="80"/>
      <c r="K5" s="80"/>
    </row>
    <row r="6" spans="1:11">
      <c r="A6" s="72" t="s">
        <v>44</v>
      </c>
      <c r="B6" s="156" t="str">
        <f>Energiebalans!M3</f>
        <v>hoek</v>
      </c>
      <c r="C6" s="73" t="s">
        <v>175</v>
      </c>
      <c r="D6" s="74"/>
      <c r="F6" s="80"/>
      <c r="G6" s="73"/>
      <c r="H6" s="73"/>
      <c r="I6" s="80"/>
      <c r="J6" s="80"/>
      <c r="K6" s="80"/>
    </row>
    <row r="7" spans="1:11">
      <c r="A7" s="72" t="s">
        <v>195</v>
      </c>
      <c r="B7" s="156">
        <f>Energiebalans!M4</f>
        <v>16</v>
      </c>
      <c r="C7" s="32" t="s">
        <v>118</v>
      </c>
      <c r="D7" s="75"/>
      <c r="F7" s="80"/>
      <c r="G7" s="32"/>
      <c r="H7" s="32"/>
      <c r="I7" s="80"/>
      <c r="J7" s="80"/>
      <c r="K7" s="80"/>
    </row>
    <row r="8" spans="1:11">
      <c r="A8" s="72" t="s">
        <v>174</v>
      </c>
      <c r="B8" s="156">
        <f>Energiebalans!M5</f>
        <v>8</v>
      </c>
      <c r="C8" s="32" t="s">
        <v>181</v>
      </c>
      <c r="D8" s="75"/>
      <c r="E8" s="22"/>
      <c r="F8" s="80"/>
      <c r="G8" s="32"/>
      <c r="H8" s="32"/>
      <c r="I8" s="80"/>
      <c r="J8" s="80"/>
      <c r="K8" s="80"/>
    </row>
    <row r="9" spans="1:11">
      <c r="A9" s="72" t="s">
        <v>1</v>
      </c>
      <c r="B9" s="156">
        <f>Energiebalans!M6</f>
        <v>10</v>
      </c>
      <c r="C9" s="32" t="s">
        <v>181</v>
      </c>
      <c r="D9" s="74"/>
      <c r="E9" s="24"/>
      <c r="F9" s="80"/>
      <c r="G9" s="32"/>
      <c r="H9" s="32"/>
      <c r="I9" s="80"/>
      <c r="J9" s="80"/>
      <c r="K9" s="80"/>
    </row>
    <row r="10" spans="1:11">
      <c r="A10" s="72" t="s">
        <v>0</v>
      </c>
      <c r="B10" s="156">
        <f>Energiebalans!M7</f>
        <v>2</v>
      </c>
      <c r="C10" s="32"/>
      <c r="D10" s="74"/>
      <c r="F10" s="80"/>
      <c r="G10" s="32"/>
      <c r="H10" s="32"/>
      <c r="I10" s="80"/>
      <c r="J10" s="80"/>
      <c r="K10" s="80"/>
    </row>
    <row r="11" spans="1:11">
      <c r="A11" s="72" t="s">
        <v>41</v>
      </c>
      <c r="B11" s="156">
        <f>Energiebalans!M8</f>
        <v>2.6</v>
      </c>
      <c r="C11" s="32" t="s">
        <v>181</v>
      </c>
      <c r="D11" s="74"/>
      <c r="F11" s="80"/>
      <c r="G11" s="32"/>
      <c r="H11" s="32"/>
      <c r="I11" s="80"/>
      <c r="J11" s="80"/>
      <c r="K11" s="80"/>
    </row>
    <row r="12" spans="1:11">
      <c r="A12" s="72" t="s">
        <v>40</v>
      </c>
      <c r="B12" s="156">
        <f>Energiebalans!M9</f>
        <v>30</v>
      </c>
      <c r="C12" s="32" t="s">
        <v>182</v>
      </c>
      <c r="D12" s="75"/>
      <c r="E12" s="22"/>
      <c r="F12" s="80"/>
      <c r="G12" s="32"/>
      <c r="H12" s="32"/>
      <c r="I12" s="80"/>
      <c r="J12" s="80"/>
      <c r="K12" s="80"/>
    </row>
    <row r="13" spans="1:11">
      <c r="A13" s="72" t="s">
        <v>186</v>
      </c>
      <c r="B13" s="156">
        <f>Energiebalans!M10</f>
        <v>25</v>
      </c>
      <c r="C13" s="32" t="s">
        <v>187</v>
      </c>
      <c r="D13" s="75"/>
      <c r="E13" s="22"/>
      <c r="F13" s="80"/>
      <c r="G13" s="32"/>
      <c r="H13" s="32"/>
      <c r="I13" s="80"/>
      <c r="J13" s="80"/>
      <c r="K13" s="80"/>
    </row>
    <row r="14" spans="1:11" ht="16.5">
      <c r="A14" s="72" t="s">
        <v>176</v>
      </c>
      <c r="B14" s="156">
        <f>Energiebalans!M11</f>
        <v>2.2000000000000002</v>
      </c>
      <c r="C14" s="32" t="s">
        <v>183</v>
      </c>
      <c r="D14" s="75"/>
      <c r="E14" s="22"/>
      <c r="F14" s="80"/>
      <c r="G14" s="32"/>
      <c r="H14" s="32"/>
      <c r="I14" s="80"/>
      <c r="J14" s="80"/>
      <c r="K14" s="80"/>
    </row>
    <row r="15" spans="1:11" ht="16.5">
      <c r="A15" s="72" t="s">
        <v>177</v>
      </c>
      <c r="B15" s="156">
        <f>Energiebalans!M12</f>
        <v>2.6</v>
      </c>
      <c r="C15" s="32" t="s">
        <v>183</v>
      </c>
      <c r="D15" s="75"/>
      <c r="E15" s="22"/>
      <c r="F15" s="80"/>
      <c r="G15" s="32"/>
      <c r="H15" s="32"/>
      <c r="I15" s="80"/>
      <c r="J15" s="80"/>
      <c r="K15" s="80"/>
    </row>
    <row r="16" spans="1:11" ht="16.5">
      <c r="A16" s="72" t="s">
        <v>178</v>
      </c>
      <c r="B16" s="156">
        <f>Energiebalans!M13</f>
        <v>2.5</v>
      </c>
      <c r="C16" s="32" t="s">
        <v>183</v>
      </c>
      <c r="D16" s="75"/>
      <c r="E16" s="22"/>
      <c r="F16" s="80"/>
      <c r="G16" s="32"/>
      <c r="H16" s="32"/>
      <c r="I16" s="80"/>
      <c r="J16" s="80"/>
      <c r="K16" s="80"/>
    </row>
    <row r="17" spans="1:11" ht="16.5">
      <c r="A17" s="72" t="s">
        <v>179</v>
      </c>
      <c r="B17" s="156">
        <f>Energiebalans!M14</f>
        <v>1.8</v>
      </c>
      <c r="C17" s="32" t="s">
        <v>184</v>
      </c>
      <c r="D17" s="75"/>
      <c r="E17" s="22"/>
      <c r="F17" s="80"/>
      <c r="G17" s="32"/>
      <c r="H17" s="32"/>
      <c r="I17" s="80"/>
      <c r="J17" s="80"/>
      <c r="K17" s="80"/>
    </row>
    <row r="18" spans="1:11">
      <c r="A18" s="76" t="s">
        <v>180</v>
      </c>
      <c r="B18" s="156">
        <f>Energiebalans!M15</f>
        <v>0</v>
      </c>
      <c r="C18" s="32"/>
      <c r="D18" s="75"/>
      <c r="E18" s="22"/>
      <c r="F18" s="82"/>
      <c r="G18" s="32"/>
      <c r="H18" s="32"/>
      <c r="I18" s="80"/>
      <c r="J18" s="80"/>
      <c r="K18" s="80"/>
    </row>
    <row r="19" spans="1:11">
      <c r="A19" s="72" t="s">
        <v>207</v>
      </c>
      <c r="B19" s="156">
        <f>Energiebalans!M16</f>
        <v>0.15</v>
      </c>
      <c r="C19" s="32" t="s">
        <v>185</v>
      </c>
      <c r="D19" s="75" t="s">
        <v>208</v>
      </c>
      <c r="E19" s="22"/>
      <c r="F19" s="80"/>
      <c r="G19" s="32"/>
      <c r="H19" s="32"/>
      <c r="I19" s="80"/>
      <c r="J19" s="80"/>
      <c r="K19" s="80"/>
    </row>
    <row r="20" spans="1:11">
      <c r="A20" s="72" t="s">
        <v>188</v>
      </c>
      <c r="B20" s="156">
        <f>Energiebalans!M20</f>
        <v>2</v>
      </c>
      <c r="C20" s="32"/>
      <c r="D20" s="75"/>
      <c r="E20" s="22"/>
      <c r="F20" s="80"/>
      <c r="G20" s="32"/>
      <c r="H20" s="32"/>
      <c r="I20" s="80"/>
      <c r="J20" s="80"/>
      <c r="K20" s="80"/>
    </row>
    <row r="21" spans="1:11">
      <c r="A21" s="72" t="s">
        <v>189</v>
      </c>
      <c r="B21" s="156">
        <f>Energiebalans!M21</f>
        <v>5000</v>
      </c>
      <c r="C21" s="32" t="s">
        <v>190</v>
      </c>
      <c r="D21" s="75"/>
      <c r="E21" s="22"/>
      <c r="F21" s="80"/>
      <c r="G21" s="32"/>
      <c r="H21" s="32"/>
      <c r="I21" s="80"/>
      <c r="J21" s="80"/>
      <c r="K21" s="80"/>
    </row>
    <row r="22" spans="1:11" ht="9" customHeight="1" thickBot="1">
      <c r="A22" s="77"/>
      <c r="B22" s="78"/>
      <c r="C22" s="78"/>
      <c r="D22" s="79"/>
      <c r="E22" s="22"/>
      <c r="F22" s="32"/>
      <c r="G22" s="80"/>
      <c r="H22" s="80"/>
      <c r="I22" s="80"/>
      <c r="J22" s="80"/>
      <c r="K22" s="80"/>
    </row>
    <row r="23" spans="1:11" ht="9" customHeight="1">
      <c r="A23" s="80"/>
      <c r="B23" s="32"/>
      <c r="C23" s="32"/>
      <c r="D23" s="73"/>
      <c r="E23" s="22"/>
      <c r="F23" s="32"/>
      <c r="G23" s="80"/>
      <c r="H23" s="80"/>
      <c r="I23" s="80"/>
      <c r="J23" s="80"/>
      <c r="K23" s="80"/>
    </row>
    <row r="24" spans="1:11" ht="15">
      <c r="A24" s="81" t="s">
        <v>194</v>
      </c>
      <c r="B24" s="32"/>
      <c r="C24" s="32"/>
      <c r="D24" s="73"/>
      <c r="E24" s="22"/>
      <c r="G24" s="22"/>
    </row>
    <row r="25" spans="1:11">
      <c r="A25" s="83" t="s">
        <v>2</v>
      </c>
      <c r="B25" s="84">
        <f>B8*B9*(B10*B11+B8/4*TAN(PI()*B12/180))</f>
        <v>508.37604307034013</v>
      </c>
      <c r="C25" s="85"/>
      <c r="D25" s="86"/>
      <c r="E25" s="85"/>
      <c r="F25" s="85"/>
    </row>
    <row r="26" spans="1:11" ht="16.5">
      <c r="A26" s="83" t="s">
        <v>119</v>
      </c>
      <c r="B26" s="84">
        <f>B25/B11</f>
        <v>195.5292473347462</v>
      </c>
      <c r="C26" s="85"/>
      <c r="D26" s="86" t="s">
        <v>102</v>
      </c>
      <c r="E26" s="85"/>
      <c r="F26" s="85"/>
    </row>
    <row r="27" spans="1:11" ht="16.5">
      <c r="A27" s="83" t="s">
        <v>120</v>
      </c>
      <c r="B27" s="85">
        <f>IF($B$6="hoek",(2*$B$8+$B$9)*$B$10*$B$11,2*$B$8*$B$10*$B$11)</f>
        <v>135.20000000000002</v>
      </c>
      <c r="C27" s="85"/>
      <c r="D27" s="86"/>
      <c r="E27" s="85"/>
      <c r="F27" s="85"/>
    </row>
    <row r="28" spans="1:11">
      <c r="A28" s="83" t="s">
        <v>3</v>
      </c>
      <c r="B28" s="87">
        <v>0.2</v>
      </c>
      <c r="C28" s="85"/>
      <c r="D28" s="83"/>
      <c r="E28" s="83"/>
      <c r="F28" s="85"/>
      <c r="G28" s="22"/>
    </row>
    <row r="29" spans="1:11">
      <c r="A29" s="83"/>
      <c r="B29" s="88"/>
      <c r="C29" s="85"/>
      <c r="D29" s="83"/>
      <c r="E29" s="83"/>
      <c r="F29" s="85"/>
      <c r="G29" s="22"/>
    </row>
    <row r="30" spans="1:11" ht="18.75">
      <c r="A30" s="89" t="s">
        <v>4</v>
      </c>
      <c r="B30" s="85" t="s">
        <v>5</v>
      </c>
      <c r="C30" s="85" t="s">
        <v>109</v>
      </c>
      <c r="D30" s="85" t="s">
        <v>126</v>
      </c>
      <c r="E30" s="85" t="s">
        <v>129</v>
      </c>
      <c r="F30" s="85" t="s">
        <v>46</v>
      </c>
    </row>
    <row r="31" spans="1:11" ht="16.5">
      <c r="A31" s="83"/>
      <c r="B31" s="85" t="s">
        <v>6</v>
      </c>
      <c r="C31" s="85" t="s">
        <v>130</v>
      </c>
      <c r="D31" s="85" t="s">
        <v>131</v>
      </c>
      <c r="E31" s="85"/>
      <c r="F31" s="85" t="s">
        <v>49</v>
      </c>
    </row>
    <row r="32" spans="1:11">
      <c r="A32" s="83"/>
      <c r="B32" s="85"/>
      <c r="C32" s="85"/>
      <c r="D32" s="85"/>
      <c r="E32" s="85"/>
      <c r="F32" s="85"/>
    </row>
    <row r="33" spans="1:7" ht="16.5">
      <c r="A33" s="86" t="s">
        <v>121</v>
      </c>
      <c r="B33" s="85">
        <f>B8*B9</f>
        <v>80</v>
      </c>
      <c r="C33" s="85">
        <f>B14</f>
        <v>2.2000000000000002</v>
      </c>
      <c r="D33" s="90">
        <f>1/(C33+0.17)</f>
        <v>0.42194092827004215</v>
      </c>
      <c r="E33" s="91">
        <f>1/(1+D33)</f>
        <v>0.70326409495548958</v>
      </c>
      <c r="F33" s="90">
        <f>B33*D33*E33</f>
        <v>23.73887240356083</v>
      </c>
    </row>
    <row r="34" spans="1:7" ht="16.5">
      <c r="A34" s="86" t="s">
        <v>122</v>
      </c>
      <c r="B34" s="90">
        <f>B8*B9/COS(PI()*B12/180)</f>
        <v>92.376043070340117</v>
      </c>
      <c r="C34" s="85">
        <f>B16</f>
        <v>2.5</v>
      </c>
      <c r="D34" s="90">
        <f>1/(C34+0.17)</f>
        <v>0.37453183520599254</v>
      </c>
      <c r="E34" s="85">
        <v>1</v>
      </c>
      <c r="F34" s="90">
        <f>B34*D34*E34</f>
        <v>34.597768940202293</v>
      </c>
    </row>
    <row r="35" spans="1:7" ht="16.5">
      <c r="A35" s="86" t="s">
        <v>123</v>
      </c>
      <c r="B35" s="85">
        <f>B27*(1-$B$28)</f>
        <v>108.16000000000003</v>
      </c>
      <c r="C35" s="85">
        <f>B15</f>
        <v>2.6</v>
      </c>
      <c r="D35" s="90">
        <f>1/(C35+0.17)</f>
        <v>0.36101083032490977</v>
      </c>
      <c r="E35" s="85">
        <v>1</v>
      </c>
      <c r="F35" s="90">
        <f>B35*D35*E35</f>
        <v>39.046931407942253</v>
      </c>
    </row>
    <row r="36" spans="1:7" ht="16.5">
      <c r="A36" s="86" t="s">
        <v>124</v>
      </c>
      <c r="B36" s="85">
        <f>B27*B28</f>
        <v>27.040000000000006</v>
      </c>
      <c r="C36" s="85"/>
      <c r="D36" s="85">
        <f>B17</f>
        <v>1.8</v>
      </c>
      <c r="E36" s="85">
        <v>1</v>
      </c>
      <c r="F36" s="90">
        <f>B36*D36*E36</f>
        <v>48.672000000000011</v>
      </c>
    </row>
    <row r="37" spans="1:7">
      <c r="A37" s="86" t="s">
        <v>8</v>
      </c>
      <c r="B37" s="84">
        <f>SUM(B33:B36)</f>
        <v>307.57604307034018</v>
      </c>
      <c r="C37" s="91"/>
      <c r="D37" s="85"/>
      <c r="E37" s="85"/>
      <c r="F37" s="92">
        <f>SUM(F33:F36)</f>
        <v>146.05557275170537</v>
      </c>
    </row>
    <row r="38" spans="1:7">
      <c r="A38" s="86"/>
      <c r="B38" s="84"/>
      <c r="C38" s="91"/>
      <c r="D38" s="85"/>
      <c r="E38" s="85"/>
      <c r="F38" s="90"/>
      <c r="G38" s="27"/>
    </row>
    <row r="39" spans="1:7" ht="16.5">
      <c r="A39" s="93" t="s">
        <v>110</v>
      </c>
      <c r="B39" s="94"/>
      <c r="C39" s="95"/>
      <c r="D39" s="96"/>
      <c r="E39" s="96"/>
      <c r="F39" s="97"/>
      <c r="G39" s="27"/>
    </row>
    <row r="40" spans="1:7" ht="16.5">
      <c r="A40" s="98" t="s">
        <v>111</v>
      </c>
      <c r="B40" s="99"/>
      <c r="C40" s="99"/>
      <c r="D40" s="99"/>
      <c r="E40" s="99"/>
      <c r="F40" s="100"/>
    </row>
    <row r="41" spans="1:7" ht="18.75">
      <c r="A41" s="98" t="s">
        <v>127</v>
      </c>
      <c r="B41" s="99"/>
      <c r="C41" s="99"/>
      <c r="D41" s="99"/>
      <c r="E41" s="99"/>
      <c r="F41" s="100"/>
    </row>
    <row r="42" spans="1:7" ht="16.5">
      <c r="A42" s="101" t="s">
        <v>128</v>
      </c>
      <c r="B42" s="102"/>
      <c r="C42" s="102"/>
      <c r="D42" s="102"/>
      <c r="E42" s="102"/>
      <c r="F42" s="103"/>
    </row>
    <row r="43" spans="1:7">
      <c r="A43" s="83"/>
      <c r="B43" s="85"/>
      <c r="C43" s="85"/>
      <c r="D43" s="85"/>
      <c r="E43" s="85"/>
      <c r="F43" s="85"/>
    </row>
    <row r="44" spans="1:7" s="23" customFormat="1" ht="17.25">
      <c r="A44" s="89" t="s">
        <v>28</v>
      </c>
      <c r="B44" s="86"/>
      <c r="C44" s="85" t="s">
        <v>112</v>
      </c>
      <c r="D44" s="85" t="s">
        <v>9</v>
      </c>
      <c r="E44" s="85" t="s">
        <v>45</v>
      </c>
      <c r="F44" s="85" t="s">
        <v>101</v>
      </c>
    </row>
    <row r="45" spans="1:7" s="23" customFormat="1" ht="16.5">
      <c r="A45" s="86"/>
      <c r="B45" s="86"/>
      <c r="C45" s="85" t="s">
        <v>10</v>
      </c>
      <c r="D45" s="85" t="s">
        <v>133</v>
      </c>
      <c r="E45" s="85"/>
      <c r="F45" s="85" t="s">
        <v>49</v>
      </c>
    </row>
    <row r="46" spans="1:7" s="23" customFormat="1">
      <c r="A46" s="86"/>
      <c r="B46" s="86"/>
      <c r="C46" s="85"/>
      <c r="D46" s="85"/>
      <c r="E46" s="85"/>
      <c r="F46" s="86"/>
    </row>
    <row r="47" spans="1:7" s="23" customFormat="1">
      <c r="A47" s="86"/>
      <c r="B47" s="86"/>
      <c r="C47" s="85">
        <v>180</v>
      </c>
      <c r="D47" s="85">
        <v>1.23</v>
      </c>
      <c r="E47" s="85">
        <f>B18</f>
        <v>0</v>
      </c>
      <c r="F47" s="84">
        <f>C47*D47*(1-E47)/3.6</f>
        <v>61.5</v>
      </c>
    </row>
    <row r="48" spans="1:7">
      <c r="A48" s="83"/>
      <c r="B48" s="85"/>
      <c r="C48" s="85"/>
      <c r="D48" s="84"/>
      <c r="E48" s="85"/>
      <c r="F48" s="85"/>
      <c r="G48" s="26"/>
    </row>
    <row r="49" spans="1:7" ht="16.5">
      <c r="A49" s="104" t="s">
        <v>132</v>
      </c>
      <c r="B49" s="105"/>
      <c r="C49" s="106"/>
      <c r="D49" s="106"/>
      <c r="E49" s="105"/>
      <c r="F49" s="107"/>
    </row>
    <row r="50" spans="1:7" s="23" customFormat="1">
      <c r="A50" s="86"/>
      <c r="B50" s="85"/>
      <c r="C50" s="85"/>
      <c r="D50" s="85"/>
      <c r="E50" s="85"/>
      <c r="F50" s="91"/>
      <c r="G50" s="21"/>
    </row>
    <row r="51" spans="1:7" s="23" customFormat="1" ht="17.25">
      <c r="A51" s="89" t="s">
        <v>29</v>
      </c>
      <c r="B51" s="85" t="s">
        <v>157</v>
      </c>
      <c r="C51" s="85" t="s">
        <v>103</v>
      </c>
      <c r="D51" s="85" t="s">
        <v>113</v>
      </c>
      <c r="E51" s="85" t="s">
        <v>9</v>
      </c>
      <c r="F51" s="85" t="s">
        <v>48</v>
      </c>
    </row>
    <row r="52" spans="1:7" s="23" customFormat="1" ht="17.25">
      <c r="A52" s="89"/>
      <c r="B52" s="85" t="s">
        <v>30</v>
      </c>
      <c r="C52" s="85" t="s">
        <v>6</v>
      </c>
      <c r="D52" s="85" t="s">
        <v>10</v>
      </c>
      <c r="E52" s="85" t="s">
        <v>133</v>
      </c>
      <c r="F52" s="85" t="s">
        <v>49</v>
      </c>
    </row>
    <row r="53" spans="1:7" s="23" customFormat="1" ht="15">
      <c r="A53" s="89"/>
      <c r="B53" s="85"/>
      <c r="C53" s="85"/>
      <c r="D53" s="85"/>
      <c r="E53" s="85"/>
      <c r="F53" s="86"/>
    </row>
    <row r="54" spans="1:7">
      <c r="A54" s="83"/>
      <c r="B54" s="91">
        <f>B19</f>
        <v>0.15</v>
      </c>
      <c r="C54" s="84">
        <f>B26</f>
        <v>195.5292473347462</v>
      </c>
      <c r="D54" s="84">
        <f>B54*3.6*C54</f>
        <v>105.58579356076295</v>
      </c>
      <c r="E54" s="85">
        <v>1.23</v>
      </c>
      <c r="F54" s="84">
        <f>D54*E54/3.6</f>
        <v>36.075146133260674</v>
      </c>
    </row>
    <row r="55" spans="1:7">
      <c r="A55" s="83"/>
      <c r="B55" s="85"/>
      <c r="C55" s="85"/>
      <c r="D55" s="85"/>
      <c r="E55" s="85"/>
      <c r="F55" s="85"/>
    </row>
    <row r="56" spans="1:7">
      <c r="A56" s="83"/>
      <c r="B56" s="85"/>
      <c r="C56" s="85"/>
      <c r="D56" s="85"/>
      <c r="E56" s="85"/>
      <c r="F56" s="85"/>
    </row>
    <row r="57" spans="1:7" ht="16.5">
      <c r="A57" s="108" t="s">
        <v>158</v>
      </c>
      <c r="B57" s="96"/>
      <c r="C57" s="96"/>
      <c r="D57" s="96"/>
      <c r="E57" s="96"/>
      <c r="F57" s="109"/>
    </row>
    <row r="58" spans="1:7" ht="16.5">
      <c r="A58" s="101" t="s">
        <v>159</v>
      </c>
      <c r="B58" s="102"/>
      <c r="C58" s="102"/>
      <c r="D58" s="102"/>
      <c r="E58" s="102"/>
      <c r="F58" s="103"/>
    </row>
    <row r="59" spans="1:7" ht="16.5">
      <c r="A59" s="110"/>
      <c r="B59" s="85"/>
      <c r="C59" s="85"/>
      <c r="D59" s="85"/>
      <c r="E59" s="85"/>
      <c r="F59" s="85"/>
    </row>
    <row r="60" spans="1:7">
      <c r="A60" s="83"/>
      <c r="B60" s="85"/>
      <c r="C60" s="85"/>
      <c r="D60" s="85"/>
      <c r="E60" s="85"/>
      <c r="F60" s="85"/>
    </row>
    <row r="61" spans="1:7" ht="17.25">
      <c r="A61" s="89" t="s">
        <v>31</v>
      </c>
      <c r="B61" s="85" t="s">
        <v>114</v>
      </c>
      <c r="C61" s="85" t="s">
        <v>32</v>
      </c>
      <c r="D61" s="85" t="s">
        <v>33</v>
      </c>
      <c r="E61" s="85" t="s">
        <v>34</v>
      </c>
      <c r="F61" s="85" t="s">
        <v>154</v>
      </c>
    </row>
    <row r="62" spans="1:7" ht="15">
      <c r="A62" s="89"/>
      <c r="B62" s="85" t="s">
        <v>54</v>
      </c>
      <c r="C62" s="85" t="s">
        <v>6</v>
      </c>
      <c r="D62" s="85"/>
      <c r="E62" s="85"/>
      <c r="F62" s="85" t="s">
        <v>11</v>
      </c>
    </row>
    <row r="63" spans="1:7">
      <c r="A63" s="83" t="s">
        <v>105</v>
      </c>
      <c r="B63" s="111">
        <f>zoninstr!K19</f>
        <v>3.9774397413286304E-2</v>
      </c>
      <c r="C63" s="85">
        <f>B13</f>
        <v>25</v>
      </c>
      <c r="D63" s="85">
        <v>0.6</v>
      </c>
      <c r="E63" s="85">
        <v>0.8</v>
      </c>
      <c r="F63" s="91">
        <f>B63*C63*D63*E63</f>
        <v>0.47729276895943562</v>
      </c>
    </row>
    <row r="64" spans="1:7">
      <c r="A64" s="83"/>
      <c r="B64" s="85"/>
      <c r="C64" s="84"/>
      <c r="D64" s="83"/>
      <c r="E64" s="85"/>
      <c r="F64" s="85"/>
      <c r="G64" s="25"/>
    </row>
    <row r="65" spans="1:7" ht="16.5">
      <c r="A65" s="93" t="s">
        <v>115</v>
      </c>
      <c r="B65" s="96"/>
      <c r="C65" s="96"/>
      <c r="D65" s="96"/>
      <c r="E65" s="96"/>
      <c r="F65" s="109"/>
    </row>
    <row r="66" spans="1:7" ht="16.5">
      <c r="A66" s="101" t="s">
        <v>153</v>
      </c>
      <c r="B66" s="102"/>
      <c r="C66" s="102"/>
      <c r="D66" s="102"/>
      <c r="E66" s="102"/>
      <c r="F66" s="103"/>
    </row>
    <row r="67" spans="1:7" ht="16.5">
      <c r="A67" s="110"/>
      <c r="B67" s="85"/>
      <c r="C67" s="85"/>
      <c r="D67" s="85"/>
      <c r="E67" s="85"/>
      <c r="F67" s="85"/>
    </row>
    <row r="68" spans="1:7" ht="15">
      <c r="A68" s="112" t="s">
        <v>35</v>
      </c>
      <c r="B68" s="85" t="s">
        <v>12</v>
      </c>
      <c r="C68" s="85" t="s">
        <v>13</v>
      </c>
      <c r="D68" s="85" t="s">
        <v>134</v>
      </c>
      <c r="E68" s="85" t="s">
        <v>135</v>
      </c>
      <c r="F68" s="85" t="s">
        <v>156</v>
      </c>
      <c r="G68" s="22"/>
    </row>
    <row r="69" spans="1:7">
      <c r="A69" s="83"/>
      <c r="B69" s="85" t="s">
        <v>36</v>
      </c>
      <c r="C69" s="85" t="s">
        <v>37</v>
      </c>
      <c r="D69" s="85" t="s">
        <v>38</v>
      </c>
      <c r="E69" s="85" t="s">
        <v>39</v>
      </c>
      <c r="F69" s="85" t="s">
        <v>11</v>
      </c>
      <c r="G69" s="22"/>
    </row>
    <row r="70" spans="1:7">
      <c r="A70" s="83" t="s">
        <v>50</v>
      </c>
      <c r="B70" s="83">
        <f>B20</f>
        <v>2</v>
      </c>
      <c r="C70" s="83">
        <v>80</v>
      </c>
      <c r="D70" s="83"/>
      <c r="E70" s="84">
        <f>+E71*0.5</f>
        <v>4380</v>
      </c>
      <c r="F70" s="91">
        <f>B70*C70/1000*E70/8760</f>
        <v>0.08</v>
      </c>
      <c r="G70" s="22"/>
    </row>
    <row r="71" spans="1:7" ht="16.5">
      <c r="A71" s="83" t="s">
        <v>125</v>
      </c>
      <c r="B71" s="84"/>
      <c r="C71" s="84"/>
      <c r="D71" s="84">
        <f>B21</f>
        <v>5000</v>
      </c>
      <c r="E71" s="84">
        <v>8760</v>
      </c>
      <c r="F71" s="91">
        <f>D71/E71</f>
        <v>0.57077625570776258</v>
      </c>
      <c r="G71" s="22"/>
    </row>
    <row r="72" spans="1:7">
      <c r="A72" s="83" t="s">
        <v>8</v>
      </c>
      <c r="B72" s="85"/>
      <c r="C72" s="85"/>
      <c r="D72" s="85"/>
      <c r="E72" s="85"/>
      <c r="F72" s="91">
        <f>SUM(F70:F71)</f>
        <v>0.65077625570776254</v>
      </c>
      <c r="G72" s="22"/>
    </row>
    <row r="73" spans="1:7">
      <c r="A73" s="83"/>
      <c r="B73" s="85"/>
      <c r="C73" s="85"/>
      <c r="D73" s="85"/>
      <c r="E73" s="85"/>
      <c r="F73" s="83"/>
      <c r="G73" s="22"/>
    </row>
    <row r="74" spans="1:7" ht="16.5">
      <c r="A74" s="104" t="s">
        <v>155</v>
      </c>
      <c r="B74" s="105"/>
      <c r="C74" s="106"/>
      <c r="D74" s="106"/>
      <c r="E74" s="105"/>
      <c r="F74" s="107"/>
      <c r="G74" s="22"/>
    </row>
    <row r="75" spans="1:7">
      <c r="A75" s="83"/>
      <c r="B75" s="85"/>
      <c r="C75" s="85"/>
      <c r="D75" s="85"/>
      <c r="E75" s="85"/>
      <c r="F75" s="83"/>
      <c r="G75" s="22"/>
    </row>
    <row r="76" spans="1:7" ht="15">
      <c r="A76" s="113" t="s">
        <v>140</v>
      </c>
      <c r="B76" s="105"/>
      <c r="C76" s="105"/>
      <c r="D76" s="105"/>
      <c r="E76" s="106" t="s">
        <v>11</v>
      </c>
      <c r="F76" s="114">
        <f>F63+F72</f>
        <v>1.1280690246671981</v>
      </c>
    </row>
  </sheetData>
  <sheetProtection password="CC20" sheet="1" objects="1" scenarios="1"/>
  <phoneticPr fontId="17" type="noConversion"/>
  <pageMargins left="0.75" right="0.23" top="1" bottom="1" header="0.5" footer="0.5"/>
  <pageSetup paperSize="9" scale="76" orientation="portrait" r:id="rId1"/>
  <headerFooter alignWithMargins="0">
    <oddHeader>&amp;C&amp;"Arial,Vet"&amp;11&amp;A</oddHeader>
    <oddFooter>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"/>
  <sheetViews>
    <sheetView showGridLines="0" zoomScale="75" workbookViewId="0">
      <selection activeCell="H39" sqref="H39"/>
    </sheetView>
  </sheetViews>
  <sheetFormatPr defaultRowHeight="12.75"/>
  <sheetData>
    <row r="2" spans="2:13">
      <c r="B2" s="1" t="s">
        <v>192</v>
      </c>
      <c r="C2" s="149">
        <f>jr_bel_duurkr!D31</f>
        <v>1933.868842480779</v>
      </c>
      <c r="D2" t="s">
        <v>196</v>
      </c>
      <c r="J2" s="1" t="s">
        <v>193</v>
      </c>
      <c r="L2" s="149">
        <f>jr_bel_duurkr!D66</f>
        <v>832.10497911388177</v>
      </c>
      <c r="M2" t="s">
        <v>196</v>
      </c>
    </row>
  </sheetData>
  <sheetProtection password="CC20" sheet="1" objects="1" scenarios="1"/>
  <phoneticPr fontId="17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G20" sqref="G20"/>
    </sheetView>
  </sheetViews>
  <sheetFormatPr defaultColWidth="9" defaultRowHeight="12.75"/>
  <cols>
    <col min="1" max="1" width="14.7109375" style="3" customWidth="1"/>
    <col min="2" max="9" width="6.85546875" style="4" customWidth="1"/>
    <col min="10" max="10" width="9" style="4" customWidth="1"/>
    <col min="11" max="16384" width="9" style="3"/>
  </cols>
  <sheetData>
    <row r="1" spans="1:10">
      <c r="A1" s="1" t="s">
        <v>19</v>
      </c>
    </row>
    <row r="3" spans="1:10">
      <c r="A3" s="2" t="s">
        <v>20</v>
      </c>
    </row>
    <row r="4" spans="1:10">
      <c r="A4" s="3" t="s">
        <v>21</v>
      </c>
      <c r="B4" s="4" t="s">
        <v>17</v>
      </c>
      <c r="C4" s="4" t="s">
        <v>22</v>
      </c>
      <c r="D4" s="4" t="s">
        <v>16</v>
      </c>
      <c r="E4" s="4" t="s">
        <v>23</v>
      </c>
      <c r="F4" s="4" t="s">
        <v>15</v>
      </c>
      <c r="G4" s="4" t="s">
        <v>24</v>
      </c>
      <c r="H4" s="4" t="s">
        <v>18</v>
      </c>
      <c r="I4" s="4" t="s">
        <v>25</v>
      </c>
      <c r="J4" s="4" t="s">
        <v>26</v>
      </c>
    </row>
    <row r="5" spans="1:10">
      <c r="A5" s="3">
        <v>1</v>
      </c>
      <c r="B5" s="4">
        <v>41</v>
      </c>
      <c r="C5" s="4">
        <v>40</v>
      </c>
      <c r="D5" s="4">
        <v>39</v>
      </c>
      <c r="E5" s="4">
        <v>39</v>
      </c>
      <c r="F5" s="4">
        <v>39</v>
      </c>
      <c r="G5" s="4">
        <v>39</v>
      </c>
      <c r="H5" s="4">
        <v>39</v>
      </c>
      <c r="I5" s="4">
        <v>41</v>
      </c>
      <c r="J5" s="4">
        <v>43</v>
      </c>
    </row>
    <row r="6" spans="1:10">
      <c r="A6" s="3">
        <v>2</v>
      </c>
      <c r="B6" s="4">
        <v>143</v>
      </c>
      <c r="C6" s="4">
        <v>105</v>
      </c>
      <c r="D6" s="4">
        <v>58</v>
      </c>
      <c r="E6" s="4">
        <v>48</v>
      </c>
      <c r="F6" s="4">
        <v>48</v>
      </c>
      <c r="G6" s="4">
        <v>49</v>
      </c>
      <c r="H6" s="4">
        <v>73</v>
      </c>
      <c r="I6" s="4">
        <v>126</v>
      </c>
      <c r="J6" s="4">
        <v>117</v>
      </c>
    </row>
    <row r="7" spans="1:10">
      <c r="A7" s="3">
        <v>3</v>
      </c>
      <c r="B7" s="4">
        <v>265</v>
      </c>
      <c r="C7" s="4">
        <v>199</v>
      </c>
      <c r="D7" s="4">
        <v>130</v>
      </c>
      <c r="E7" s="4">
        <v>93</v>
      </c>
      <c r="F7" s="4">
        <v>89</v>
      </c>
      <c r="G7" s="4">
        <v>100</v>
      </c>
      <c r="H7" s="4">
        <v>167</v>
      </c>
      <c r="I7" s="4">
        <v>243</v>
      </c>
      <c r="J7" s="4">
        <v>254</v>
      </c>
    </row>
    <row r="8" spans="1:10">
      <c r="A8" s="3">
        <v>4</v>
      </c>
      <c r="B8" s="4">
        <v>307</v>
      </c>
      <c r="C8" s="4">
        <v>256</v>
      </c>
      <c r="D8" s="4">
        <v>194</v>
      </c>
      <c r="E8" s="4">
        <v>139</v>
      </c>
      <c r="F8" s="4">
        <v>123</v>
      </c>
      <c r="G8" s="4">
        <v>161</v>
      </c>
      <c r="H8" s="4">
        <v>244</v>
      </c>
      <c r="I8" s="4">
        <v>305</v>
      </c>
      <c r="J8" s="4">
        <v>373</v>
      </c>
    </row>
    <row r="9" spans="1:10">
      <c r="A9" s="3">
        <v>5</v>
      </c>
      <c r="B9" s="4">
        <v>309</v>
      </c>
      <c r="C9" s="4">
        <v>302</v>
      </c>
      <c r="D9" s="4">
        <v>275</v>
      </c>
      <c r="E9" s="4">
        <v>213</v>
      </c>
      <c r="F9" s="4">
        <v>184</v>
      </c>
      <c r="G9" s="4">
        <v>269</v>
      </c>
      <c r="H9" s="4">
        <v>353</v>
      </c>
      <c r="I9" s="4">
        <v>355</v>
      </c>
      <c r="J9" s="4">
        <v>503</v>
      </c>
    </row>
    <row r="10" spans="1:10">
      <c r="A10" s="3">
        <v>6</v>
      </c>
    </row>
    <row r="11" spans="1:10">
      <c r="A11" s="3">
        <v>7</v>
      </c>
    </row>
    <row r="12" spans="1:10">
      <c r="A12" s="3">
        <v>8</v>
      </c>
    </row>
    <row r="13" spans="1:10">
      <c r="A13" s="3">
        <v>9</v>
      </c>
    </row>
    <row r="14" spans="1:10">
      <c r="A14" s="3">
        <v>10</v>
      </c>
      <c r="B14" s="4">
        <v>203</v>
      </c>
      <c r="C14" s="4">
        <v>152</v>
      </c>
      <c r="D14" s="4">
        <v>87</v>
      </c>
      <c r="E14" s="4">
        <v>65</v>
      </c>
      <c r="F14" s="4">
        <v>64</v>
      </c>
      <c r="G14" s="4">
        <v>66</v>
      </c>
      <c r="H14" s="4">
        <v>104</v>
      </c>
      <c r="I14" s="4">
        <v>175</v>
      </c>
      <c r="J14" s="4">
        <v>166</v>
      </c>
    </row>
    <row r="15" spans="1:10">
      <c r="A15" s="3">
        <v>11</v>
      </c>
      <c r="B15" s="4">
        <v>73</v>
      </c>
      <c r="C15" s="4">
        <v>58</v>
      </c>
      <c r="D15" s="4">
        <v>36</v>
      </c>
      <c r="E15" s="4">
        <v>33</v>
      </c>
      <c r="F15" s="4">
        <v>33</v>
      </c>
      <c r="G15" s="4">
        <v>33</v>
      </c>
      <c r="H15" s="4">
        <v>40</v>
      </c>
      <c r="I15" s="4">
        <v>64</v>
      </c>
      <c r="J15" s="4">
        <v>63</v>
      </c>
    </row>
    <row r="16" spans="1:10">
      <c r="A16" s="3">
        <v>12</v>
      </c>
      <c r="B16" s="4">
        <v>22</v>
      </c>
      <c r="C16" s="4">
        <v>22</v>
      </c>
      <c r="D16" s="4">
        <v>22</v>
      </c>
      <c r="E16" s="4">
        <v>22</v>
      </c>
      <c r="F16" s="4">
        <v>22</v>
      </c>
      <c r="G16" s="4">
        <v>22</v>
      </c>
      <c r="H16" s="4">
        <v>22</v>
      </c>
      <c r="I16" s="4">
        <v>22</v>
      </c>
      <c r="J16" s="4">
        <v>35</v>
      </c>
    </row>
    <row r="18" spans="1:11">
      <c r="A18" s="1" t="s">
        <v>27</v>
      </c>
      <c r="B18" s="4">
        <f>SUM(B5:B8)+SUM(B14:B16)</f>
        <v>1054</v>
      </c>
      <c r="C18" s="4">
        <f t="shared" ref="C18:J18" si="0">SUM(C5:C8)+SUM(C14:C16)</f>
        <v>832</v>
      </c>
      <c r="D18" s="4">
        <f t="shared" si="0"/>
        <v>566</v>
      </c>
      <c r="E18" s="4">
        <f t="shared" si="0"/>
        <v>439</v>
      </c>
      <c r="F18" s="4">
        <f t="shared" si="0"/>
        <v>418</v>
      </c>
      <c r="G18" s="4">
        <f t="shared" si="0"/>
        <v>470</v>
      </c>
      <c r="H18" s="4">
        <f t="shared" si="0"/>
        <v>689</v>
      </c>
      <c r="I18" s="4">
        <f t="shared" si="0"/>
        <v>976</v>
      </c>
      <c r="J18" s="4">
        <f t="shared" si="0"/>
        <v>1051</v>
      </c>
      <c r="K18" s="3" t="s">
        <v>104</v>
      </c>
    </row>
    <row r="19" spans="1:11">
      <c r="A19" s="3" t="s">
        <v>53</v>
      </c>
      <c r="B19" s="10">
        <f>B18/3.6/(210*24)</f>
        <v>5.8090828924162258E-2</v>
      </c>
      <c r="C19" s="10">
        <f t="shared" ref="C19:J19" si="1">C18/3.6/(210*24)</f>
        <v>4.585537918871252E-2</v>
      </c>
      <c r="D19" s="10">
        <f t="shared" si="1"/>
        <v>3.119488536155203E-2</v>
      </c>
      <c r="E19" s="10">
        <f t="shared" si="1"/>
        <v>2.4195326278659612E-2</v>
      </c>
      <c r="F19" s="10">
        <f t="shared" si="1"/>
        <v>2.3037918871252207E-2</v>
      </c>
      <c r="G19" s="10">
        <f t="shared" si="1"/>
        <v>2.5903880070546736E-2</v>
      </c>
      <c r="H19" s="10">
        <f t="shared" si="1"/>
        <v>3.7973985890652553E-2</v>
      </c>
      <c r="I19" s="10">
        <f t="shared" si="1"/>
        <v>5.3791887125220456E-2</v>
      </c>
      <c r="J19" s="10">
        <f t="shared" si="1"/>
        <v>5.7925485008818348E-2</v>
      </c>
      <c r="K19" s="16">
        <f>AVERAGE(B19:J19)</f>
        <v>3.9774397413286304E-2</v>
      </c>
    </row>
  </sheetData>
  <sheetProtection password="CC20" sheet="1" objects="1" scenarios="1"/>
  <phoneticPr fontId="17" type="noConversion"/>
  <pageMargins left="0.75" right="0.75" top="1" bottom="1" header="0.5" footer="0.5"/>
  <pageSetup paperSize="9" orientation="portrait" r:id="rId1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22" workbookViewId="0">
      <selection activeCell="G49" sqref="G49"/>
    </sheetView>
  </sheetViews>
  <sheetFormatPr defaultColWidth="9.28515625" defaultRowHeight="12.75"/>
  <cols>
    <col min="1" max="1" width="8" style="5" customWidth="1"/>
    <col min="2" max="2" width="7" style="5" customWidth="1"/>
    <col min="3" max="3" width="7.7109375" style="5" customWidth="1"/>
    <col min="4" max="4" width="6.42578125" style="5" customWidth="1"/>
    <col min="5" max="5" width="7.5703125" style="5" customWidth="1"/>
    <col min="6" max="6" width="8.85546875" style="5" customWidth="1"/>
    <col min="7" max="7" width="8.140625" style="5" customWidth="1"/>
    <col min="8" max="10" width="7.7109375" style="5" customWidth="1"/>
    <col min="11" max="11" width="10.28515625" style="5" customWidth="1"/>
    <col min="12" max="12" width="7.7109375" style="5" customWidth="1"/>
    <col min="13" max="13" width="8.85546875" style="5" bestFit="1" customWidth="1"/>
    <col min="14" max="14" width="9.28515625" style="5" customWidth="1"/>
    <col min="15" max="15" width="5.85546875" style="5" customWidth="1"/>
    <col min="16" max="16" width="10.85546875" style="5" hidden="1" customWidth="1"/>
    <col min="17" max="17" width="26.85546875" style="5" customWidth="1"/>
    <col min="18" max="19" width="9.28515625" style="5" customWidth="1"/>
    <col min="20" max="20" width="13.42578125" style="5" customWidth="1"/>
    <col min="21" max="22" width="9.28515625" style="5" customWidth="1"/>
    <col min="23" max="23" width="10.28515625" style="5" bestFit="1" customWidth="1"/>
    <col min="24" max="24" width="11.5703125" style="5" bestFit="1" customWidth="1"/>
    <col min="25" max="25" width="9.85546875" style="5" bestFit="1" customWidth="1"/>
    <col min="26" max="16384" width="9.28515625" style="5"/>
  </cols>
  <sheetData>
    <row r="1" spans="1:25" s="29" customFormat="1">
      <c r="A1" s="115" t="s">
        <v>106</v>
      </c>
      <c r="B1" s="116"/>
      <c r="C1" s="116"/>
      <c r="D1" s="116"/>
      <c r="E1" s="117"/>
      <c r="F1" s="118" t="s">
        <v>117</v>
      </c>
      <c r="G1" s="119">
        <f>Referentie!B7</f>
        <v>18</v>
      </c>
      <c r="H1" s="120" t="s">
        <v>118</v>
      </c>
      <c r="I1" s="120"/>
      <c r="J1" s="120"/>
      <c r="K1" s="116"/>
      <c r="L1" s="116"/>
      <c r="M1" s="121"/>
      <c r="N1" s="121"/>
      <c r="O1" s="121"/>
      <c r="P1" s="121"/>
      <c r="Q1" s="121"/>
      <c r="R1" s="122"/>
      <c r="S1" s="122"/>
      <c r="T1" s="122"/>
      <c r="U1" s="122"/>
      <c r="V1" s="122"/>
      <c r="W1" s="117"/>
      <c r="X1" s="117"/>
      <c r="Y1" s="123"/>
    </row>
    <row r="2" spans="1:25">
      <c r="A2" s="124"/>
      <c r="B2" s="13"/>
      <c r="C2" s="125"/>
      <c r="D2" s="13"/>
      <c r="E2" s="13"/>
      <c r="F2" s="13"/>
      <c r="G2" s="126"/>
      <c r="H2" s="14"/>
      <c r="I2" s="14"/>
      <c r="J2" s="14"/>
      <c r="K2" s="13"/>
      <c r="L2" s="13"/>
      <c r="M2" s="14"/>
      <c r="N2" s="14"/>
      <c r="O2" s="33"/>
      <c r="P2" s="13"/>
      <c r="Q2" s="33"/>
      <c r="R2" s="33"/>
      <c r="S2" s="33"/>
      <c r="T2" s="33"/>
      <c r="U2" s="33"/>
      <c r="V2" s="33"/>
      <c r="W2" s="33"/>
      <c r="X2" s="33"/>
      <c r="Y2" s="127"/>
    </row>
    <row r="3" spans="1:25" s="29" customFormat="1" ht="19.5" customHeight="1">
      <c r="A3" s="128" t="s">
        <v>39</v>
      </c>
      <c r="B3" s="129" t="s">
        <v>51</v>
      </c>
      <c r="C3" s="130" t="s">
        <v>163</v>
      </c>
      <c r="D3" s="130" t="s">
        <v>47</v>
      </c>
      <c r="E3" s="129" t="s">
        <v>164</v>
      </c>
      <c r="F3" s="129" t="s">
        <v>136</v>
      </c>
      <c r="G3" s="131" t="s">
        <v>137</v>
      </c>
      <c r="H3" s="130" t="s">
        <v>138</v>
      </c>
      <c r="I3" s="130" t="s">
        <v>211</v>
      </c>
      <c r="J3" s="130" t="s">
        <v>212</v>
      </c>
      <c r="K3" s="129" t="s">
        <v>210</v>
      </c>
      <c r="L3" s="129" t="s">
        <v>149</v>
      </c>
      <c r="M3" s="129" t="s">
        <v>150</v>
      </c>
      <c r="N3" s="13"/>
      <c r="O3" s="132"/>
      <c r="P3" s="132"/>
      <c r="Q3" s="132"/>
      <c r="R3" s="132"/>
      <c r="S3" s="133"/>
      <c r="T3" s="132"/>
      <c r="U3" s="132"/>
      <c r="V3" s="132"/>
      <c r="W3" s="132"/>
      <c r="X3" s="132"/>
      <c r="Y3" s="134"/>
    </row>
    <row r="4" spans="1:25" s="29" customFormat="1" ht="19.5" customHeight="1">
      <c r="A4" s="135"/>
      <c r="B4" s="13"/>
      <c r="C4" s="14" t="s">
        <v>7</v>
      </c>
      <c r="D4" s="14" t="s">
        <v>7</v>
      </c>
      <c r="E4" s="14" t="s">
        <v>7</v>
      </c>
      <c r="F4" s="13" t="s">
        <v>11</v>
      </c>
      <c r="G4" s="13" t="s">
        <v>11</v>
      </c>
      <c r="H4" s="13" t="s">
        <v>11</v>
      </c>
      <c r="I4" s="13" t="s">
        <v>11</v>
      </c>
      <c r="J4" s="13" t="s">
        <v>11</v>
      </c>
      <c r="K4" s="13" t="s">
        <v>11</v>
      </c>
      <c r="L4" s="13" t="s">
        <v>11</v>
      </c>
      <c r="M4" s="13" t="s">
        <v>116</v>
      </c>
      <c r="N4" s="13"/>
      <c r="O4" s="132"/>
      <c r="P4" s="132"/>
      <c r="Q4" s="132"/>
      <c r="R4" s="53"/>
      <c r="S4" s="54"/>
      <c r="T4" s="55" t="s">
        <v>173</v>
      </c>
      <c r="U4" s="55" t="s">
        <v>173</v>
      </c>
      <c r="V4" s="55" t="s">
        <v>173</v>
      </c>
      <c r="W4" s="55" t="s">
        <v>173</v>
      </c>
      <c r="X4" s="56" t="s">
        <v>173</v>
      </c>
      <c r="Y4" s="134"/>
    </row>
    <row r="5" spans="1:25">
      <c r="A5" s="124"/>
      <c r="B5" s="13"/>
      <c r="C5" s="125"/>
      <c r="D5" s="13"/>
      <c r="E5" s="13"/>
      <c r="F5" s="13"/>
      <c r="G5" s="126"/>
      <c r="H5" s="14"/>
      <c r="I5" s="14"/>
      <c r="J5" s="14"/>
      <c r="K5" s="13"/>
      <c r="L5" s="13"/>
      <c r="M5" s="14"/>
      <c r="N5" s="14"/>
      <c r="O5" s="33"/>
      <c r="P5" s="33"/>
      <c r="Q5" s="33" t="s">
        <v>168</v>
      </c>
      <c r="R5" s="57">
        <f>R21/SUM(A6:A20)</f>
        <v>9.7872475549345861</v>
      </c>
      <c r="S5" s="33"/>
      <c r="T5" s="33" t="s">
        <v>169</v>
      </c>
      <c r="U5" s="33" t="s">
        <v>170</v>
      </c>
      <c r="V5" s="33" t="s">
        <v>29</v>
      </c>
      <c r="W5" s="33" t="s">
        <v>171</v>
      </c>
      <c r="X5" s="34" t="s">
        <v>172</v>
      </c>
      <c r="Y5" s="127"/>
    </row>
    <row r="6" spans="1:25">
      <c r="A6" s="136">
        <v>650</v>
      </c>
      <c r="B6" s="14">
        <f t="shared" ref="B6:B19" si="0">A6+B7</f>
        <v>7873</v>
      </c>
      <c r="C6" s="13">
        <v>16</v>
      </c>
      <c r="D6" s="14">
        <v>18</v>
      </c>
      <c r="E6" s="13">
        <f t="shared" ref="E6:E20" si="1">$G$1-(D6+C6)/2</f>
        <v>1</v>
      </c>
      <c r="F6" s="126">
        <f>Referentie!$F$37*E6/1000</f>
        <v>0.14605557275170536</v>
      </c>
      <c r="G6" s="137">
        <f>Referentie!$F$47*E6/1000</f>
        <v>6.1499999999999999E-2</v>
      </c>
      <c r="H6" s="137">
        <f>Referentie!$F$54*E6/1000</f>
        <v>0.1443005845330427</v>
      </c>
      <c r="I6" s="137">
        <f>Referentie!$F$71</f>
        <v>0.57077625570776258</v>
      </c>
      <c r="J6" s="137">
        <f>Referentie!$F$70</f>
        <v>0.08</v>
      </c>
      <c r="K6" s="126">
        <f>Referentie!$F$63</f>
        <v>0.47729276895943562</v>
      </c>
      <c r="L6" s="126">
        <f>SUM(F6:H6)-SUM(I6:K6)</f>
        <v>-0.77621286738244999</v>
      </c>
      <c r="M6" s="14">
        <f t="shared" ref="M6:M20" si="2">IF(L6&gt;0,A6*L6,0)</f>
        <v>0</v>
      </c>
      <c r="N6" s="33"/>
      <c r="O6" s="33"/>
      <c r="P6" s="33"/>
      <c r="Q6" s="33"/>
      <c r="R6" s="45">
        <f t="shared" ref="R6:R20" si="3">E6*A6</f>
        <v>650</v>
      </c>
      <c r="S6" s="33"/>
      <c r="T6" s="61">
        <f>F6*$A6/1000</f>
        <v>9.4936122288608482E-2</v>
      </c>
      <c r="U6" s="62">
        <f>G6*$A6/1000</f>
        <v>3.9975000000000004E-2</v>
      </c>
      <c r="V6" s="63">
        <f>H6*$A6/1000</f>
        <v>9.3795379946477755E-2</v>
      </c>
      <c r="W6" s="62">
        <f>SUM(I6:K6)*A6/1000</f>
        <v>0.73324486603367867</v>
      </c>
      <c r="X6" s="64">
        <f>M6/1000</f>
        <v>0</v>
      </c>
      <c r="Y6" s="138"/>
    </row>
    <row r="7" spans="1:25">
      <c r="A7" s="136">
        <v>910</v>
      </c>
      <c r="B7" s="14">
        <f t="shared" si="0"/>
        <v>7223</v>
      </c>
      <c r="C7" s="13">
        <v>14</v>
      </c>
      <c r="D7" s="14">
        <v>16</v>
      </c>
      <c r="E7" s="13">
        <f t="shared" si="1"/>
        <v>3</v>
      </c>
      <c r="F7" s="126">
        <f>Referentie!$F$37*E7/1000</f>
        <v>0.43816671825511611</v>
      </c>
      <c r="G7" s="137">
        <f>Referentie!$F$47*E7/1000</f>
        <v>0.1845</v>
      </c>
      <c r="H7" s="137">
        <f>Referentie!$F$54*E7/1000</f>
        <v>0.43290175359912808</v>
      </c>
      <c r="I7" s="137">
        <f>Referentie!$F$71</f>
        <v>0.57077625570776258</v>
      </c>
      <c r="J7" s="137">
        <f>Referentie!$F$70</f>
        <v>0.08</v>
      </c>
      <c r="K7" s="126">
        <f>Referentie!$F$63</f>
        <v>0.47729276895943562</v>
      </c>
      <c r="L7" s="126">
        <f t="shared" ref="L7:L20" si="4">SUM(F7:H7)-SUM(I7:K7)</f>
        <v>-7.2500552812953867E-2</v>
      </c>
      <c r="M7" s="14">
        <f t="shared" si="2"/>
        <v>0</v>
      </c>
      <c r="N7" s="33"/>
      <c r="O7" s="33"/>
      <c r="P7" s="33"/>
      <c r="Q7" s="33"/>
      <c r="R7" s="46">
        <f t="shared" si="3"/>
        <v>2730</v>
      </c>
      <c r="S7" s="33"/>
      <c r="T7" s="57">
        <f t="shared" ref="T7:T20" si="5">F7*$A7/1000</f>
        <v>0.39873171361215565</v>
      </c>
      <c r="U7" s="58">
        <f t="shared" ref="U7:U20" si="6">G7*$A7/1000</f>
        <v>0.16789500000000002</v>
      </c>
      <c r="V7" s="59">
        <f t="shared" ref="V7:V20" si="7">H7*$A7/1000</f>
        <v>0.39394059577520651</v>
      </c>
      <c r="W7" s="58">
        <f t="shared" ref="W7:W20" si="8">SUM(I7:K7)*A7/1000</f>
        <v>1.0265428124471503</v>
      </c>
      <c r="X7" s="60">
        <f t="shared" ref="X7:X20" si="9">M7/1000</f>
        <v>0</v>
      </c>
      <c r="Y7" s="127"/>
    </row>
    <row r="8" spans="1:25">
      <c r="A8" s="136">
        <v>851</v>
      </c>
      <c r="B8" s="14">
        <f t="shared" si="0"/>
        <v>6313</v>
      </c>
      <c r="C8" s="13">
        <v>12</v>
      </c>
      <c r="D8" s="14">
        <v>14</v>
      </c>
      <c r="E8" s="13">
        <f t="shared" si="1"/>
        <v>5</v>
      </c>
      <c r="F8" s="126">
        <f>Referentie!$F$37*E8/1000</f>
        <v>0.73027786375852677</v>
      </c>
      <c r="G8" s="137">
        <f>Referentie!$F$47*E8/1000</f>
        <v>0.3075</v>
      </c>
      <c r="H8" s="137">
        <f>Referentie!$F$54*E8/1000</f>
        <v>0.72150292266521343</v>
      </c>
      <c r="I8" s="137">
        <f>Referentie!$F$71</f>
        <v>0.57077625570776258</v>
      </c>
      <c r="J8" s="137">
        <f>Referentie!$F$70</f>
        <v>0.08</v>
      </c>
      <c r="K8" s="126">
        <f>Referentie!$F$63</f>
        <v>0.47729276895943562</v>
      </c>
      <c r="L8" s="126">
        <f t="shared" si="4"/>
        <v>0.63121176175654203</v>
      </c>
      <c r="M8" s="14">
        <f t="shared" si="2"/>
        <v>537.16120925481732</v>
      </c>
      <c r="N8" s="33"/>
      <c r="O8" s="33"/>
      <c r="P8" s="33"/>
      <c r="Q8" s="33"/>
      <c r="R8" s="46">
        <f t="shared" si="3"/>
        <v>4255</v>
      </c>
      <c r="S8" s="33"/>
      <c r="T8" s="57">
        <f t="shared" si="5"/>
        <v>0.62146646205850631</v>
      </c>
      <c r="U8" s="58">
        <f t="shared" si="6"/>
        <v>0.26168249999999998</v>
      </c>
      <c r="V8" s="59">
        <f t="shared" si="7"/>
        <v>0.61399898718809665</v>
      </c>
      <c r="W8" s="58">
        <f t="shared" si="8"/>
        <v>0.95998673999178552</v>
      </c>
      <c r="X8" s="60">
        <f t="shared" si="9"/>
        <v>0.53716120925481736</v>
      </c>
      <c r="Y8" s="127"/>
    </row>
    <row r="9" spans="1:25">
      <c r="A9" s="136">
        <v>782</v>
      </c>
      <c r="B9" s="14">
        <f t="shared" si="0"/>
        <v>5462</v>
      </c>
      <c r="C9" s="13">
        <v>10</v>
      </c>
      <c r="D9" s="14">
        <v>12</v>
      </c>
      <c r="E9" s="13">
        <f t="shared" si="1"/>
        <v>7</v>
      </c>
      <c r="F9" s="126">
        <f>Referentie!$F$37*E9/1000</f>
        <v>1.0223890092619377</v>
      </c>
      <c r="G9" s="137">
        <f>Referentie!$F$47*E9/1000</f>
        <v>0.43049999999999999</v>
      </c>
      <c r="H9" s="137">
        <f>Referentie!$F$54*E9/1000</f>
        <v>1.0101040917312989</v>
      </c>
      <c r="I9" s="137">
        <f>Referentie!$F$71</f>
        <v>0.57077625570776258</v>
      </c>
      <c r="J9" s="137">
        <f>Referentie!$F$70</f>
        <v>0.08</v>
      </c>
      <c r="K9" s="126">
        <f>Referentie!$F$63</f>
        <v>0.47729276895943562</v>
      </c>
      <c r="L9" s="126">
        <f t="shared" si="4"/>
        <v>1.3349240763260388</v>
      </c>
      <c r="M9" s="14">
        <f t="shared" si="2"/>
        <v>1043.9106276869625</v>
      </c>
      <c r="N9" s="33"/>
      <c r="O9" s="33"/>
      <c r="P9" s="33"/>
      <c r="Q9" s="33"/>
      <c r="R9" s="46">
        <f t="shared" si="3"/>
        <v>5474</v>
      </c>
      <c r="S9" s="33"/>
      <c r="T9" s="57">
        <f t="shared" si="5"/>
        <v>0.79950820524283528</v>
      </c>
      <c r="U9" s="58">
        <f t="shared" si="6"/>
        <v>0.33665100000000003</v>
      </c>
      <c r="V9" s="59">
        <f t="shared" si="7"/>
        <v>0.78990139973387563</v>
      </c>
      <c r="W9" s="58">
        <f t="shared" si="8"/>
        <v>0.88214997728974887</v>
      </c>
      <c r="X9" s="60">
        <f t="shared" si="9"/>
        <v>1.0439106276869625</v>
      </c>
      <c r="Y9" s="127"/>
    </row>
    <row r="10" spans="1:25">
      <c r="A10" s="136">
        <v>779</v>
      </c>
      <c r="B10" s="14">
        <f t="shared" si="0"/>
        <v>4680</v>
      </c>
      <c r="C10" s="13">
        <v>8</v>
      </c>
      <c r="D10" s="14">
        <v>10</v>
      </c>
      <c r="E10" s="13">
        <f t="shared" si="1"/>
        <v>9</v>
      </c>
      <c r="F10" s="126">
        <f>Referentie!$F$37*E10/1000</f>
        <v>1.3145001547653483</v>
      </c>
      <c r="G10" s="137">
        <f>Referentie!$F$47*E10/1000</f>
        <v>0.55349999999999999</v>
      </c>
      <c r="H10" s="137">
        <f>Referentie!$F$54*E10/1000</f>
        <v>1.2987052607973841</v>
      </c>
      <c r="I10" s="137">
        <f>Referentie!$F$71</f>
        <v>0.57077625570776258</v>
      </c>
      <c r="J10" s="137">
        <f>Referentie!$F$70</f>
        <v>0.08</v>
      </c>
      <c r="K10" s="126">
        <f>Referentie!$F$63</f>
        <v>0.47729276895943562</v>
      </c>
      <c r="L10" s="126">
        <f t="shared" si="4"/>
        <v>2.0386363908955345</v>
      </c>
      <c r="M10" s="14">
        <f t="shared" si="2"/>
        <v>1588.0977485076214</v>
      </c>
      <c r="N10" s="33"/>
      <c r="O10" s="33"/>
      <c r="P10" s="33"/>
      <c r="Q10" s="33"/>
      <c r="R10" s="46">
        <f t="shared" si="3"/>
        <v>7011</v>
      </c>
      <c r="S10" s="33"/>
      <c r="T10" s="57">
        <f t="shared" si="5"/>
        <v>1.0239956205622063</v>
      </c>
      <c r="U10" s="58">
        <f t="shared" si="6"/>
        <v>0.43117649999999996</v>
      </c>
      <c r="V10" s="59">
        <f t="shared" si="7"/>
        <v>1.0116913981611624</v>
      </c>
      <c r="W10" s="58">
        <f t="shared" si="8"/>
        <v>0.8787657702157472</v>
      </c>
      <c r="X10" s="60">
        <f t="shared" si="9"/>
        <v>1.5880977485076213</v>
      </c>
      <c r="Y10" s="127"/>
    </row>
    <row r="11" spans="1:25">
      <c r="A11" s="136">
        <v>973</v>
      </c>
      <c r="B11" s="14">
        <f t="shared" si="0"/>
        <v>3901</v>
      </c>
      <c r="C11" s="13">
        <v>6</v>
      </c>
      <c r="D11" s="14">
        <v>8</v>
      </c>
      <c r="E11" s="13">
        <f t="shared" si="1"/>
        <v>11</v>
      </c>
      <c r="F11" s="126">
        <f>Referentie!$F$37*E11/1000</f>
        <v>1.6066113002687592</v>
      </c>
      <c r="G11" s="137">
        <f>Referentie!$F$47*E11/1000</f>
        <v>0.67649999999999999</v>
      </c>
      <c r="H11" s="137">
        <f>Referentie!$F$54*E11/1000</f>
        <v>1.5873064298634696</v>
      </c>
      <c r="I11" s="137">
        <f>Referentie!$F$71</f>
        <v>0.57077625570776258</v>
      </c>
      <c r="J11" s="137">
        <f>Referentie!$F$70</f>
        <v>0.08</v>
      </c>
      <c r="K11" s="126">
        <f>Referentie!$F$63</f>
        <v>0.47729276895943562</v>
      </c>
      <c r="L11" s="126">
        <f t="shared" si="4"/>
        <v>2.7423487054650306</v>
      </c>
      <c r="M11" s="14">
        <f t="shared" si="2"/>
        <v>2668.3052904174747</v>
      </c>
      <c r="N11" s="33"/>
      <c r="O11" s="33"/>
      <c r="P11" s="33"/>
      <c r="Q11" s="33"/>
      <c r="R11" s="46">
        <f t="shared" si="3"/>
        <v>10703</v>
      </c>
      <c r="S11" s="33"/>
      <c r="T11" s="57">
        <f t="shared" si="5"/>
        <v>1.5632327951615028</v>
      </c>
      <c r="U11" s="58">
        <f t="shared" si="6"/>
        <v>0.65823450000000006</v>
      </c>
      <c r="V11" s="59">
        <f t="shared" si="7"/>
        <v>1.5444491562571558</v>
      </c>
      <c r="W11" s="58">
        <f t="shared" si="8"/>
        <v>1.0976111610011838</v>
      </c>
      <c r="X11" s="60">
        <f t="shared" si="9"/>
        <v>2.6683052904174747</v>
      </c>
      <c r="Y11" s="127"/>
    </row>
    <row r="12" spans="1:25">
      <c r="A12" s="136">
        <v>958</v>
      </c>
      <c r="B12" s="14">
        <f t="shared" si="0"/>
        <v>2928</v>
      </c>
      <c r="C12" s="13">
        <v>4</v>
      </c>
      <c r="D12" s="14">
        <v>6</v>
      </c>
      <c r="E12" s="13">
        <f t="shared" si="1"/>
        <v>13</v>
      </c>
      <c r="F12" s="126">
        <f>Referentie!$F$37*E12/1000</f>
        <v>1.8987224457721696</v>
      </c>
      <c r="G12" s="137">
        <f>Referentie!$F$47*E12/1000</f>
        <v>0.79949999999999999</v>
      </c>
      <c r="H12" s="137">
        <f>Referentie!$F$54*E12/1000</f>
        <v>1.8759075989295551</v>
      </c>
      <c r="I12" s="137">
        <f>Referentie!$F$71</f>
        <v>0.57077625570776258</v>
      </c>
      <c r="J12" s="137">
        <f>Referentie!$F$70</f>
        <v>0.08</v>
      </c>
      <c r="K12" s="126">
        <f>Referentie!$F$63</f>
        <v>0.47729276895943562</v>
      </c>
      <c r="L12" s="126">
        <f t="shared" si="4"/>
        <v>3.4460610200345272</v>
      </c>
      <c r="M12" s="14">
        <f t="shared" si="2"/>
        <v>3301.3264571930772</v>
      </c>
      <c r="N12" s="33"/>
      <c r="O12" s="33"/>
      <c r="P12" s="33"/>
      <c r="Q12" s="33"/>
      <c r="R12" s="46">
        <f t="shared" si="3"/>
        <v>12454</v>
      </c>
      <c r="S12" s="33"/>
      <c r="T12" s="57">
        <f t="shared" si="5"/>
        <v>1.8189761030497384</v>
      </c>
      <c r="U12" s="58">
        <f t="shared" si="6"/>
        <v>0.76592099999999996</v>
      </c>
      <c r="V12" s="59">
        <f t="shared" si="7"/>
        <v>1.7971194797745138</v>
      </c>
      <c r="W12" s="58">
        <f t="shared" si="8"/>
        <v>1.0806901256311758</v>
      </c>
      <c r="X12" s="60">
        <f t="shared" si="9"/>
        <v>3.3013264571930772</v>
      </c>
      <c r="Y12" s="127"/>
    </row>
    <row r="13" spans="1:25">
      <c r="A13" s="136">
        <v>730</v>
      </c>
      <c r="B13" s="14">
        <f t="shared" si="0"/>
        <v>1970</v>
      </c>
      <c r="C13" s="13">
        <v>2</v>
      </c>
      <c r="D13" s="14">
        <v>4</v>
      </c>
      <c r="E13" s="13">
        <f t="shared" si="1"/>
        <v>15</v>
      </c>
      <c r="F13" s="126">
        <f>Referentie!$F$37*E13/1000</f>
        <v>2.1908335912755805</v>
      </c>
      <c r="G13" s="137">
        <f>Referentie!$F$47*E13/1000</f>
        <v>0.92249999999999999</v>
      </c>
      <c r="H13" s="137">
        <f>Referentie!$F$54*E13/1000</f>
        <v>2.1645087679956405</v>
      </c>
      <c r="I13" s="137">
        <f>Referentie!$F$71</f>
        <v>0.57077625570776258</v>
      </c>
      <c r="J13" s="137">
        <f>Referentie!$F$70</f>
        <v>0.08</v>
      </c>
      <c r="K13" s="126">
        <f>Referentie!$F$63</f>
        <v>0.47729276895943562</v>
      </c>
      <c r="L13" s="126">
        <f t="shared" si="4"/>
        <v>4.1497733346040224</v>
      </c>
      <c r="M13" s="14">
        <f t="shared" si="2"/>
        <v>3029.3345342609364</v>
      </c>
      <c r="N13" s="33"/>
      <c r="O13" s="33"/>
      <c r="P13" s="33"/>
      <c r="Q13" s="33"/>
      <c r="R13" s="46">
        <f t="shared" si="3"/>
        <v>10950</v>
      </c>
      <c r="S13" s="33"/>
      <c r="T13" s="57">
        <f t="shared" si="5"/>
        <v>1.5993085216311738</v>
      </c>
      <c r="U13" s="58">
        <f t="shared" si="6"/>
        <v>0.67342499999999994</v>
      </c>
      <c r="V13" s="59">
        <f t="shared" si="7"/>
        <v>1.5800914006368176</v>
      </c>
      <c r="W13" s="58">
        <f t="shared" si="8"/>
        <v>0.82349038800705454</v>
      </c>
      <c r="X13" s="60">
        <f t="shared" si="9"/>
        <v>3.0293345342609364</v>
      </c>
      <c r="Y13" s="127"/>
    </row>
    <row r="14" spans="1:25">
      <c r="A14" s="136">
        <v>655</v>
      </c>
      <c r="B14" s="14">
        <f t="shared" si="0"/>
        <v>1240</v>
      </c>
      <c r="C14" s="13">
        <v>0</v>
      </c>
      <c r="D14" s="14">
        <v>2</v>
      </c>
      <c r="E14" s="13">
        <f t="shared" si="1"/>
        <v>17</v>
      </c>
      <c r="F14" s="126">
        <f>Referentie!$F$37*E14/1000</f>
        <v>2.4829447367789914</v>
      </c>
      <c r="G14" s="137">
        <f>Referentie!$F$47*E14/1000</f>
        <v>1.0455000000000001</v>
      </c>
      <c r="H14" s="137">
        <f>Referentie!$F$54*E14/1000</f>
        <v>2.453109937061726</v>
      </c>
      <c r="I14" s="137">
        <f>Referentie!$F$71</f>
        <v>0.57077625570776258</v>
      </c>
      <c r="J14" s="137">
        <f>Referentie!$F$70</f>
        <v>0.08</v>
      </c>
      <c r="K14" s="126">
        <f>Referentie!$F$63</f>
        <v>0.47729276895943562</v>
      </c>
      <c r="L14" s="126">
        <f t="shared" si="4"/>
        <v>4.8534856491735194</v>
      </c>
      <c r="M14" s="14">
        <f t="shared" si="2"/>
        <v>3179.033100208655</v>
      </c>
      <c r="N14" s="33"/>
      <c r="O14" s="33"/>
      <c r="P14" s="33"/>
      <c r="Q14" s="33"/>
      <c r="R14" s="46">
        <f t="shared" si="3"/>
        <v>11135</v>
      </c>
      <c r="S14" s="33"/>
      <c r="T14" s="57">
        <f t="shared" si="5"/>
        <v>1.6263288025902394</v>
      </c>
      <c r="U14" s="58">
        <f t="shared" si="6"/>
        <v>0.68480249999999998</v>
      </c>
      <c r="V14" s="59">
        <f t="shared" si="7"/>
        <v>1.6067870087754303</v>
      </c>
      <c r="W14" s="58">
        <f t="shared" si="8"/>
        <v>0.73888521115701478</v>
      </c>
      <c r="X14" s="60">
        <f t="shared" si="9"/>
        <v>3.1790331002086551</v>
      </c>
      <c r="Y14" s="127"/>
    </row>
    <row r="15" spans="1:25">
      <c r="A15" s="136">
        <v>418</v>
      </c>
      <c r="B15" s="14">
        <f t="shared" si="0"/>
        <v>585</v>
      </c>
      <c r="C15" s="13">
        <v>-2</v>
      </c>
      <c r="D15" s="14">
        <v>0</v>
      </c>
      <c r="E15" s="13">
        <f t="shared" si="1"/>
        <v>19</v>
      </c>
      <c r="F15" s="126">
        <f>Referentie!$F$37*E15/1000</f>
        <v>2.7750558822824019</v>
      </c>
      <c r="G15" s="137">
        <f>Referentie!$F$47*E15/1000</f>
        <v>1.1685000000000001</v>
      </c>
      <c r="H15" s="137">
        <f>Referentie!$F$54*E15/1000</f>
        <v>2.741711106127811</v>
      </c>
      <c r="I15" s="137">
        <f>Referentie!$F$71</f>
        <v>0.57077625570776258</v>
      </c>
      <c r="J15" s="137">
        <f>Referentie!$F$70</f>
        <v>0.08</v>
      </c>
      <c r="K15" s="126">
        <f>Referentie!$F$63</f>
        <v>0.47729276895943562</v>
      </c>
      <c r="L15" s="126">
        <f t="shared" si="4"/>
        <v>5.5571979637430147</v>
      </c>
      <c r="M15" s="14">
        <f t="shared" si="2"/>
        <v>2322.9087488445803</v>
      </c>
      <c r="N15" s="33"/>
      <c r="O15" s="33"/>
      <c r="P15" s="33"/>
      <c r="Q15" s="33"/>
      <c r="R15" s="46">
        <f t="shared" si="3"/>
        <v>7942</v>
      </c>
      <c r="S15" s="33"/>
      <c r="T15" s="57">
        <f t="shared" si="5"/>
        <v>1.1599733587940442</v>
      </c>
      <c r="U15" s="58">
        <f t="shared" si="6"/>
        <v>0.48843300000000006</v>
      </c>
      <c r="V15" s="59">
        <f t="shared" si="7"/>
        <v>1.1460352423614248</v>
      </c>
      <c r="W15" s="58">
        <f t="shared" si="8"/>
        <v>0.47153285231088876</v>
      </c>
      <c r="X15" s="60">
        <f t="shared" si="9"/>
        <v>2.3229087488445801</v>
      </c>
      <c r="Y15" s="127"/>
    </row>
    <row r="16" spans="1:25">
      <c r="A16" s="136">
        <v>98</v>
      </c>
      <c r="B16" s="14">
        <f t="shared" si="0"/>
        <v>167</v>
      </c>
      <c r="C16" s="13">
        <v>-4</v>
      </c>
      <c r="D16" s="14">
        <v>-2</v>
      </c>
      <c r="E16" s="13">
        <f t="shared" si="1"/>
        <v>21</v>
      </c>
      <c r="F16" s="126">
        <f>Referentie!$F$37*E16/1000</f>
        <v>3.0671670277858127</v>
      </c>
      <c r="G16" s="137">
        <f>Referentie!$F$47*E16/1000</f>
        <v>1.2915000000000001</v>
      </c>
      <c r="H16" s="137">
        <f>Referentie!$F$54*E16/1000</f>
        <v>3.0303122751938969</v>
      </c>
      <c r="I16" s="137">
        <f>Referentie!$F$71</f>
        <v>0.57077625570776258</v>
      </c>
      <c r="J16" s="137">
        <f>Referentie!$F$70</f>
        <v>0.08</v>
      </c>
      <c r="K16" s="126">
        <f>Referentie!$F$63</f>
        <v>0.47729276895943562</v>
      </c>
      <c r="L16" s="126">
        <f t="shared" si="4"/>
        <v>6.2609102783125117</v>
      </c>
      <c r="M16" s="14">
        <f t="shared" si="2"/>
        <v>613.56920727462614</v>
      </c>
      <c r="N16" s="33"/>
      <c r="O16" s="33"/>
      <c r="P16" s="33"/>
      <c r="Q16" s="33"/>
      <c r="R16" s="46">
        <f t="shared" si="3"/>
        <v>2058</v>
      </c>
      <c r="S16" s="33"/>
      <c r="T16" s="57">
        <f t="shared" si="5"/>
        <v>0.30058236872300964</v>
      </c>
      <c r="U16" s="58">
        <f t="shared" si="6"/>
        <v>0.12656700000000001</v>
      </c>
      <c r="V16" s="59">
        <f t="shared" si="7"/>
        <v>0.29697060296900191</v>
      </c>
      <c r="W16" s="58">
        <f t="shared" si="8"/>
        <v>0.11055076441738541</v>
      </c>
      <c r="X16" s="60">
        <f t="shared" si="9"/>
        <v>0.61356920727462616</v>
      </c>
      <c r="Y16" s="127"/>
    </row>
    <row r="17" spans="1:25">
      <c r="A17" s="136">
        <v>35</v>
      </c>
      <c r="B17" s="14">
        <f t="shared" si="0"/>
        <v>69</v>
      </c>
      <c r="C17" s="13">
        <v>-6</v>
      </c>
      <c r="D17" s="14">
        <v>-4</v>
      </c>
      <c r="E17" s="13">
        <f t="shared" si="1"/>
        <v>23</v>
      </c>
      <c r="F17" s="126">
        <f>Referentie!$F$37*E17/1000</f>
        <v>3.3592781732892236</v>
      </c>
      <c r="G17" s="137">
        <f>Referentie!$F$47*E17/1000</f>
        <v>1.4145000000000001</v>
      </c>
      <c r="H17" s="137">
        <f>Referentie!$F$54*E17/1000</f>
        <v>3.3189134442599819</v>
      </c>
      <c r="I17" s="137">
        <f>Referentie!$F$71</f>
        <v>0.57077625570776258</v>
      </c>
      <c r="J17" s="137">
        <f>Referentie!$F$70</f>
        <v>0.08</v>
      </c>
      <c r="K17" s="126">
        <f>Referentie!$F$63</f>
        <v>0.47729276895943562</v>
      </c>
      <c r="L17" s="126">
        <f t="shared" si="4"/>
        <v>6.9646225928820087</v>
      </c>
      <c r="M17" s="14">
        <f t="shared" si="2"/>
        <v>243.76179075087032</v>
      </c>
      <c r="N17" s="33"/>
      <c r="O17" s="33"/>
      <c r="P17" s="33"/>
      <c r="Q17" s="33"/>
      <c r="R17" s="46">
        <f t="shared" si="3"/>
        <v>805</v>
      </c>
      <c r="S17" s="33"/>
      <c r="T17" s="57">
        <f t="shared" si="5"/>
        <v>0.11757473606512282</v>
      </c>
      <c r="U17" s="58">
        <f t="shared" si="6"/>
        <v>4.9507500000000003E-2</v>
      </c>
      <c r="V17" s="59">
        <f t="shared" si="7"/>
        <v>0.11616197054909937</v>
      </c>
      <c r="W17" s="58">
        <f t="shared" si="8"/>
        <v>3.9482415863351931E-2</v>
      </c>
      <c r="X17" s="60">
        <f t="shared" si="9"/>
        <v>0.24376179075087032</v>
      </c>
      <c r="Y17" s="127"/>
    </row>
    <row r="18" spans="1:25">
      <c r="A18" s="136">
        <v>15</v>
      </c>
      <c r="B18" s="14">
        <f t="shared" si="0"/>
        <v>34</v>
      </c>
      <c r="C18" s="13">
        <v>-8</v>
      </c>
      <c r="D18" s="14">
        <v>-6</v>
      </c>
      <c r="E18" s="13">
        <f t="shared" si="1"/>
        <v>25</v>
      </c>
      <c r="F18" s="126">
        <f>Referentie!$F$37*E18/1000</f>
        <v>3.6513893187926341</v>
      </c>
      <c r="G18" s="137">
        <f>Referentie!$F$47*E18/1000</f>
        <v>1.5375000000000001</v>
      </c>
      <c r="H18" s="137">
        <f>Referentie!$F$54*E18/1000</f>
        <v>3.6075146133260674</v>
      </c>
      <c r="I18" s="137">
        <f>Referentie!$F$71</f>
        <v>0.57077625570776258</v>
      </c>
      <c r="J18" s="137">
        <f>Referentie!$F$70</f>
        <v>0.08</v>
      </c>
      <c r="K18" s="126">
        <f>Referentie!$F$63</f>
        <v>0.47729276895943562</v>
      </c>
      <c r="L18" s="126">
        <f t="shared" si="4"/>
        <v>7.6683349074515039</v>
      </c>
      <c r="M18" s="14">
        <f t="shared" si="2"/>
        <v>115.02502361177255</v>
      </c>
      <c r="N18" s="33"/>
      <c r="O18" s="33"/>
      <c r="P18" s="33"/>
      <c r="Q18" s="33"/>
      <c r="R18" s="46">
        <f t="shared" si="3"/>
        <v>375</v>
      </c>
      <c r="S18" s="33"/>
      <c r="T18" s="57">
        <f t="shared" si="5"/>
        <v>5.4770839781889513E-2</v>
      </c>
      <c r="U18" s="58">
        <f t="shared" si="6"/>
        <v>2.30625E-2</v>
      </c>
      <c r="V18" s="59">
        <f t="shared" si="7"/>
        <v>5.411271919989101E-2</v>
      </c>
      <c r="W18" s="58">
        <f t="shared" si="8"/>
        <v>1.692103537000797E-2</v>
      </c>
      <c r="X18" s="60">
        <f t="shared" si="9"/>
        <v>0.11502502361177255</v>
      </c>
      <c r="Y18" s="127"/>
    </row>
    <row r="19" spans="1:25">
      <c r="A19" s="136">
        <v>19</v>
      </c>
      <c r="B19" s="14">
        <f t="shared" si="0"/>
        <v>19</v>
      </c>
      <c r="C19" s="13">
        <v>-10</v>
      </c>
      <c r="D19" s="14">
        <v>-8</v>
      </c>
      <c r="E19" s="13">
        <f t="shared" si="1"/>
        <v>27</v>
      </c>
      <c r="F19" s="126">
        <f>Referentie!$F$37*E19/1000</f>
        <v>3.9435004642960449</v>
      </c>
      <c r="G19" s="137">
        <f>Referentie!$F$47*E19/1000</f>
        <v>1.6605000000000001</v>
      </c>
      <c r="H19" s="137">
        <f>Referentie!$F$54*E19/1000</f>
        <v>3.8961157823921524</v>
      </c>
      <c r="I19" s="137">
        <f>Referentie!$F$71</f>
        <v>0.57077625570776258</v>
      </c>
      <c r="J19" s="137">
        <f>Referentie!$F$70</f>
        <v>0.08</v>
      </c>
      <c r="K19" s="126">
        <f>Referentie!$F$63</f>
        <v>0.47729276895943562</v>
      </c>
      <c r="L19" s="126">
        <f t="shared" si="4"/>
        <v>8.3720472220209992</v>
      </c>
      <c r="M19" s="14">
        <f t="shared" si="2"/>
        <v>159.06889721839897</v>
      </c>
      <c r="N19" s="33"/>
      <c r="O19" s="33"/>
      <c r="P19" s="33"/>
      <c r="Q19" s="33"/>
      <c r="R19" s="46">
        <f t="shared" si="3"/>
        <v>513</v>
      </c>
      <c r="S19" s="33"/>
      <c r="T19" s="57">
        <f t="shared" si="5"/>
        <v>7.4926508821624854E-2</v>
      </c>
      <c r="U19" s="58">
        <f t="shared" si="6"/>
        <v>3.1549500000000001E-2</v>
      </c>
      <c r="V19" s="59">
        <f t="shared" si="7"/>
        <v>7.4026199865450892E-2</v>
      </c>
      <c r="W19" s="58">
        <f t="shared" si="8"/>
        <v>2.1433311468676764E-2</v>
      </c>
      <c r="X19" s="60">
        <f t="shared" si="9"/>
        <v>0.15906889721839898</v>
      </c>
      <c r="Y19" s="127"/>
    </row>
    <row r="20" spans="1:25">
      <c r="A20" s="136">
        <v>0</v>
      </c>
      <c r="B20" s="14">
        <f>A20</f>
        <v>0</v>
      </c>
      <c r="C20" s="13">
        <v>-12</v>
      </c>
      <c r="D20" s="13">
        <v>-10</v>
      </c>
      <c r="E20" s="13">
        <f t="shared" si="1"/>
        <v>29</v>
      </c>
      <c r="F20" s="126">
        <f>Referentie!$F$37*E20/1000</f>
        <v>4.2356116097994558</v>
      </c>
      <c r="G20" s="137">
        <f>Referentie!$F$47*E20/1000</f>
        <v>1.7835000000000001</v>
      </c>
      <c r="H20" s="137">
        <f>Referentie!$F$54*E20/1000</f>
        <v>4.1847169514582383</v>
      </c>
      <c r="I20" s="137">
        <f>Referentie!$F$71</f>
        <v>0.57077625570776258</v>
      </c>
      <c r="J20" s="137">
        <f>Referentie!$F$70</f>
        <v>0.08</v>
      </c>
      <c r="K20" s="126">
        <f>Referentie!$F$63</f>
        <v>0.47729276895943562</v>
      </c>
      <c r="L20" s="126">
        <f t="shared" si="4"/>
        <v>9.0757595365904962</v>
      </c>
      <c r="M20" s="14">
        <f t="shared" si="2"/>
        <v>0</v>
      </c>
      <c r="N20" s="33"/>
      <c r="O20" s="33"/>
      <c r="P20" s="33"/>
      <c r="Q20" s="33"/>
      <c r="R20" s="47">
        <f t="shared" si="3"/>
        <v>0</v>
      </c>
      <c r="S20" s="33"/>
      <c r="T20" s="65">
        <f t="shared" si="5"/>
        <v>0</v>
      </c>
      <c r="U20" s="66">
        <f t="shared" si="6"/>
        <v>0</v>
      </c>
      <c r="V20" s="67">
        <f t="shared" si="7"/>
        <v>0</v>
      </c>
      <c r="W20" s="66">
        <f t="shared" si="8"/>
        <v>0</v>
      </c>
      <c r="X20" s="68">
        <f t="shared" si="9"/>
        <v>0</v>
      </c>
      <c r="Y20" s="127"/>
    </row>
    <row r="21" spans="1:25">
      <c r="A21" s="124"/>
      <c r="B21" s="14"/>
      <c r="C21" s="13"/>
      <c r="D21" s="137"/>
      <c r="E21" s="139"/>
      <c r="F21" s="13"/>
      <c r="G21" s="13"/>
      <c r="H21" s="13"/>
      <c r="I21" s="13"/>
      <c r="J21" s="13"/>
      <c r="K21" s="13"/>
      <c r="L21" s="13"/>
      <c r="M21" s="31">
        <f>SUM(M6:M20)</f>
        <v>18801.502635229794</v>
      </c>
      <c r="N21" s="33"/>
      <c r="O21" s="33"/>
      <c r="P21" s="33"/>
      <c r="Q21" s="33"/>
      <c r="R21" s="48">
        <f>SUM(R6:R20)</f>
        <v>77055</v>
      </c>
      <c r="S21" s="36"/>
      <c r="T21" s="49">
        <f>SUM(T6:T20)</f>
        <v>11.254312158382657</v>
      </c>
      <c r="U21" s="50">
        <f>SUM(U6:U20)</f>
        <v>4.7388824999999981</v>
      </c>
      <c r="V21" s="51">
        <f>SUM(V6:V20)</f>
        <v>11.119081541193603</v>
      </c>
      <c r="W21" s="50">
        <f>SUM(W6:W20)</f>
        <v>8.88128743120485</v>
      </c>
      <c r="X21" s="52">
        <f>SUM(X6:X20)</f>
        <v>18.801502635229792</v>
      </c>
      <c r="Y21" s="127"/>
    </row>
    <row r="22" spans="1:25">
      <c r="A22" s="124"/>
      <c r="B22" s="14"/>
      <c r="C22" s="13"/>
      <c r="D22" s="137"/>
      <c r="E22" s="139"/>
      <c r="F22" s="13"/>
      <c r="G22" s="13"/>
      <c r="H22" s="13"/>
      <c r="I22" s="13"/>
      <c r="J22" s="13"/>
      <c r="K22" s="13"/>
      <c r="L22" s="13"/>
      <c r="M22" s="14"/>
      <c r="N22" s="33"/>
      <c r="O22" s="33"/>
      <c r="P22" s="33"/>
      <c r="Q22" s="14"/>
      <c r="R22" s="33"/>
      <c r="S22" s="33"/>
      <c r="T22" s="140"/>
      <c r="U22" s="33"/>
      <c r="V22" s="33"/>
      <c r="W22" s="33"/>
      <c r="X22" s="33"/>
      <c r="Y22" s="127"/>
    </row>
    <row r="23" spans="1:25" ht="14.25">
      <c r="A23" s="141" t="s">
        <v>165</v>
      </c>
      <c r="B23" s="13"/>
      <c r="C23" s="13"/>
      <c r="D23" s="13"/>
      <c r="E23" s="13"/>
      <c r="F23" s="13"/>
      <c r="G23" s="152"/>
      <c r="H23" s="159" t="s">
        <v>227</v>
      </c>
      <c r="I23" s="160"/>
      <c r="J23" s="161"/>
      <c r="K23" s="152"/>
      <c r="L23" s="15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127"/>
    </row>
    <row r="24" spans="1:25" ht="14.25">
      <c r="A24" s="141" t="s">
        <v>166</v>
      </c>
      <c r="B24" s="13"/>
      <c r="C24" s="13"/>
      <c r="D24" s="13"/>
      <c r="E24" s="13"/>
      <c r="F24" s="13"/>
      <c r="G24" s="153" t="s">
        <v>221</v>
      </c>
      <c r="H24" s="151" t="s">
        <v>249</v>
      </c>
      <c r="I24" s="154"/>
      <c r="J24" s="151"/>
      <c r="K24" s="154">
        <f>personen_ref*5+10</f>
        <v>20</v>
      </c>
      <c r="L24" s="153" t="s">
        <v>220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127"/>
    </row>
    <row r="25" spans="1:25" ht="14.25">
      <c r="A25" s="141" t="s">
        <v>167</v>
      </c>
      <c r="B25" s="13"/>
      <c r="C25" s="13"/>
      <c r="D25" s="13"/>
      <c r="E25" s="13"/>
      <c r="F25" s="13"/>
      <c r="G25" s="153" t="s">
        <v>222</v>
      </c>
      <c r="H25" s="154" t="s">
        <v>248</v>
      </c>
      <c r="I25" s="154"/>
      <c r="J25" s="154"/>
      <c r="K25" s="154">
        <f>personen_ref*35</f>
        <v>70</v>
      </c>
      <c r="L25" s="153" t="s">
        <v>220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127"/>
    </row>
    <row r="26" spans="1:25" ht="14.25">
      <c r="A26" s="142" t="s">
        <v>152</v>
      </c>
      <c r="B26" s="13"/>
      <c r="C26" s="13"/>
      <c r="D26" s="13"/>
      <c r="E26" s="13"/>
      <c r="F26" s="13"/>
      <c r="G26" s="153"/>
      <c r="H26" s="154"/>
      <c r="I26" s="154"/>
      <c r="J26" s="154"/>
      <c r="K26" s="154"/>
      <c r="L26" s="15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127"/>
    </row>
    <row r="27" spans="1:25" ht="20.25">
      <c r="A27" s="142" t="s">
        <v>151</v>
      </c>
      <c r="B27" s="13"/>
      <c r="C27" s="13"/>
      <c r="D27" s="13"/>
      <c r="E27" s="13"/>
      <c r="F27" s="13"/>
      <c r="G27" s="13"/>
      <c r="H27" s="13"/>
      <c r="I27" s="13"/>
      <c r="J27" s="13"/>
      <c r="K27" s="154">
        <f>SUM(K24:K26)</f>
        <v>90</v>
      </c>
      <c r="L27" s="153" t="s">
        <v>220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127"/>
    </row>
    <row r="28" spans="1:25" ht="14.25">
      <c r="A28" s="142" t="s">
        <v>148</v>
      </c>
      <c r="B28" s="13"/>
      <c r="C28" s="13"/>
      <c r="D28" s="13"/>
      <c r="E28" s="13"/>
      <c r="F28" s="13"/>
      <c r="G28" s="13"/>
      <c r="H28" s="13"/>
      <c r="I28" s="13"/>
      <c r="J28" s="13"/>
      <c r="K28" s="163">
        <f>+K27*365/1000</f>
        <v>32.85</v>
      </c>
      <c r="L28" s="153" t="s">
        <v>223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127"/>
    </row>
    <row r="29" spans="1:25">
      <c r="A29" s="143"/>
      <c r="B29" s="13"/>
      <c r="C29" s="13"/>
      <c r="D29" s="13"/>
      <c r="E29" s="13"/>
      <c r="F29" s="13"/>
      <c r="G29" s="13"/>
      <c r="H29" s="157" t="s">
        <v>225</v>
      </c>
      <c r="I29" s="13"/>
      <c r="J29" s="13"/>
      <c r="K29" s="154">
        <v>45</v>
      </c>
      <c r="L29" s="153" t="s">
        <v>118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27"/>
    </row>
    <row r="30" spans="1:25">
      <c r="A30" s="143"/>
      <c r="B30" s="13"/>
      <c r="C30" s="13"/>
      <c r="D30" s="13"/>
      <c r="E30" s="13"/>
      <c r="F30" s="13"/>
      <c r="G30" s="13"/>
      <c r="H30" s="13"/>
      <c r="I30" s="13"/>
      <c r="J30" s="13"/>
      <c r="K30" s="162">
        <f>+(K29-15)*4.185*K28</f>
        <v>4124.3174999999992</v>
      </c>
      <c r="L30" s="153" t="s">
        <v>224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127"/>
    </row>
    <row r="31" spans="1:25" ht="14.25">
      <c r="A31" s="44"/>
      <c r="B31" s="144"/>
      <c r="C31" s="43" t="s">
        <v>219</v>
      </c>
      <c r="D31" s="37">
        <f>M21/kosten!C5</f>
        <v>1933.868842480779</v>
      </c>
      <c r="E31" s="38" t="s">
        <v>162</v>
      </c>
      <c r="F31" s="13"/>
      <c r="G31" s="13"/>
      <c r="H31" s="44"/>
      <c r="I31" s="144"/>
      <c r="J31" s="43" t="s">
        <v>226</v>
      </c>
      <c r="K31" s="37">
        <f>K30/Hv_gas</f>
        <v>117.50192307692305</v>
      </c>
      <c r="L31" s="38" t="s">
        <v>162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127"/>
    </row>
    <row r="32" spans="1:25">
      <c r="A32" s="143"/>
      <c r="B32" s="33"/>
      <c r="C32" s="33"/>
      <c r="D32" s="13"/>
      <c r="E32" s="13"/>
      <c r="F32" s="13"/>
      <c r="G32" s="13"/>
      <c r="H32" s="13"/>
      <c r="I32" s="13"/>
      <c r="J32" s="13"/>
      <c r="K32" s="154"/>
      <c r="L32" s="15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127"/>
    </row>
    <row r="33" spans="1:25" ht="13.5" thickBo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54"/>
      <c r="L33" s="146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8"/>
    </row>
    <row r="34" spans="1:25">
      <c r="B34" s="7"/>
      <c r="C34" s="7"/>
      <c r="D34" s="7"/>
      <c r="E34" s="7"/>
      <c r="F34" s="118" t="s">
        <v>117</v>
      </c>
      <c r="G34" s="119">
        <f>Nieuwe!B7</f>
        <v>16</v>
      </c>
      <c r="H34" s="120" t="s">
        <v>118</v>
      </c>
      <c r="I34" s="157"/>
      <c r="J34" s="157"/>
      <c r="K34" s="7"/>
      <c r="L34" s="7"/>
    </row>
    <row r="35" spans="1: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25">
      <c r="A36" s="9" t="s">
        <v>106</v>
      </c>
      <c r="B36" s="7"/>
      <c r="C36" s="7"/>
      <c r="D36" s="7"/>
      <c r="E36" s="29"/>
      <c r="F36" s="18"/>
      <c r="G36" s="18"/>
      <c r="H36" s="17"/>
      <c r="I36" s="17"/>
      <c r="J36" s="17"/>
      <c r="K36" s="7"/>
      <c r="L36" s="7"/>
      <c r="R36" s="28"/>
      <c r="S36" s="28"/>
      <c r="T36" s="28"/>
      <c r="U36" s="28"/>
      <c r="V36" s="28"/>
      <c r="W36" s="29"/>
      <c r="X36" s="29"/>
    </row>
    <row r="37" spans="1:25">
      <c r="A37" s="7"/>
      <c r="B37" s="7"/>
      <c r="C37" s="30"/>
      <c r="D37" s="7"/>
      <c r="E37" s="7"/>
      <c r="F37" s="7"/>
      <c r="G37" s="11"/>
      <c r="H37" s="6"/>
      <c r="I37" s="6"/>
      <c r="J37" s="6"/>
      <c r="K37" s="7"/>
      <c r="L37" s="7"/>
      <c r="M37" s="6"/>
      <c r="N37" s="6"/>
      <c r="P37" s="7"/>
    </row>
    <row r="38" spans="1:25" ht="14.25">
      <c r="A38" s="39" t="s">
        <v>39</v>
      </c>
      <c r="B38" s="40" t="s">
        <v>51</v>
      </c>
      <c r="C38" s="41" t="s">
        <v>163</v>
      </c>
      <c r="D38" s="41" t="s">
        <v>47</v>
      </c>
      <c r="E38" s="40" t="s">
        <v>164</v>
      </c>
      <c r="F38" s="40" t="s">
        <v>136</v>
      </c>
      <c r="G38" s="42" t="s">
        <v>137</v>
      </c>
      <c r="H38" s="41" t="s">
        <v>138</v>
      </c>
      <c r="I38" s="130" t="s">
        <v>211</v>
      </c>
      <c r="J38" s="130" t="s">
        <v>212</v>
      </c>
      <c r="K38" s="40" t="s">
        <v>139</v>
      </c>
      <c r="L38" s="40" t="s">
        <v>149</v>
      </c>
      <c r="M38" s="40" t="s">
        <v>150</v>
      </c>
      <c r="N38" s="7"/>
      <c r="O38" s="29"/>
      <c r="P38" s="29"/>
      <c r="Q38" s="29"/>
      <c r="R38" s="29"/>
      <c r="S38" s="28"/>
      <c r="T38" s="29"/>
      <c r="U38" s="29"/>
      <c r="V38" s="29"/>
      <c r="W38" s="29"/>
      <c r="X38" s="29"/>
    </row>
    <row r="39" spans="1:25" ht="14.25">
      <c r="A39" s="19"/>
      <c r="B39" s="7"/>
      <c r="C39" s="6" t="s">
        <v>7</v>
      </c>
      <c r="D39" s="6" t="s">
        <v>7</v>
      </c>
      <c r="E39" s="6" t="s">
        <v>7</v>
      </c>
      <c r="F39" s="7" t="s">
        <v>11</v>
      </c>
      <c r="G39" s="7" t="s">
        <v>11</v>
      </c>
      <c r="H39" s="7" t="s">
        <v>11</v>
      </c>
      <c r="I39" s="13" t="s">
        <v>11</v>
      </c>
      <c r="J39" s="13" t="s">
        <v>11</v>
      </c>
      <c r="K39" s="7" t="s">
        <v>11</v>
      </c>
      <c r="L39" s="7" t="s">
        <v>11</v>
      </c>
      <c r="M39" s="7" t="s">
        <v>116</v>
      </c>
      <c r="N39" s="7"/>
      <c r="O39" s="29"/>
      <c r="P39" s="29"/>
      <c r="Q39" s="29"/>
      <c r="R39" s="53"/>
      <c r="S39" s="54"/>
      <c r="T39" s="55" t="s">
        <v>173</v>
      </c>
      <c r="U39" s="55" t="s">
        <v>173</v>
      </c>
      <c r="V39" s="55" t="s">
        <v>173</v>
      </c>
      <c r="W39" s="55" t="s">
        <v>173</v>
      </c>
      <c r="X39" s="56" t="s">
        <v>173</v>
      </c>
    </row>
    <row r="40" spans="1:25">
      <c r="A40" s="7"/>
      <c r="B40" s="7"/>
      <c r="C40" s="30"/>
      <c r="D40" s="7"/>
      <c r="E40" s="7"/>
      <c r="F40" s="7"/>
      <c r="G40" s="11"/>
      <c r="H40" s="6"/>
      <c r="I40" s="6"/>
      <c r="J40" s="6"/>
      <c r="K40" s="7"/>
      <c r="L40" s="7"/>
      <c r="M40" s="6"/>
      <c r="N40" s="6"/>
      <c r="Q40" s="5" t="s">
        <v>168</v>
      </c>
      <c r="R40" s="57">
        <f>R56/SUM(A41:A55)</f>
        <v>7.787247554934587</v>
      </c>
      <c r="S40" s="33"/>
      <c r="T40" s="33" t="s">
        <v>169</v>
      </c>
      <c r="U40" s="33" t="s">
        <v>170</v>
      </c>
      <c r="V40" s="33" t="s">
        <v>29</v>
      </c>
      <c r="W40" s="33" t="s">
        <v>171</v>
      </c>
      <c r="X40" s="34" t="s">
        <v>172</v>
      </c>
    </row>
    <row r="41" spans="1:25">
      <c r="A41" s="6">
        <v>650</v>
      </c>
      <c r="B41" s="6">
        <f>A41+B42</f>
        <v>7873</v>
      </c>
      <c r="C41" s="7">
        <v>16</v>
      </c>
      <c r="D41" s="6">
        <v>18</v>
      </c>
      <c r="E41" s="7">
        <f>$G$34-(D41+C41)/2</f>
        <v>-1</v>
      </c>
      <c r="F41" s="11">
        <f>Nieuwe!$F$37*E41/1000</f>
        <v>-0.14605557275170536</v>
      </c>
      <c r="G41" s="19">
        <f>Nieuwe!$F$47*E41/1000</f>
        <v>-6.1499999999999999E-2</v>
      </c>
      <c r="H41" s="19">
        <f>Nieuwe!$F$54*E41/1000</f>
        <v>-3.6075146133260676E-2</v>
      </c>
      <c r="I41" s="137">
        <f>Nieuwe!$F$71</f>
        <v>0.57077625570776258</v>
      </c>
      <c r="J41" s="137">
        <f>Nieuwe!$F$70</f>
        <v>0.08</v>
      </c>
      <c r="K41" s="126">
        <f>Nieuwe!$F$63</f>
        <v>0.47729276895943562</v>
      </c>
      <c r="L41" s="126">
        <f>SUM(F41:H41)-SUM(I41:K41)</f>
        <v>-1.3716997435521641</v>
      </c>
      <c r="M41" s="6">
        <f t="shared" ref="M41:M55" si="10">IF(L41&gt;0,A41*L41,0)</f>
        <v>0</v>
      </c>
      <c r="R41" s="45">
        <f t="shared" ref="R41:R55" si="11">E41*A41</f>
        <v>-650</v>
      </c>
      <c r="S41" s="33"/>
      <c r="T41" s="61">
        <f>F41*$A41/1000</f>
        <v>-9.4936122288608482E-2</v>
      </c>
      <c r="U41" s="62">
        <f>G41*$A41/1000</f>
        <v>-3.9975000000000004E-2</v>
      </c>
      <c r="V41" s="63">
        <f>H41*$A41/1000</f>
        <v>-2.3448844986619439E-2</v>
      </c>
      <c r="W41" s="62">
        <f>SUM(I41:K41)*A41/1000</f>
        <v>0.73324486603367867</v>
      </c>
      <c r="X41" s="64">
        <f>M41/1000</f>
        <v>0</v>
      </c>
    </row>
    <row r="42" spans="1:25">
      <c r="A42" s="6">
        <v>910</v>
      </c>
      <c r="B42" s="6">
        <f t="shared" ref="B42:B54" si="12">A42+B43</f>
        <v>7223</v>
      </c>
      <c r="C42" s="7">
        <v>14</v>
      </c>
      <c r="D42" s="6">
        <v>16</v>
      </c>
      <c r="E42" s="7">
        <f t="shared" ref="E42:E55" si="13">$G$34-(D42+C42)/2</f>
        <v>1</v>
      </c>
      <c r="F42" s="11">
        <f>Nieuwe!$F$37*E42/1000</f>
        <v>0.14605557275170536</v>
      </c>
      <c r="G42" s="19">
        <f>Nieuwe!$F$47*E42/1000</f>
        <v>6.1499999999999999E-2</v>
      </c>
      <c r="H42" s="19">
        <f>Nieuwe!$F$54*E42/1000</f>
        <v>3.6075146133260676E-2</v>
      </c>
      <c r="I42" s="137">
        <f>Nieuwe!$F$71</f>
        <v>0.57077625570776258</v>
      </c>
      <c r="J42" s="137">
        <f>Nieuwe!$F$70</f>
        <v>0.08</v>
      </c>
      <c r="K42" s="126">
        <f>Nieuwe!$F$63</f>
        <v>0.47729276895943562</v>
      </c>
      <c r="L42" s="126">
        <f t="shared" ref="L42:L55" si="14">SUM(F42:H42)-SUM(I42:K42)</f>
        <v>-0.88443830578223204</v>
      </c>
      <c r="M42" s="6">
        <f t="shared" si="10"/>
        <v>0</v>
      </c>
      <c r="R42" s="46">
        <f t="shared" si="11"/>
        <v>910</v>
      </c>
      <c r="S42" s="33"/>
      <c r="T42" s="57">
        <f t="shared" ref="T42:T55" si="15">F42*$A42/1000</f>
        <v>0.13291057120405186</v>
      </c>
      <c r="U42" s="58">
        <f t="shared" ref="U42:U55" si="16">G42*$A42/1000</f>
        <v>5.5964999999999994E-2</v>
      </c>
      <c r="V42" s="59">
        <f t="shared" ref="V42:V55" si="17">H42*$A42/1000</f>
        <v>3.2828382981267216E-2</v>
      </c>
      <c r="W42" s="58">
        <f t="shared" ref="W42:W55" si="18">SUM(I42:K42)*A42/1000</f>
        <v>1.0265428124471503</v>
      </c>
      <c r="X42" s="60">
        <f t="shared" ref="X42:X55" si="19">M42/1000</f>
        <v>0</v>
      </c>
    </row>
    <row r="43" spans="1:25">
      <c r="A43" s="6">
        <v>851</v>
      </c>
      <c r="B43" s="6">
        <f t="shared" si="12"/>
        <v>6313</v>
      </c>
      <c r="C43" s="7">
        <v>12</v>
      </c>
      <c r="D43" s="6">
        <v>14</v>
      </c>
      <c r="E43" s="7">
        <f t="shared" si="13"/>
        <v>3</v>
      </c>
      <c r="F43" s="11">
        <f>Nieuwe!$F$37*E43/1000</f>
        <v>0.43816671825511611</v>
      </c>
      <c r="G43" s="19">
        <f>Nieuwe!$F$47*E43/1000</f>
        <v>0.1845</v>
      </c>
      <c r="H43" s="19">
        <f>Nieuwe!$F$54*E43/1000</f>
        <v>0.10822543839978202</v>
      </c>
      <c r="I43" s="137">
        <f>Nieuwe!$F$71</f>
        <v>0.57077625570776258</v>
      </c>
      <c r="J43" s="137">
        <f>Nieuwe!$F$70</f>
        <v>0.08</v>
      </c>
      <c r="K43" s="126">
        <f>Nieuwe!$F$63</f>
        <v>0.47729276895943562</v>
      </c>
      <c r="L43" s="126">
        <f t="shared" si="14"/>
        <v>-0.3971768680122999</v>
      </c>
      <c r="M43" s="6">
        <f t="shared" si="10"/>
        <v>0</v>
      </c>
      <c r="R43" s="46">
        <f t="shared" si="11"/>
        <v>2553</v>
      </c>
      <c r="S43" s="33"/>
      <c r="T43" s="57">
        <f t="shared" si="15"/>
        <v>0.37287987723510385</v>
      </c>
      <c r="U43" s="58">
        <f t="shared" si="16"/>
        <v>0.1570095</v>
      </c>
      <c r="V43" s="59">
        <f t="shared" si="17"/>
        <v>9.2099848078214488E-2</v>
      </c>
      <c r="W43" s="58">
        <f t="shared" si="18"/>
        <v>0.95998673999178552</v>
      </c>
      <c r="X43" s="60">
        <f t="shared" si="19"/>
        <v>0</v>
      </c>
    </row>
    <row r="44" spans="1:25">
      <c r="A44" s="6">
        <v>782</v>
      </c>
      <c r="B44" s="6">
        <f t="shared" si="12"/>
        <v>5462</v>
      </c>
      <c r="C44" s="7">
        <v>10</v>
      </c>
      <c r="D44" s="6">
        <v>12</v>
      </c>
      <c r="E44" s="7">
        <f t="shared" si="13"/>
        <v>5</v>
      </c>
      <c r="F44" s="11">
        <f>Nieuwe!$F$37*E44/1000</f>
        <v>0.73027786375852677</v>
      </c>
      <c r="G44" s="19">
        <f>Nieuwe!$F$47*E44/1000</f>
        <v>0.3075</v>
      </c>
      <c r="H44" s="19">
        <f>Nieuwe!$F$54*E44/1000</f>
        <v>0.18037573066630336</v>
      </c>
      <c r="I44" s="137">
        <f>Nieuwe!$F$71</f>
        <v>0.57077625570776258</v>
      </c>
      <c r="J44" s="137">
        <f>Nieuwe!$F$70</f>
        <v>0.08</v>
      </c>
      <c r="K44" s="126">
        <f>Nieuwe!$F$63</f>
        <v>0.47729276895943562</v>
      </c>
      <c r="L44" s="126">
        <f t="shared" si="14"/>
        <v>9.0084569757632016E-2</v>
      </c>
      <c r="M44" s="6">
        <f t="shared" si="10"/>
        <v>70.446133550468232</v>
      </c>
      <c r="R44" s="46">
        <f t="shared" si="11"/>
        <v>3910</v>
      </c>
      <c r="S44" s="33"/>
      <c r="T44" s="57">
        <f t="shared" si="15"/>
        <v>0.57107728945916791</v>
      </c>
      <c r="U44" s="58">
        <f t="shared" si="16"/>
        <v>0.24046500000000001</v>
      </c>
      <c r="V44" s="59">
        <f t="shared" si="17"/>
        <v>0.14105382138104924</v>
      </c>
      <c r="W44" s="58">
        <f t="shared" si="18"/>
        <v>0.88214997728974887</v>
      </c>
      <c r="X44" s="60">
        <f t="shared" si="19"/>
        <v>7.0446133550468235E-2</v>
      </c>
    </row>
    <row r="45" spans="1:25">
      <c r="A45" s="6">
        <v>779</v>
      </c>
      <c r="B45" s="6">
        <f t="shared" si="12"/>
        <v>4680</v>
      </c>
      <c r="C45" s="7">
        <v>8</v>
      </c>
      <c r="D45" s="6">
        <v>10</v>
      </c>
      <c r="E45" s="7">
        <f t="shared" si="13"/>
        <v>7</v>
      </c>
      <c r="F45" s="11">
        <f>Nieuwe!$F$37*E45/1000</f>
        <v>1.0223890092619377</v>
      </c>
      <c r="G45" s="19">
        <f>Nieuwe!$F$47*E45/1000</f>
        <v>0.43049999999999999</v>
      </c>
      <c r="H45" s="19">
        <f>Nieuwe!$F$54*E45/1000</f>
        <v>0.25252602293282472</v>
      </c>
      <c r="I45" s="137">
        <f>Nieuwe!$F$71</f>
        <v>0.57077625570776258</v>
      </c>
      <c r="J45" s="137">
        <f>Nieuwe!$F$70</f>
        <v>0.08</v>
      </c>
      <c r="K45" s="126">
        <f>Nieuwe!$F$63</f>
        <v>0.47729276895943562</v>
      </c>
      <c r="L45" s="126">
        <f t="shared" si="14"/>
        <v>0.57734600752756449</v>
      </c>
      <c r="M45" s="6">
        <f t="shared" si="10"/>
        <v>449.75253986397274</v>
      </c>
      <c r="R45" s="46">
        <f t="shared" si="11"/>
        <v>5453</v>
      </c>
      <c r="S45" s="33"/>
      <c r="T45" s="57">
        <f t="shared" si="15"/>
        <v>0.79644103821504941</v>
      </c>
      <c r="U45" s="58">
        <f t="shared" si="16"/>
        <v>0.33535949999999998</v>
      </c>
      <c r="V45" s="59">
        <f t="shared" si="17"/>
        <v>0.19671777186467046</v>
      </c>
      <c r="W45" s="58">
        <f t="shared" si="18"/>
        <v>0.8787657702157472</v>
      </c>
      <c r="X45" s="60">
        <f t="shared" si="19"/>
        <v>0.44975253986397273</v>
      </c>
    </row>
    <row r="46" spans="1:25">
      <c r="A46" s="6">
        <v>973</v>
      </c>
      <c r="B46" s="6">
        <f t="shared" si="12"/>
        <v>3901</v>
      </c>
      <c r="C46" s="7">
        <v>6</v>
      </c>
      <c r="D46" s="6">
        <v>8</v>
      </c>
      <c r="E46" s="7">
        <f t="shared" si="13"/>
        <v>9</v>
      </c>
      <c r="F46" s="11">
        <f>Nieuwe!$F$37*E46/1000</f>
        <v>1.3145001547653483</v>
      </c>
      <c r="G46" s="19">
        <f>Nieuwe!$F$47*E46/1000</f>
        <v>0.55349999999999999</v>
      </c>
      <c r="H46" s="19">
        <f>Nieuwe!$F$54*E46/1000</f>
        <v>0.32467631519934603</v>
      </c>
      <c r="I46" s="137">
        <f>Nieuwe!$F$71</f>
        <v>0.57077625570776258</v>
      </c>
      <c r="J46" s="137">
        <f>Nieuwe!$F$70</f>
        <v>0.08</v>
      </c>
      <c r="K46" s="126">
        <f>Nieuwe!$F$63</f>
        <v>0.47729276895943562</v>
      </c>
      <c r="L46" s="126">
        <f t="shared" si="14"/>
        <v>1.0646074452974963</v>
      </c>
      <c r="M46" s="6">
        <f t="shared" si="10"/>
        <v>1035.8630442744638</v>
      </c>
      <c r="R46" s="46">
        <f t="shared" si="11"/>
        <v>8757</v>
      </c>
      <c r="S46" s="33"/>
      <c r="T46" s="57">
        <f t="shared" si="15"/>
        <v>1.2790086505866838</v>
      </c>
      <c r="U46" s="58">
        <f t="shared" si="16"/>
        <v>0.53855549999999996</v>
      </c>
      <c r="V46" s="59">
        <f t="shared" si="17"/>
        <v>0.31591005468896366</v>
      </c>
      <c r="W46" s="58">
        <f t="shared" si="18"/>
        <v>1.0976111610011838</v>
      </c>
      <c r="X46" s="60">
        <f t="shared" si="19"/>
        <v>1.0358630442744639</v>
      </c>
    </row>
    <row r="47" spans="1:25">
      <c r="A47" s="6">
        <v>958</v>
      </c>
      <c r="B47" s="6">
        <f t="shared" si="12"/>
        <v>2928</v>
      </c>
      <c r="C47" s="7">
        <v>4</v>
      </c>
      <c r="D47" s="6">
        <v>6</v>
      </c>
      <c r="E47" s="7">
        <f t="shared" si="13"/>
        <v>11</v>
      </c>
      <c r="F47" s="11">
        <f>Nieuwe!$F$37*E47/1000</f>
        <v>1.6066113002687592</v>
      </c>
      <c r="G47" s="19">
        <f>Nieuwe!$F$47*E47/1000</f>
        <v>0.67649999999999999</v>
      </c>
      <c r="H47" s="19">
        <f>Nieuwe!$F$54*E47/1000</f>
        <v>0.3968266074658674</v>
      </c>
      <c r="I47" s="137">
        <f>Nieuwe!$F$71</f>
        <v>0.57077625570776258</v>
      </c>
      <c r="J47" s="137">
        <f>Nieuwe!$F$70</f>
        <v>0.08</v>
      </c>
      <c r="K47" s="126">
        <f>Nieuwe!$F$63</f>
        <v>0.47729276895943562</v>
      </c>
      <c r="L47" s="126">
        <f t="shared" si="14"/>
        <v>1.5518688830674283</v>
      </c>
      <c r="M47" s="6">
        <f t="shared" si="10"/>
        <v>1486.6903899785964</v>
      </c>
      <c r="R47" s="46">
        <f t="shared" si="11"/>
        <v>10538</v>
      </c>
      <c r="S47" s="33"/>
      <c r="T47" s="57">
        <f t="shared" si="15"/>
        <v>1.5391336256574715</v>
      </c>
      <c r="U47" s="58">
        <f t="shared" si="16"/>
        <v>0.64808699999999997</v>
      </c>
      <c r="V47" s="59">
        <f t="shared" si="17"/>
        <v>0.38015988995230093</v>
      </c>
      <c r="W47" s="58">
        <f t="shared" si="18"/>
        <v>1.0806901256311758</v>
      </c>
      <c r="X47" s="60">
        <f t="shared" si="19"/>
        <v>1.4866903899785964</v>
      </c>
    </row>
    <row r="48" spans="1:25">
      <c r="A48" s="6">
        <v>730</v>
      </c>
      <c r="B48" s="6">
        <f t="shared" si="12"/>
        <v>1970</v>
      </c>
      <c r="C48" s="7">
        <v>2</v>
      </c>
      <c r="D48" s="6">
        <v>4</v>
      </c>
      <c r="E48" s="7">
        <f t="shared" si="13"/>
        <v>13</v>
      </c>
      <c r="F48" s="11">
        <f>Nieuwe!$F$37*E48/1000</f>
        <v>1.8987224457721696</v>
      </c>
      <c r="G48" s="19">
        <f>Nieuwe!$F$47*E48/1000</f>
        <v>0.79949999999999999</v>
      </c>
      <c r="H48" s="19">
        <f>Nieuwe!$F$54*E48/1000</f>
        <v>0.46897689973238876</v>
      </c>
      <c r="I48" s="137">
        <f>Nieuwe!$F$71</f>
        <v>0.57077625570776258</v>
      </c>
      <c r="J48" s="137">
        <f>Nieuwe!$F$70</f>
        <v>0.08</v>
      </c>
      <c r="K48" s="126">
        <f>Nieuwe!$F$63</f>
        <v>0.47729276895943562</v>
      </c>
      <c r="L48" s="126">
        <f t="shared" si="14"/>
        <v>2.0391303208373603</v>
      </c>
      <c r="M48" s="6">
        <f t="shared" si="10"/>
        <v>1488.5651342112731</v>
      </c>
      <c r="R48" s="46">
        <f t="shared" si="11"/>
        <v>9490</v>
      </c>
      <c r="S48" s="33"/>
      <c r="T48" s="57">
        <f t="shared" si="15"/>
        <v>1.386067385413684</v>
      </c>
      <c r="U48" s="58">
        <f t="shared" si="16"/>
        <v>0.58363500000000001</v>
      </c>
      <c r="V48" s="59">
        <f t="shared" si="17"/>
        <v>0.3423531368046438</v>
      </c>
      <c r="W48" s="58">
        <f t="shared" si="18"/>
        <v>0.82349038800705454</v>
      </c>
      <c r="X48" s="60">
        <f t="shared" si="19"/>
        <v>1.4885651342112731</v>
      </c>
    </row>
    <row r="49" spans="1:24">
      <c r="A49" s="6">
        <v>655</v>
      </c>
      <c r="B49" s="6">
        <f t="shared" si="12"/>
        <v>1240</v>
      </c>
      <c r="C49" s="7">
        <v>0</v>
      </c>
      <c r="D49" s="6">
        <v>2</v>
      </c>
      <c r="E49" s="7">
        <f t="shared" si="13"/>
        <v>15</v>
      </c>
      <c r="F49" s="11">
        <f>Nieuwe!$F$37*E49/1000</f>
        <v>2.1908335912755805</v>
      </c>
      <c r="G49" s="19">
        <f>Nieuwe!$F$47*E49/1000</f>
        <v>0.92249999999999999</v>
      </c>
      <c r="H49" s="19">
        <f>Nieuwe!$F$54*E49/1000</f>
        <v>0.54112719199891013</v>
      </c>
      <c r="I49" s="137">
        <f>Nieuwe!$F$71</f>
        <v>0.57077625570776258</v>
      </c>
      <c r="J49" s="137">
        <f>Nieuwe!$F$70</f>
        <v>0.08</v>
      </c>
      <c r="K49" s="126">
        <f>Nieuwe!$F$63</f>
        <v>0.47729276895943562</v>
      </c>
      <c r="L49" s="126">
        <f t="shared" si="14"/>
        <v>2.5263917586072924</v>
      </c>
      <c r="M49" s="6">
        <f t="shared" si="10"/>
        <v>1654.7866018877764</v>
      </c>
      <c r="R49" s="46">
        <f t="shared" si="11"/>
        <v>9825</v>
      </c>
      <c r="S49" s="33"/>
      <c r="T49" s="57">
        <f t="shared" si="15"/>
        <v>1.4349960022855053</v>
      </c>
      <c r="U49" s="58">
        <f t="shared" si="16"/>
        <v>0.60423749999999998</v>
      </c>
      <c r="V49" s="59">
        <f t="shared" si="17"/>
        <v>0.35443831075928611</v>
      </c>
      <c r="W49" s="58">
        <f t="shared" si="18"/>
        <v>0.73888521115701478</v>
      </c>
      <c r="X49" s="60">
        <f t="shared" si="19"/>
        <v>1.6547866018877764</v>
      </c>
    </row>
    <row r="50" spans="1:24">
      <c r="A50" s="6">
        <v>418</v>
      </c>
      <c r="B50" s="6">
        <f t="shared" si="12"/>
        <v>585</v>
      </c>
      <c r="C50" s="7">
        <v>-2</v>
      </c>
      <c r="D50" s="6">
        <v>0</v>
      </c>
      <c r="E50" s="7">
        <f t="shared" si="13"/>
        <v>17</v>
      </c>
      <c r="F50" s="11">
        <f>Nieuwe!$F$37*E50/1000</f>
        <v>2.4829447367789914</v>
      </c>
      <c r="G50" s="19">
        <f>Nieuwe!$F$47*E50/1000</f>
        <v>1.0455000000000001</v>
      </c>
      <c r="H50" s="19">
        <f>Nieuwe!$F$54*E50/1000</f>
        <v>0.61327748426543149</v>
      </c>
      <c r="I50" s="137">
        <f>Nieuwe!$F$71</f>
        <v>0.57077625570776258</v>
      </c>
      <c r="J50" s="137">
        <f>Nieuwe!$F$70</f>
        <v>0.08</v>
      </c>
      <c r="K50" s="126">
        <f>Nieuwe!$F$63</f>
        <v>0.47729276895943562</v>
      </c>
      <c r="L50" s="126">
        <f t="shared" si="14"/>
        <v>3.0136531963772253</v>
      </c>
      <c r="M50" s="6">
        <f t="shared" si="10"/>
        <v>1259.7070360856801</v>
      </c>
      <c r="R50" s="46">
        <f t="shared" si="11"/>
        <v>7106</v>
      </c>
      <c r="S50" s="33"/>
      <c r="T50" s="57">
        <f t="shared" si="15"/>
        <v>1.0378708999736184</v>
      </c>
      <c r="U50" s="58">
        <f t="shared" si="16"/>
        <v>0.43701900000000005</v>
      </c>
      <c r="V50" s="59">
        <f t="shared" si="17"/>
        <v>0.25634998842295037</v>
      </c>
      <c r="W50" s="58">
        <f t="shared" si="18"/>
        <v>0.47153285231088876</v>
      </c>
      <c r="X50" s="60">
        <f t="shared" si="19"/>
        <v>1.2597070360856801</v>
      </c>
    </row>
    <row r="51" spans="1:24">
      <c r="A51" s="6">
        <v>98</v>
      </c>
      <c r="B51" s="6">
        <f t="shared" si="12"/>
        <v>167</v>
      </c>
      <c r="C51" s="7">
        <v>-4</v>
      </c>
      <c r="D51" s="6">
        <v>-2</v>
      </c>
      <c r="E51" s="7">
        <f t="shared" si="13"/>
        <v>19</v>
      </c>
      <c r="F51" s="11">
        <f>Nieuwe!$F$37*E51/1000</f>
        <v>2.7750558822824019</v>
      </c>
      <c r="G51" s="19">
        <f>Nieuwe!$F$47*E51/1000</f>
        <v>1.1685000000000001</v>
      </c>
      <c r="H51" s="19">
        <f>Nieuwe!$F$54*E51/1000</f>
        <v>0.68542777653195275</v>
      </c>
      <c r="I51" s="137">
        <f>Nieuwe!$F$71</f>
        <v>0.57077625570776258</v>
      </c>
      <c r="J51" s="137">
        <f>Nieuwe!$F$70</f>
        <v>0.08</v>
      </c>
      <c r="K51" s="126">
        <f>Nieuwe!$F$63</f>
        <v>0.47729276895943562</v>
      </c>
      <c r="L51" s="126">
        <f t="shared" si="14"/>
        <v>3.500914634147156</v>
      </c>
      <c r="M51" s="6">
        <f t="shared" si="10"/>
        <v>343.0896341464213</v>
      </c>
      <c r="R51" s="46">
        <f t="shared" si="11"/>
        <v>1862</v>
      </c>
      <c r="S51" s="33"/>
      <c r="T51" s="57">
        <f t="shared" si="15"/>
        <v>0.27195547646367541</v>
      </c>
      <c r="U51" s="58">
        <f t="shared" si="16"/>
        <v>0.114513</v>
      </c>
      <c r="V51" s="59">
        <f t="shared" si="17"/>
        <v>6.717192210013137E-2</v>
      </c>
      <c r="W51" s="58">
        <f t="shared" si="18"/>
        <v>0.11055076441738541</v>
      </c>
      <c r="X51" s="60">
        <f t="shared" si="19"/>
        <v>0.3430896341464213</v>
      </c>
    </row>
    <row r="52" spans="1:24">
      <c r="A52" s="6">
        <v>35</v>
      </c>
      <c r="B52" s="6">
        <f t="shared" si="12"/>
        <v>69</v>
      </c>
      <c r="C52" s="7">
        <v>-6</v>
      </c>
      <c r="D52" s="6">
        <v>-4</v>
      </c>
      <c r="E52" s="7">
        <f t="shared" si="13"/>
        <v>21</v>
      </c>
      <c r="F52" s="11">
        <f>Nieuwe!$F$37*E52/1000</f>
        <v>3.0671670277858127</v>
      </c>
      <c r="G52" s="19">
        <f>Nieuwe!$F$47*E52/1000</f>
        <v>1.2915000000000001</v>
      </c>
      <c r="H52" s="19">
        <f>Nieuwe!$F$54*E52/1000</f>
        <v>0.75757806879847422</v>
      </c>
      <c r="I52" s="137">
        <f>Nieuwe!$F$71</f>
        <v>0.57077625570776258</v>
      </c>
      <c r="J52" s="137">
        <f>Nieuwe!$F$70</f>
        <v>0.08</v>
      </c>
      <c r="K52" s="126">
        <f>Nieuwe!$F$63</f>
        <v>0.47729276895943562</v>
      </c>
      <c r="L52" s="126">
        <f t="shared" si="14"/>
        <v>3.9881760719170893</v>
      </c>
      <c r="M52" s="6">
        <f t="shared" si="10"/>
        <v>139.58616251709813</v>
      </c>
      <c r="R52" s="46">
        <f t="shared" si="11"/>
        <v>735</v>
      </c>
      <c r="S52" s="33"/>
      <c r="T52" s="57">
        <f t="shared" si="15"/>
        <v>0.10735084597250345</v>
      </c>
      <c r="U52" s="58">
        <f t="shared" si="16"/>
        <v>4.52025E-2</v>
      </c>
      <c r="V52" s="59">
        <f t="shared" si="17"/>
        <v>2.65152324079466E-2</v>
      </c>
      <c r="W52" s="58">
        <f t="shared" si="18"/>
        <v>3.9482415863351931E-2</v>
      </c>
      <c r="X52" s="60">
        <f t="shared" si="19"/>
        <v>0.13958616251709813</v>
      </c>
    </row>
    <row r="53" spans="1:24">
      <c r="A53" s="6">
        <v>15</v>
      </c>
      <c r="B53" s="6">
        <f t="shared" si="12"/>
        <v>34</v>
      </c>
      <c r="C53" s="7">
        <v>-8</v>
      </c>
      <c r="D53" s="6">
        <v>-6</v>
      </c>
      <c r="E53" s="7">
        <f t="shared" si="13"/>
        <v>23</v>
      </c>
      <c r="F53" s="11">
        <f>Nieuwe!$F$37*E53/1000</f>
        <v>3.3592781732892236</v>
      </c>
      <c r="G53" s="19">
        <f>Nieuwe!$F$47*E53/1000</f>
        <v>1.4145000000000001</v>
      </c>
      <c r="H53" s="19">
        <f>Nieuwe!$F$54*E53/1000</f>
        <v>0.82972836106499548</v>
      </c>
      <c r="I53" s="137">
        <f>Nieuwe!$F$71</f>
        <v>0.57077625570776258</v>
      </c>
      <c r="J53" s="137">
        <f>Nieuwe!$F$70</f>
        <v>0.08</v>
      </c>
      <c r="K53" s="126">
        <f>Nieuwe!$F$63</f>
        <v>0.47729276895943562</v>
      </c>
      <c r="L53" s="126">
        <f t="shared" si="14"/>
        <v>4.4754375096870209</v>
      </c>
      <c r="M53" s="6">
        <f t="shared" si="10"/>
        <v>67.131562645305308</v>
      </c>
      <c r="R53" s="46">
        <f t="shared" si="11"/>
        <v>345</v>
      </c>
      <c r="S53" s="33"/>
      <c r="T53" s="57">
        <f t="shared" si="15"/>
        <v>5.0389172599338353E-2</v>
      </c>
      <c r="U53" s="58">
        <f t="shared" si="16"/>
        <v>2.12175E-2</v>
      </c>
      <c r="V53" s="59">
        <f t="shared" si="17"/>
        <v>1.2445925415974932E-2</v>
      </c>
      <c r="W53" s="58">
        <f t="shared" si="18"/>
        <v>1.692103537000797E-2</v>
      </c>
      <c r="X53" s="60">
        <f t="shared" si="19"/>
        <v>6.7131562645305315E-2</v>
      </c>
    </row>
    <row r="54" spans="1:24">
      <c r="A54" s="6">
        <v>19</v>
      </c>
      <c r="B54" s="6">
        <f t="shared" si="12"/>
        <v>19</v>
      </c>
      <c r="C54" s="7">
        <v>-10</v>
      </c>
      <c r="D54" s="6">
        <v>-8</v>
      </c>
      <c r="E54" s="7">
        <f t="shared" si="13"/>
        <v>25</v>
      </c>
      <c r="F54" s="11">
        <f>Nieuwe!$F$37*E54/1000</f>
        <v>3.6513893187926341</v>
      </c>
      <c r="G54" s="19">
        <f>Nieuwe!$F$47*E54/1000</f>
        <v>1.5375000000000001</v>
      </c>
      <c r="H54" s="19">
        <f>Nieuwe!$F$54*E54/1000</f>
        <v>0.90187865333151684</v>
      </c>
      <c r="I54" s="137">
        <f>Nieuwe!$F$71</f>
        <v>0.57077625570776258</v>
      </c>
      <c r="J54" s="137">
        <f>Nieuwe!$F$70</f>
        <v>0.08</v>
      </c>
      <c r="K54" s="126">
        <f>Nieuwe!$F$63</f>
        <v>0.47729276895943562</v>
      </c>
      <c r="L54" s="126">
        <f t="shared" si="14"/>
        <v>4.9626989474569534</v>
      </c>
      <c r="M54" s="6">
        <f t="shared" si="10"/>
        <v>94.291280001682111</v>
      </c>
      <c r="R54" s="46">
        <f t="shared" si="11"/>
        <v>475</v>
      </c>
      <c r="S54" s="33"/>
      <c r="T54" s="57">
        <f t="shared" si="15"/>
        <v>6.9376397057060044E-2</v>
      </c>
      <c r="U54" s="58">
        <f t="shared" si="16"/>
        <v>2.9212500000000002E-2</v>
      </c>
      <c r="V54" s="59">
        <f t="shared" si="17"/>
        <v>1.7135694413298822E-2</v>
      </c>
      <c r="W54" s="58">
        <f t="shared" si="18"/>
        <v>2.1433311468676764E-2</v>
      </c>
      <c r="X54" s="60">
        <f t="shared" si="19"/>
        <v>9.4291280001682104E-2</v>
      </c>
    </row>
    <row r="55" spans="1:24">
      <c r="A55" s="6">
        <v>0</v>
      </c>
      <c r="B55" s="6">
        <f>A55</f>
        <v>0</v>
      </c>
      <c r="C55" s="7">
        <v>-12</v>
      </c>
      <c r="D55" s="7">
        <v>-10</v>
      </c>
      <c r="E55" s="7">
        <f t="shared" si="13"/>
        <v>27</v>
      </c>
      <c r="F55" s="11">
        <f>Nieuwe!$F$37*E55/1000</f>
        <v>3.9435004642960449</v>
      </c>
      <c r="G55" s="19">
        <f>Nieuwe!$F$47*E55/1000</f>
        <v>1.6605000000000001</v>
      </c>
      <c r="H55" s="19">
        <f>Nieuwe!$F$54*E55/1000</f>
        <v>0.9740289455980381</v>
      </c>
      <c r="I55" s="137">
        <f>Nieuwe!$F$71</f>
        <v>0.57077625570776258</v>
      </c>
      <c r="J55" s="137">
        <f>Nieuwe!$F$70</f>
        <v>0.08</v>
      </c>
      <c r="K55" s="126">
        <f>Nieuwe!$F$63</f>
        <v>0.47729276895943562</v>
      </c>
      <c r="L55" s="126">
        <f t="shared" si="14"/>
        <v>5.449960385226885</v>
      </c>
      <c r="M55" s="6">
        <f t="shared" si="10"/>
        <v>0</v>
      </c>
      <c r="R55" s="47">
        <f t="shared" si="11"/>
        <v>0</v>
      </c>
      <c r="S55" s="33"/>
      <c r="T55" s="65">
        <f t="shared" si="15"/>
        <v>0</v>
      </c>
      <c r="U55" s="66">
        <f t="shared" si="16"/>
        <v>0</v>
      </c>
      <c r="V55" s="67">
        <f t="shared" si="17"/>
        <v>0</v>
      </c>
      <c r="W55" s="66">
        <f t="shared" si="18"/>
        <v>0</v>
      </c>
      <c r="X55" s="68">
        <f t="shared" si="19"/>
        <v>0</v>
      </c>
    </row>
    <row r="56" spans="1:24">
      <c r="A56" s="7"/>
      <c r="B56" s="6"/>
      <c r="C56" s="7"/>
      <c r="D56" s="19"/>
      <c r="E56" s="20"/>
      <c r="F56" s="7"/>
      <c r="G56" s="7"/>
      <c r="H56" s="7"/>
      <c r="I56" s="7"/>
      <c r="J56" s="7"/>
      <c r="K56" s="7"/>
      <c r="L56" s="7"/>
      <c r="M56" s="31">
        <f>SUM(M41:M55)</f>
        <v>8089.9095191627384</v>
      </c>
      <c r="R56" s="48">
        <f>SUM(R41:R55)</f>
        <v>61309</v>
      </c>
      <c r="S56" s="36"/>
      <c r="T56" s="49">
        <f>SUM(T41:T55)</f>
        <v>8.9545211098343032</v>
      </c>
      <c r="U56" s="50">
        <f>SUM(U41:U55)</f>
        <v>3.7705034999999998</v>
      </c>
      <c r="V56" s="51">
        <f>SUM(V41:V55)</f>
        <v>2.2117311342840789</v>
      </c>
      <c r="W56" s="50">
        <f>SUM(W41:W55)</f>
        <v>8.88128743120485</v>
      </c>
      <c r="X56" s="52">
        <f>SUM(X41:X55)</f>
        <v>8.0899095191627381</v>
      </c>
    </row>
    <row r="57" spans="1:24">
      <c r="A57" s="7"/>
      <c r="B57" s="6"/>
      <c r="C57" s="7"/>
      <c r="D57" s="19"/>
      <c r="E57" s="20"/>
      <c r="F57" s="7"/>
      <c r="G57" s="7"/>
      <c r="H57" s="7"/>
      <c r="I57" s="7"/>
      <c r="J57" s="7"/>
      <c r="K57" s="7"/>
      <c r="L57" s="7"/>
      <c r="M57" s="14"/>
      <c r="Q57" s="6"/>
      <c r="T57" s="8"/>
    </row>
    <row r="58" spans="1:24" ht="14.25">
      <c r="A58" s="15" t="s">
        <v>165</v>
      </c>
      <c r="B58" s="7"/>
      <c r="C58" s="7"/>
      <c r="D58" s="7"/>
      <c r="E58" s="7"/>
      <c r="F58" s="7"/>
      <c r="G58" s="152"/>
      <c r="H58" s="159" t="s">
        <v>227</v>
      </c>
      <c r="I58" s="160"/>
      <c r="J58" s="161"/>
      <c r="K58" s="152"/>
      <c r="L58" s="152"/>
    </row>
    <row r="59" spans="1:24" ht="14.25">
      <c r="A59" s="15" t="s">
        <v>166</v>
      </c>
      <c r="B59" s="7"/>
      <c r="C59" s="7"/>
      <c r="D59" s="7"/>
      <c r="E59" s="7"/>
      <c r="F59" s="7"/>
      <c r="G59" s="153"/>
      <c r="H59" s="151" t="s">
        <v>249</v>
      </c>
      <c r="I59" s="154"/>
      <c r="J59" s="151"/>
      <c r="K59" s="154">
        <f>Nieuwe!B20*5+10</f>
        <v>20</v>
      </c>
      <c r="L59" s="153" t="s">
        <v>220</v>
      </c>
    </row>
    <row r="60" spans="1:24" ht="14.25">
      <c r="A60" s="15" t="s">
        <v>167</v>
      </c>
      <c r="B60" s="7"/>
      <c r="C60" s="7"/>
      <c r="D60" s="7"/>
      <c r="E60" s="7"/>
      <c r="F60" s="7"/>
      <c r="G60" s="153"/>
      <c r="H60" s="154" t="s">
        <v>248</v>
      </c>
      <c r="I60" s="154"/>
      <c r="J60" s="154"/>
      <c r="K60" s="154">
        <f>Nieuwe!B20*35</f>
        <v>70</v>
      </c>
      <c r="L60" s="153" t="s">
        <v>220</v>
      </c>
    </row>
    <row r="61" spans="1:24" ht="14.25">
      <c r="A61" s="12" t="s">
        <v>152</v>
      </c>
      <c r="B61" s="7"/>
      <c r="C61" s="7"/>
      <c r="D61" s="7"/>
      <c r="E61" s="7"/>
      <c r="F61" s="7"/>
      <c r="G61" s="153"/>
      <c r="H61" s="154"/>
      <c r="I61" s="154"/>
      <c r="J61" s="154"/>
      <c r="K61" s="154"/>
      <c r="L61" s="153"/>
    </row>
    <row r="62" spans="1:24" ht="20.25">
      <c r="A62" s="35" t="s">
        <v>151</v>
      </c>
      <c r="B62" s="7"/>
      <c r="C62" s="7"/>
      <c r="D62" s="7"/>
      <c r="E62" s="7"/>
      <c r="F62" s="7"/>
      <c r="G62" s="13"/>
      <c r="H62" s="13"/>
      <c r="I62" s="13"/>
      <c r="J62" s="13"/>
      <c r="K62" s="154">
        <f>SUM(K59:K61)</f>
        <v>90</v>
      </c>
      <c r="L62" s="153" t="s">
        <v>220</v>
      </c>
    </row>
    <row r="63" spans="1:24" ht="14.25">
      <c r="A63" s="12" t="s">
        <v>148</v>
      </c>
      <c r="B63" s="7"/>
      <c r="C63" s="7"/>
      <c r="D63" s="7"/>
      <c r="E63" s="7"/>
      <c r="F63" s="7"/>
      <c r="G63" s="13"/>
      <c r="H63" s="13"/>
      <c r="I63" s="13"/>
      <c r="J63" s="13"/>
      <c r="K63" s="163">
        <f>+K62*365/1000</f>
        <v>32.85</v>
      </c>
      <c r="L63" s="153" t="s">
        <v>223</v>
      </c>
    </row>
    <row r="64" spans="1:24">
      <c r="B64" s="7"/>
      <c r="C64" s="7"/>
      <c r="D64" s="7"/>
      <c r="E64" s="7"/>
      <c r="F64" s="7"/>
      <c r="G64" s="13"/>
      <c r="H64" s="157" t="s">
        <v>225</v>
      </c>
      <c r="I64" s="13"/>
      <c r="J64" s="13"/>
      <c r="K64" s="154">
        <v>45</v>
      </c>
      <c r="L64" s="153" t="s">
        <v>118</v>
      </c>
    </row>
    <row r="65" spans="1:12">
      <c r="B65" s="7"/>
      <c r="C65" s="7"/>
      <c r="D65" s="7"/>
      <c r="E65" s="7"/>
      <c r="F65" s="7"/>
      <c r="G65" s="13"/>
      <c r="H65" s="13"/>
      <c r="I65" s="13"/>
      <c r="J65" s="13"/>
      <c r="K65" s="162">
        <f>+(K64-15)*4.185*K63</f>
        <v>4124.3174999999992</v>
      </c>
      <c r="L65" s="153" t="s">
        <v>224</v>
      </c>
    </row>
    <row r="66" spans="1:12" ht="14.25">
      <c r="A66" s="44"/>
      <c r="B66" s="44"/>
      <c r="C66" s="43" t="s">
        <v>219</v>
      </c>
      <c r="D66" s="37">
        <f>M56/kosten!C5</f>
        <v>832.10497911388177</v>
      </c>
      <c r="E66" s="38" t="s">
        <v>162</v>
      </c>
      <c r="F66" s="7"/>
      <c r="G66" s="13"/>
      <c r="H66" s="44"/>
      <c r="I66" s="144"/>
      <c r="J66" s="43" t="s">
        <v>226</v>
      </c>
      <c r="K66" s="37">
        <f>K65/Hv_gas</f>
        <v>117.50192307692305</v>
      </c>
      <c r="L66" s="38" t="s">
        <v>162</v>
      </c>
    </row>
    <row r="67" spans="1:12"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</sheetData>
  <sheetProtection password="CC20" sheet="1" objects="1" scenarios="1"/>
  <phoneticPr fontId="17" type="noConversion"/>
  <pageMargins left="0.75" right="0.75" top="0.32" bottom="0.5" header="0.33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topLeftCell="B1" zoomScale="76" zoomScaleNormal="76" workbookViewId="0">
      <selection activeCell="C34" sqref="C34"/>
    </sheetView>
  </sheetViews>
  <sheetFormatPr defaultRowHeight="12.75"/>
  <cols>
    <col min="1" max="1" width="4.5703125" hidden="1" customWidth="1"/>
    <col min="2" max="2" width="32.42578125" customWidth="1"/>
    <col min="3" max="3" width="17.42578125" customWidth="1"/>
    <col min="4" max="4" width="10.42578125" customWidth="1"/>
    <col min="6" max="6" width="12.5703125" customWidth="1"/>
    <col min="10" max="10" width="3.42578125" customWidth="1"/>
    <col min="11" max="11" width="42.28515625" customWidth="1"/>
    <col min="12" max="12" width="33.28515625" customWidth="1"/>
    <col min="13" max="13" width="13.42578125" customWidth="1"/>
    <col min="15" max="15" width="10" customWidth="1"/>
    <col min="17" max="17" width="11" customWidth="1"/>
    <col min="18" max="18" width="10" bestFit="1" customWidth="1"/>
    <col min="20" max="20" width="4.5703125" customWidth="1"/>
    <col min="21" max="25" width="20.7109375" hidden="1" customWidth="1"/>
    <col min="26" max="26" width="7.28515625" hidden="1" customWidth="1"/>
    <col min="27" max="29" width="0" hidden="1" customWidth="1"/>
  </cols>
  <sheetData>
    <row r="1" spans="1:28" ht="15">
      <c r="A1" s="208"/>
      <c r="B1" s="217" t="s">
        <v>216</v>
      </c>
      <c r="C1" s="218" t="s">
        <v>192</v>
      </c>
      <c r="D1" s="219"/>
      <c r="E1" s="209"/>
      <c r="F1" s="209"/>
      <c r="G1" s="210"/>
      <c r="H1" s="210"/>
      <c r="I1" s="210"/>
      <c r="J1" s="210"/>
      <c r="K1" s="211"/>
      <c r="L1" s="217" t="s">
        <v>216</v>
      </c>
      <c r="M1" s="232" t="s">
        <v>204</v>
      </c>
      <c r="N1" s="233"/>
      <c r="O1" s="233"/>
      <c r="P1" s="233"/>
      <c r="Q1" s="233"/>
      <c r="R1" s="233"/>
      <c r="S1" s="233"/>
      <c r="T1" s="215"/>
      <c r="Z1" t="s">
        <v>236</v>
      </c>
    </row>
    <row r="2" spans="1:28" ht="15">
      <c r="A2" s="72"/>
      <c r="B2" s="220" t="s">
        <v>237</v>
      </c>
      <c r="C2" s="273" t="s">
        <v>251</v>
      </c>
      <c r="D2" s="221"/>
      <c r="E2" s="212"/>
      <c r="F2" s="212"/>
      <c r="G2" s="213"/>
      <c r="H2" s="213"/>
      <c r="I2" s="213"/>
      <c r="J2" s="213"/>
      <c r="K2" s="214"/>
      <c r="L2" s="220" t="s">
        <v>237</v>
      </c>
      <c r="M2" s="235" t="s">
        <v>251</v>
      </c>
      <c r="N2" s="233"/>
      <c r="O2" s="233"/>
      <c r="P2" s="233"/>
      <c r="Q2" s="233"/>
      <c r="R2" s="233"/>
      <c r="S2" s="233"/>
      <c r="T2" s="215"/>
      <c r="Z2" s="166" t="s">
        <v>5</v>
      </c>
      <c r="AA2" s="166" t="s">
        <v>233</v>
      </c>
      <c r="AB2" s="166" t="s">
        <v>234</v>
      </c>
    </row>
    <row r="3" spans="1:28" ht="15">
      <c r="A3" s="72"/>
      <c r="B3" s="220" t="s">
        <v>218</v>
      </c>
      <c r="C3" s="273" t="s">
        <v>43</v>
      </c>
      <c r="D3" s="222" t="s">
        <v>200</v>
      </c>
      <c r="E3" s="212"/>
      <c r="F3" s="212"/>
      <c r="G3" s="213"/>
      <c r="H3" s="213"/>
      <c r="I3" s="213"/>
      <c r="J3" s="213"/>
      <c r="K3" s="214"/>
      <c r="L3" s="220" t="s">
        <v>218</v>
      </c>
      <c r="M3" s="235" t="s">
        <v>43</v>
      </c>
      <c r="N3" s="236" t="s">
        <v>200</v>
      </c>
      <c r="O3" s="236"/>
      <c r="P3" s="236"/>
      <c r="Q3" s="236"/>
      <c r="R3" s="236"/>
      <c r="S3" s="236"/>
      <c r="T3" s="215"/>
      <c r="Z3" s="166" t="s">
        <v>43</v>
      </c>
      <c r="AA3" s="166" t="s">
        <v>235</v>
      </c>
      <c r="AB3" s="166" t="s">
        <v>235</v>
      </c>
    </row>
    <row r="4" spans="1:28" ht="15">
      <c r="A4" s="72"/>
      <c r="B4" s="220" t="s">
        <v>195</v>
      </c>
      <c r="C4" s="273">
        <v>18</v>
      </c>
      <c r="D4" s="221" t="s">
        <v>118</v>
      </c>
      <c r="E4" s="212"/>
      <c r="F4" s="212"/>
      <c r="G4" s="213"/>
      <c r="H4" s="213"/>
      <c r="I4" s="213"/>
      <c r="J4" s="213"/>
      <c r="K4" s="214"/>
      <c r="L4" s="220" t="s">
        <v>195</v>
      </c>
      <c r="M4" s="235">
        <v>16</v>
      </c>
      <c r="N4" s="237" t="s">
        <v>118</v>
      </c>
      <c r="O4" s="237"/>
      <c r="P4" s="237"/>
      <c r="Q4" s="237"/>
      <c r="R4" s="237"/>
      <c r="S4" s="237"/>
      <c r="T4" s="215"/>
      <c r="Z4" s="166">
        <v>21</v>
      </c>
      <c r="AA4" s="166">
        <v>21</v>
      </c>
      <c r="AB4" s="166">
        <v>23</v>
      </c>
    </row>
    <row r="5" spans="1:28" ht="15">
      <c r="A5" s="72"/>
      <c r="B5" s="220" t="s">
        <v>174</v>
      </c>
      <c r="C5" s="273">
        <v>8</v>
      </c>
      <c r="D5" s="221" t="s">
        <v>181</v>
      </c>
      <c r="E5" s="212"/>
      <c r="F5" s="212"/>
      <c r="G5" s="213"/>
      <c r="H5" s="213"/>
      <c r="I5" s="213"/>
      <c r="J5" s="213"/>
      <c r="K5" s="214"/>
      <c r="L5" s="220" t="s">
        <v>174</v>
      </c>
      <c r="M5" s="235">
        <v>8</v>
      </c>
      <c r="N5" s="237" t="s">
        <v>181</v>
      </c>
      <c r="O5" s="237"/>
      <c r="P5" s="237"/>
      <c r="Q5" s="237"/>
      <c r="R5" s="237"/>
      <c r="S5" s="237"/>
      <c r="T5" s="215"/>
      <c r="Z5" s="166">
        <v>5.12</v>
      </c>
      <c r="AA5" s="166">
        <v>5.12</v>
      </c>
      <c r="AB5" s="166">
        <v>5.12</v>
      </c>
    </row>
    <row r="6" spans="1:28" ht="15">
      <c r="A6" s="72"/>
      <c r="B6" s="220" t="s">
        <v>1</v>
      </c>
      <c r="C6" s="273">
        <v>10</v>
      </c>
      <c r="D6" s="221" t="s">
        <v>181</v>
      </c>
      <c r="E6" s="212"/>
      <c r="F6" s="212"/>
      <c r="G6" s="213"/>
      <c r="H6" s="213"/>
      <c r="I6" s="213"/>
      <c r="J6" s="213"/>
      <c r="K6" s="214"/>
      <c r="L6" s="220" t="s">
        <v>1</v>
      </c>
      <c r="M6" s="235">
        <v>10</v>
      </c>
      <c r="N6" s="237" t="s">
        <v>181</v>
      </c>
      <c r="O6" s="237"/>
      <c r="P6" s="237"/>
      <c r="Q6" s="237"/>
      <c r="R6" s="237"/>
      <c r="S6" s="237"/>
      <c r="T6" s="215"/>
      <c r="Z6" s="166">
        <v>9.4499999999999993</v>
      </c>
      <c r="AA6" s="166">
        <v>9.4499999999999993</v>
      </c>
      <c r="AB6" s="166">
        <v>9.4499999999999993</v>
      </c>
    </row>
    <row r="7" spans="1:28" ht="15">
      <c r="A7" s="72"/>
      <c r="B7" s="220" t="s">
        <v>250</v>
      </c>
      <c r="C7" s="273">
        <v>2</v>
      </c>
      <c r="D7" s="221"/>
      <c r="E7" s="212"/>
      <c r="F7" s="212"/>
      <c r="G7" s="213"/>
      <c r="H7" s="213"/>
      <c r="I7" s="213"/>
      <c r="J7" s="213"/>
      <c r="K7" s="214"/>
      <c r="L7" s="220" t="s">
        <v>250</v>
      </c>
      <c r="M7" s="235">
        <v>2</v>
      </c>
      <c r="N7" s="237"/>
      <c r="O7" s="237"/>
      <c r="P7" s="237"/>
      <c r="Q7" s="237"/>
      <c r="R7" s="237"/>
      <c r="S7" s="237"/>
      <c r="T7" s="215"/>
      <c r="Z7" s="166">
        <v>2</v>
      </c>
      <c r="AA7" s="166">
        <v>2</v>
      </c>
      <c r="AB7" s="166">
        <v>2</v>
      </c>
    </row>
    <row r="8" spans="1:28" ht="15">
      <c r="A8" s="72"/>
      <c r="B8" s="220" t="s">
        <v>41</v>
      </c>
      <c r="C8" s="273">
        <v>2.6</v>
      </c>
      <c r="D8" s="221" t="s">
        <v>181</v>
      </c>
      <c r="E8" s="212"/>
      <c r="F8" s="212"/>
      <c r="G8" s="213"/>
      <c r="H8" s="213"/>
      <c r="I8" s="213"/>
      <c r="J8" s="213"/>
      <c r="K8" s="214"/>
      <c r="L8" s="220" t="s">
        <v>41</v>
      </c>
      <c r="M8" s="235">
        <v>2.6</v>
      </c>
      <c r="N8" s="237" t="s">
        <v>181</v>
      </c>
      <c r="O8" s="237"/>
      <c r="P8" s="237"/>
      <c r="Q8" s="237"/>
      <c r="R8" s="237"/>
      <c r="S8" s="237"/>
      <c r="T8" s="215"/>
      <c r="Z8" s="166">
        <v>2.9</v>
      </c>
      <c r="AA8" s="166">
        <v>2.9</v>
      </c>
      <c r="AB8" s="166">
        <v>2.9</v>
      </c>
    </row>
    <row r="9" spans="1:28" ht="15">
      <c r="A9" s="72"/>
      <c r="B9" s="220" t="s">
        <v>40</v>
      </c>
      <c r="C9" s="273">
        <v>30</v>
      </c>
      <c r="D9" s="221" t="s">
        <v>182</v>
      </c>
      <c r="E9" s="212"/>
      <c r="F9" s="212"/>
      <c r="G9" s="213"/>
      <c r="H9" s="213"/>
      <c r="I9" s="213"/>
      <c r="J9" s="213"/>
      <c r="K9" s="214"/>
      <c r="L9" s="220" t="s">
        <v>40</v>
      </c>
      <c r="M9" s="235">
        <v>30</v>
      </c>
      <c r="N9" s="237" t="s">
        <v>182</v>
      </c>
      <c r="O9" s="237"/>
      <c r="P9" s="237"/>
      <c r="Q9" s="237"/>
      <c r="R9" s="237"/>
      <c r="S9" s="237"/>
      <c r="T9" s="215"/>
      <c r="Z9" s="166">
        <v>30</v>
      </c>
      <c r="AA9" s="166">
        <v>30</v>
      </c>
      <c r="AB9" s="166">
        <v>30</v>
      </c>
    </row>
    <row r="10" spans="1:28" ht="17.25">
      <c r="A10" s="72"/>
      <c r="B10" s="220" t="s">
        <v>209</v>
      </c>
      <c r="C10" s="273">
        <v>25</v>
      </c>
      <c r="D10" s="221" t="s">
        <v>239</v>
      </c>
      <c r="E10" s="212"/>
      <c r="F10" s="212"/>
      <c r="G10" s="213"/>
      <c r="H10" s="213"/>
      <c r="I10" s="213"/>
      <c r="J10" s="213"/>
      <c r="K10" s="214"/>
      <c r="L10" s="220" t="s">
        <v>209</v>
      </c>
      <c r="M10" s="235">
        <v>25</v>
      </c>
      <c r="N10" s="237" t="s">
        <v>239</v>
      </c>
      <c r="O10" s="237"/>
      <c r="P10" s="237"/>
      <c r="Q10" s="237"/>
      <c r="R10" s="237"/>
      <c r="S10" s="237"/>
      <c r="T10" s="215"/>
      <c r="Z10" s="166">
        <v>22</v>
      </c>
      <c r="AA10" s="166">
        <v>22</v>
      </c>
      <c r="AB10" s="166">
        <v>22</v>
      </c>
    </row>
    <row r="11" spans="1:28" ht="17.25">
      <c r="A11" s="72"/>
      <c r="B11" s="220" t="s">
        <v>176</v>
      </c>
      <c r="C11" s="273">
        <v>2.2000000000000002</v>
      </c>
      <c r="D11" s="221" t="s">
        <v>240</v>
      </c>
      <c r="E11" s="212"/>
      <c r="F11" s="212"/>
      <c r="G11" s="213"/>
      <c r="H11" s="213"/>
      <c r="I11" s="213"/>
      <c r="J11" s="213"/>
      <c r="K11" s="214"/>
      <c r="L11" s="220" t="s">
        <v>176</v>
      </c>
      <c r="M11" s="235">
        <v>2.2000000000000002</v>
      </c>
      <c r="N11" s="237" t="s">
        <v>240</v>
      </c>
      <c r="O11" s="237"/>
      <c r="P11" s="237"/>
      <c r="Q11" s="237"/>
      <c r="R11" s="237"/>
      <c r="S11" s="237"/>
      <c r="T11" s="215"/>
      <c r="Z11" s="166">
        <v>2</v>
      </c>
      <c r="AA11" s="166">
        <v>2</v>
      </c>
      <c r="AB11" s="166">
        <v>2</v>
      </c>
    </row>
    <row r="12" spans="1:28" ht="17.25">
      <c r="A12" s="72"/>
      <c r="B12" s="220" t="s">
        <v>177</v>
      </c>
      <c r="C12" s="273">
        <v>2.6</v>
      </c>
      <c r="D12" s="221" t="s">
        <v>240</v>
      </c>
      <c r="E12" s="212"/>
      <c r="F12" s="212"/>
      <c r="G12" s="213"/>
      <c r="H12" s="213"/>
      <c r="I12" s="213"/>
      <c r="J12" s="213"/>
      <c r="K12" s="214"/>
      <c r="L12" s="220" t="s">
        <v>177</v>
      </c>
      <c r="M12" s="235">
        <v>2.6</v>
      </c>
      <c r="N12" s="237" t="s">
        <v>240</v>
      </c>
      <c r="O12" s="237"/>
      <c r="P12" s="237"/>
      <c r="Q12" s="237"/>
      <c r="R12" s="237"/>
      <c r="S12" s="237"/>
      <c r="T12" s="215"/>
      <c r="Z12" s="166">
        <v>2</v>
      </c>
      <c r="AA12" s="166">
        <v>2</v>
      </c>
      <c r="AB12" s="166">
        <v>2</v>
      </c>
    </row>
    <row r="13" spans="1:28" ht="17.25">
      <c r="A13" s="72"/>
      <c r="B13" s="220" t="s">
        <v>178</v>
      </c>
      <c r="C13" s="273">
        <v>2.5</v>
      </c>
      <c r="D13" s="221" t="s">
        <v>240</v>
      </c>
      <c r="E13" s="212"/>
      <c r="F13" s="212"/>
      <c r="G13" s="213"/>
      <c r="H13" s="213"/>
      <c r="I13" s="213"/>
      <c r="J13" s="213"/>
      <c r="K13" s="214"/>
      <c r="L13" s="220" t="s">
        <v>178</v>
      </c>
      <c r="M13" s="235">
        <v>2.5</v>
      </c>
      <c r="N13" s="237" t="s">
        <v>240</v>
      </c>
      <c r="O13" s="237"/>
      <c r="P13" s="237"/>
      <c r="Q13" s="237"/>
      <c r="R13" s="237"/>
      <c r="S13" s="237"/>
      <c r="T13" s="215"/>
      <c r="Z13" s="166">
        <v>2</v>
      </c>
      <c r="AA13" s="166">
        <v>2</v>
      </c>
      <c r="AB13" s="166">
        <v>2</v>
      </c>
    </row>
    <row r="14" spans="1:28" ht="17.25">
      <c r="A14" s="72"/>
      <c r="B14" s="220" t="s">
        <v>179</v>
      </c>
      <c r="C14" s="273">
        <v>1.8</v>
      </c>
      <c r="D14" s="221" t="s">
        <v>241</v>
      </c>
      <c r="E14" s="212"/>
      <c r="F14" s="212"/>
      <c r="G14" s="213"/>
      <c r="H14" s="213"/>
      <c r="I14" s="213"/>
      <c r="J14" s="213"/>
      <c r="K14" s="214"/>
      <c r="L14" s="220" t="s">
        <v>179</v>
      </c>
      <c r="M14" s="235">
        <v>1.8</v>
      </c>
      <c r="N14" s="237" t="s">
        <v>241</v>
      </c>
      <c r="O14" s="237"/>
      <c r="P14" s="237"/>
      <c r="Q14" s="237"/>
      <c r="R14" s="237"/>
      <c r="S14" s="237"/>
      <c r="T14" s="215"/>
      <c r="Z14" s="166">
        <v>5.8</v>
      </c>
      <c r="AA14" s="166">
        <v>5.8</v>
      </c>
      <c r="AB14" s="166">
        <v>5.8</v>
      </c>
    </row>
    <row r="15" spans="1:28" ht="15">
      <c r="A15" s="72"/>
      <c r="B15" s="220" t="s">
        <v>203</v>
      </c>
      <c r="C15" s="274">
        <v>0</v>
      </c>
      <c r="D15" s="221" t="s">
        <v>243</v>
      </c>
      <c r="E15" s="212"/>
      <c r="F15" s="212"/>
      <c r="G15" s="213"/>
      <c r="H15" s="213"/>
      <c r="I15" s="213"/>
      <c r="J15" s="213"/>
      <c r="K15" s="214"/>
      <c r="L15" s="220" t="s">
        <v>203</v>
      </c>
      <c r="M15" s="238">
        <v>0</v>
      </c>
      <c r="N15" s="237" t="s">
        <v>243</v>
      </c>
      <c r="O15" s="237"/>
      <c r="P15" s="237"/>
      <c r="Q15" s="237"/>
      <c r="R15" s="237"/>
      <c r="S15" s="237"/>
      <c r="T15" s="215"/>
      <c r="Z15" s="166">
        <v>0</v>
      </c>
      <c r="AA15" s="166">
        <v>0</v>
      </c>
      <c r="AB15" s="166">
        <v>0</v>
      </c>
    </row>
    <row r="16" spans="1:28" ht="18.75">
      <c r="A16" s="72"/>
      <c r="B16" s="272" t="s">
        <v>246</v>
      </c>
      <c r="C16" s="273">
        <v>0.6</v>
      </c>
      <c r="D16" s="221" t="s">
        <v>242</v>
      </c>
      <c r="E16" s="212"/>
      <c r="F16" s="212"/>
      <c r="G16" s="213"/>
      <c r="H16" s="213"/>
      <c r="I16" s="213"/>
      <c r="J16" s="213"/>
      <c r="K16" s="214"/>
      <c r="L16" s="272" t="s">
        <v>246</v>
      </c>
      <c r="M16" s="235">
        <v>0.15</v>
      </c>
      <c r="N16" s="237" t="s">
        <v>242</v>
      </c>
      <c r="O16" s="237"/>
      <c r="P16" s="237"/>
      <c r="Q16" s="237"/>
      <c r="R16" s="237"/>
      <c r="S16" s="237"/>
      <c r="T16" s="215"/>
      <c r="Z16" s="166">
        <v>0.25</v>
      </c>
      <c r="AA16" s="166">
        <v>0.25</v>
      </c>
      <c r="AB16" s="166">
        <v>0.25</v>
      </c>
    </row>
    <row r="17" spans="1:28" ht="15">
      <c r="A17" s="72"/>
      <c r="B17" s="220"/>
      <c r="C17" s="275"/>
      <c r="D17" s="221"/>
      <c r="E17" s="212"/>
      <c r="F17" s="212"/>
      <c r="G17" s="213"/>
      <c r="H17" s="213"/>
      <c r="I17" s="213"/>
      <c r="J17" s="213"/>
      <c r="K17" s="214"/>
      <c r="L17" s="220"/>
      <c r="M17" s="234"/>
      <c r="N17" s="237"/>
      <c r="O17" s="237"/>
      <c r="P17" s="237"/>
      <c r="Q17" s="237"/>
      <c r="R17" s="237"/>
      <c r="S17" s="237"/>
      <c r="T17" s="215"/>
      <c r="Z17" s="166"/>
      <c r="AA17" s="166"/>
      <c r="AB17" s="166"/>
    </row>
    <row r="18" spans="1:28" ht="15">
      <c r="A18" s="72"/>
      <c r="B18" s="223" t="s">
        <v>199</v>
      </c>
      <c r="C18" s="275"/>
      <c r="D18" s="221"/>
      <c r="E18" s="212"/>
      <c r="F18" s="212"/>
      <c r="G18" s="213"/>
      <c r="H18" s="213"/>
      <c r="I18" s="213"/>
      <c r="J18" s="213"/>
      <c r="K18" s="214"/>
      <c r="L18" s="223" t="s">
        <v>199</v>
      </c>
      <c r="M18" s="234"/>
      <c r="N18" s="237"/>
      <c r="O18" s="237"/>
      <c r="P18" s="237"/>
      <c r="Q18" s="237"/>
      <c r="R18" s="237"/>
      <c r="S18" s="237"/>
      <c r="T18" s="215"/>
      <c r="Z18" s="166"/>
      <c r="AA18" s="166"/>
      <c r="AB18" s="166"/>
    </row>
    <row r="19" spans="1:28" ht="15">
      <c r="A19" s="72"/>
      <c r="B19" s="220"/>
      <c r="C19" s="276"/>
      <c r="D19" s="221"/>
      <c r="E19" s="212"/>
      <c r="F19" s="212"/>
      <c r="G19" s="213"/>
      <c r="H19" s="213"/>
      <c r="I19" s="213"/>
      <c r="J19" s="213"/>
      <c r="K19" s="214"/>
      <c r="L19" s="220"/>
      <c r="M19" s="235"/>
      <c r="N19" s="237"/>
      <c r="O19" s="237"/>
      <c r="P19" s="237"/>
      <c r="Q19" s="237"/>
      <c r="R19" s="237"/>
      <c r="S19" s="237"/>
      <c r="T19" s="215"/>
      <c r="Z19" s="166"/>
      <c r="AA19" s="166"/>
      <c r="AB19" s="166"/>
    </row>
    <row r="20" spans="1:28" ht="15">
      <c r="A20" s="72"/>
      <c r="B20" s="220" t="s">
        <v>217</v>
      </c>
      <c r="C20" s="273">
        <v>2</v>
      </c>
      <c r="D20" s="221"/>
      <c r="E20" s="212"/>
      <c r="F20" s="212"/>
      <c r="G20" s="213"/>
      <c r="H20" s="213"/>
      <c r="I20" s="213"/>
      <c r="J20" s="213"/>
      <c r="K20" s="214"/>
      <c r="L20" s="220" t="s">
        <v>217</v>
      </c>
      <c r="M20" s="235">
        <v>2</v>
      </c>
      <c r="N20" s="237"/>
      <c r="O20" s="237"/>
      <c r="P20" s="237"/>
      <c r="Q20" s="237"/>
      <c r="R20" s="237"/>
      <c r="S20" s="237"/>
      <c r="T20" s="215"/>
      <c r="Z20" s="166">
        <v>4</v>
      </c>
      <c r="AA20" s="166">
        <v>4</v>
      </c>
      <c r="AB20" s="166">
        <v>5</v>
      </c>
    </row>
    <row r="21" spans="1:28" ht="15">
      <c r="A21" s="72"/>
      <c r="B21" s="220" t="s">
        <v>201</v>
      </c>
      <c r="C21" s="273">
        <v>5000</v>
      </c>
      <c r="D21" s="221" t="s">
        <v>190</v>
      </c>
      <c r="E21" s="212"/>
      <c r="F21" s="212"/>
      <c r="G21" s="213"/>
      <c r="H21" s="213"/>
      <c r="I21" s="213"/>
      <c r="J21" s="213"/>
      <c r="K21" s="214"/>
      <c r="L21" s="220" t="s">
        <v>201</v>
      </c>
      <c r="M21" s="235">
        <v>5000</v>
      </c>
      <c r="N21" s="237" t="s">
        <v>190</v>
      </c>
      <c r="O21" s="237"/>
      <c r="P21" s="237"/>
      <c r="Q21" s="237"/>
      <c r="R21" s="237"/>
      <c r="S21" s="237"/>
      <c r="T21" s="215"/>
      <c r="Z21" s="166">
        <v>5000</v>
      </c>
      <c r="AA21" s="166">
        <v>5000</v>
      </c>
      <c r="AB21" s="166">
        <v>5500</v>
      </c>
    </row>
    <row r="22" spans="1:28" ht="15.75" thickBot="1">
      <c r="A22" s="164"/>
      <c r="B22" s="224"/>
      <c r="C22" s="225"/>
      <c r="D22" s="225"/>
      <c r="E22" s="278"/>
      <c r="F22" s="278"/>
      <c r="G22" s="278"/>
      <c r="H22" s="278"/>
      <c r="I22" s="278"/>
      <c r="J22" s="278"/>
      <c r="K22" s="214"/>
      <c r="L22" s="220"/>
      <c r="M22" s="233"/>
      <c r="N22" s="233"/>
      <c r="O22" s="233"/>
      <c r="P22" s="233"/>
      <c r="Q22" s="233"/>
      <c r="R22" s="233"/>
      <c r="S22" s="233"/>
      <c r="T22" s="215"/>
    </row>
    <row r="23" spans="1:28" ht="15">
      <c r="A23" s="164"/>
      <c r="B23" s="226" t="s">
        <v>232</v>
      </c>
      <c r="C23" s="227"/>
      <c r="D23" s="227"/>
      <c r="E23" s="278"/>
      <c r="F23" s="278"/>
      <c r="G23" s="278"/>
      <c r="H23" s="278"/>
      <c r="I23" s="278"/>
      <c r="J23" s="278"/>
      <c r="K23" s="213"/>
      <c r="L23" s="249" t="s">
        <v>232</v>
      </c>
      <c r="M23" s="250"/>
      <c r="N23" s="251"/>
      <c r="O23" s="270"/>
      <c r="P23" s="270"/>
      <c r="Q23" s="270"/>
      <c r="R23" s="270"/>
      <c r="S23" s="270"/>
      <c r="T23" s="270"/>
      <c r="U23" s="239"/>
      <c r="V23" s="239"/>
      <c r="W23" s="239"/>
      <c r="X23" s="239"/>
      <c r="Y23" s="239"/>
    </row>
    <row r="24" spans="1:28" ht="15">
      <c r="A24" s="164"/>
      <c r="B24" s="229"/>
      <c r="C24" s="230"/>
      <c r="D24" s="230"/>
      <c r="E24" s="278"/>
      <c r="F24" s="278"/>
      <c r="G24" s="278"/>
      <c r="H24" s="278"/>
      <c r="I24" s="278"/>
      <c r="J24" s="278"/>
      <c r="K24" s="213"/>
      <c r="L24" s="252"/>
      <c r="M24" s="230"/>
      <c r="N24" s="253"/>
      <c r="O24" s="270"/>
      <c r="P24" s="270"/>
      <c r="Q24" s="270"/>
      <c r="R24" s="270"/>
      <c r="S24" s="270"/>
      <c r="T24" s="270"/>
      <c r="U24" s="239"/>
      <c r="V24" s="239"/>
      <c r="W24" s="239"/>
      <c r="X24" s="239"/>
      <c r="Y24" s="239"/>
    </row>
    <row r="25" spans="1:28" ht="15.75" thickBot="1">
      <c r="A25" s="164"/>
      <c r="B25" s="247" t="s">
        <v>202</v>
      </c>
      <c r="C25" s="248">
        <f>jr_bel_duurkr!W21-C34-C35</f>
        <v>3.1804874312048508</v>
      </c>
      <c r="D25" s="229" t="s">
        <v>173</v>
      </c>
      <c r="E25" s="277"/>
      <c r="F25" s="277"/>
      <c r="G25" s="277"/>
      <c r="H25" s="277"/>
      <c r="I25" s="277"/>
      <c r="J25" s="277"/>
      <c r="K25" s="213"/>
      <c r="L25" s="256" t="s">
        <v>202</v>
      </c>
      <c r="M25" s="257">
        <f>jr_bel_duurkr!W56-M34-M35</f>
        <v>3.1804874312048508</v>
      </c>
      <c r="N25" s="256" t="s">
        <v>173</v>
      </c>
      <c r="O25" s="270"/>
      <c r="P25" s="270"/>
      <c r="Q25" s="270"/>
      <c r="R25" s="270"/>
      <c r="S25" s="270"/>
      <c r="T25" s="270"/>
      <c r="U25" s="239"/>
      <c r="V25" s="239"/>
      <c r="W25" s="239"/>
      <c r="X25" s="239"/>
      <c r="Y25" s="239"/>
    </row>
    <row r="26" spans="1:28" ht="15">
      <c r="A26" s="164"/>
      <c r="B26" s="247" t="s">
        <v>170</v>
      </c>
      <c r="C26" s="248">
        <f>-jr_bel_duurkr!U21</f>
        <v>-4.7388824999999981</v>
      </c>
      <c r="D26" s="247" t="s">
        <v>173</v>
      </c>
      <c r="E26" s="242" t="s">
        <v>238</v>
      </c>
      <c r="F26" s="227"/>
      <c r="G26" s="227">
        <v>45</v>
      </c>
      <c r="H26" s="227" t="s">
        <v>118</v>
      </c>
      <c r="I26" s="227"/>
      <c r="J26" s="228"/>
      <c r="K26" s="213"/>
      <c r="L26" s="256" t="s">
        <v>170</v>
      </c>
      <c r="M26" s="257">
        <f>-jr_bel_duurkr!U56</f>
        <v>-3.7705034999999998</v>
      </c>
      <c r="N26" s="256" t="s">
        <v>173</v>
      </c>
      <c r="O26" s="242" t="s">
        <v>238</v>
      </c>
      <c r="P26" s="227"/>
      <c r="Q26" s="227">
        <v>45</v>
      </c>
      <c r="R26" s="227" t="s">
        <v>118</v>
      </c>
      <c r="S26" s="227"/>
      <c r="T26" s="228"/>
      <c r="U26" s="239"/>
      <c r="V26" s="239"/>
      <c r="W26" s="239"/>
      <c r="X26" s="239"/>
      <c r="Y26" s="239"/>
    </row>
    <row r="27" spans="1:28" ht="15">
      <c r="A27" s="164"/>
      <c r="B27" s="247" t="s">
        <v>169</v>
      </c>
      <c r="C27" s="248">
        <f>-jr_bel_duurkr!T21</f>
        <v>-11.254312158382657</v>
      </c>
      <c r="D27" s="247" t="s">
        <v>173</v>
      </c>
      <c r="E27" s="229"/>
      <c r="F27" s="230"/>
      <c r="G27" s="230"/>
      <c r="H27" s="230"/>
      <c r="I27" s="230"/>
      <c r="J27" s="231"/>
      <c r="K27" s="213"/>
      <c r="L27" s="256" t="s">
        <v>169</v>
      </c>
      <c r="M27" s="257">
        <f>-jr_bel_duurkr!T56</f>
        <v>-8.9545211098343032</v>
      </c>
      <c r="N27" s="256" t="s">
        <v>173</v>
      </c>
      <c r="O27" s="229"/>
      <c r="P27" s="230"/>
      <c r="Q27" s="230"/>
      <c r="R27" s="230"/>
      <c r="S27" s="230"/>
      <c r="T27" s="231"/>
      <c r="U27" s="239"/>
      <c r="V27" s="239"/>
      <c r="W27" s="239"/>
      <c r="X27" s="239"/>
      <c r="Y27" s="239"/>
    </row>
    <row r="28" spans="1:28" ht="15">
      <c r="A28" s="164"/>
      <c r="B28" s="247" t="s">
        <v>29</v>
      </c>
      <c r="C28" s="248">
        <f>-jr_bel_duurkr!V21</f>
        <v>-11.119081541193603</v>
      </c>
      <c r="D28" s="247" t="s">
        <v>173</v>
      </c>
      <c r="E28" s="229" t="str">
        <f>jr_bel_duurkr!H23</f>
        <v>warm tapwaterverbruik (wtw) gezin:</v>
      </c>
      <c r="F28" s="230"/>
      <c r="G28" s="230"/>
      <c r="H28" s="230"/>
      <c r="I28" s="230"/>
      <c r="J28" s="231"/>
      <c r="K28" s="213"/>
      <c r="L28" s="256" t="s">
        <v>29</v>
      </c>
      <c r="M28" s="257">
        <f>-jr_bel_duurkr!V56</f>
        <v>-2.2117311342840789</v>
      </c>
      <c r="N28" s="256" t="s">
        <v>173</v>
      </c>
      <c r="O28" s="229" t="str">
        <f>jr_bel_duurkr!H58</f>
        <v>warm tapwaterverbruik (wtw) gezin:</v>
      </c>
      <c r="P28" s="230"/>
      <c r="Q28" s="230"/>
      <c r="R28" s="230"/>
      <c r="S28" s="230"/>
      <c r="T28" s="231"/>
      <c r="U28" s="239"/>
      <c r="V28" s="239"/>
      <c r="W28" s="239"/>
      <c r="X28" s="239"/>
      <c r="Y28" s="239"/>
    </row>
    <row r="29" spans="1:28" ht="15">
      <c r="A29" s="164"/>
      <c r="B29" s="229"/>
      <c r="C29" s="230"/>
      <c r="D29" s="231"/>
      <c r="E29" s="229" t="str">
        <f>jr_bel_duurkr!H24</f>
        <v>keuken: aantal personen x 5 +10</v>
      </c>
      <c r="F29" s="230"/>
      <c r="G29" s="230"/>
      <c r="H29" s="230">
        <f>jr_bel_duurkr!K24</f>
        <v>20</v>
      </c>
      <c r="I29" s="230" t="str">
        <f>jr_bel_duurkr!L24</f>
        <v>liter per dag</v>
      </c>
      <c r="J29" s="231"/>
      <c r="K29" s="213"/>
      <c r="L29" s="252"/>
      <c r="M29" s="230"/>
      <c r="N29" s="253"/>
      <c r="O29" s="229" t="s">
        <v>247</v>
      </c>
      <c r="P29" s="230"/>
      <c r="Q29" s="230"/>
      <c r="R29" s="230">
        <f>jr_bel_duurkr!K59</f>
        <v>20</v>
      </c>
      <c r="S29" s="230" t="str">
        <f>jr_bel_duurkr!L59</f>
        <v>liter per dag</v>
      </c>
      <c r="T29" s="231"/>
      <c r="U29" s="239"/>
      <c r="V29" s="239"/>
      <c r="W29" s="239"/>
      <c r="X29" s="239"/>
      <c r="Y29" s="239"/>
    </row>
    <row r="30" spans="1:28" ht="15">
      <c r="A30" s="164"/>
      <c r="B30" s="229"/>
      <c r="C30" s="230"/>
      <c r="D30" s="231"/>
      <c r="E30" s="229" t="str">
        <f>jr_bel_duurkr!H25</f>
        <v>douche: 35l/keer x aantal personen</v>
      </c>
      <c r="F30" s="230"/>
      <c r="G30" s="230"/>
      <c r="H30" s="230">
        <f>jr_bel_duurkr!K25</f>
        <v>70</v>
      </c>
      <c r="I30" s="230" t="str">
        <f>jr_bel_duurkr!L25</f>
        <v>liter per dag</v>
      </c>
      <c r="J30" s="231"/>
      <c r="K30" s="213"/>
      <c r="L30" s="252"/>
      <c r="M30" s="230"/>
      <c r="N30" s="253"/>
      <c r="O30" s="229" t="s">
        <v>248</v>
      </c>
      <c r="P30" s="230"/>
      <c r="Q30" s="230"/>
      <c r="R30" s="230">
        <f>jr_bel_duurkr!K60</f>
        <v>70</v>
      </c>
      <c r="S30" s="230" t="str">
        <f>jr_bel_duurkr!L60</f>
        <v>liter per dag</v>
      </c>
      <c r="T30" s="231"/>
      <c r="U30" s="239"/>
      <c r="V30" s="239"/>
      <c r="W30" s="239"/>
      <c r="X30" s="239"/>
      <c r="Y30" s="239"/>
    </row>
    <row r="31" spans="1:28" ht="15">
      <c r="A31" s="164"/>
      <c r="B31" s="229"/>
      <c r="C31" s="230"/>
      <c r="D31" s="231"/>
      <c r="E31" s="229"/>
      <c r="F31" s="230"/>
      <c r="G31" s="230"/>
      <c r="H31" s="243"/>
      <c r="I31" s="243"/>
      <c r="J31" s="231"/>
      <c r="K31" s="213"/>
      <c r="L31" s="252"/>
      <c r="M31" s="230"/>
      <c r="N31" s="253"/>
      <c r="O31" s="229"/>
      <c r="P31" s="230"/>
      <c r="Q31" s="230"/>
      <c r="R31" s="230"/>
      <c r="S31" s="230"/>
      <c r="T31" s="231"/>
      <c r="U31" s="239"/>
      <c r="V31" s="239"/>
      <c r="W31" s="239"/>
      <c r="X31" s="239"/>
      <c r="Y31" s="239"/>
    </row>
    <row r="32" spans="1:28" ht="15.75" thickBot="1">
      <c r="A32" s="165"/>
      <c r="B32" s="229"/>
      <c r="C32" s="230"/>
      <c r="D32" s="231"/>
      <c r="E32" s="244" t="s">
        <v>8</v>
      </c>
      <c r="F32" s="245"/>
      <c r="G32" s="245"/>
      <c r="H32" s="245">
        <f>jr_bel_duurkr!K27</f>
        <v>90</v>
      </c>
      <c r="I32" s="245" t="str">
        <f>jr_bel_duurkr!L27</f>
        <v>liter per dag</v>
      </c>
      <c r="J32" s="246"/>
      <c r="K32" s="216"/>
      <c r="L32" s="254"/>
      <c r="M32" s="243"/>
      <c r="N32" s="255"/>
      <c r="O32" s="244" t="s">
        <v>8</v>
      </c>
      <c r="P32" s="245"/>
      <c r="Q32" s="245"/>
      <c r="R32" s="271">
        <f>jr_bel_duurkr!K62</f>
        <v>90</v>
      </c>
      <c r="S32" s="271" t="str">
        <f>jr_bel_duurkr!L62</f>
        <v>liter per dag</v>
      </c>
      <c r="T32" s="246"/>
      <c r="U32" s="239"/>
      <c r="V32" s="239"/>
      <c r="W32" s="239"/>
      <c r="X32" s="239"/>
      <c r="Y32" s="239"/>
    </row>
    <row r="33" spans="1:20" ht="15">
      <c r="A33" s="158"/>
      <c r="B33" s="258" t="s">
        <v>213</v>
      </c>
      <c r="C33" s="259"/>
      <c r="D33" s="260"/>
      <c r="L33" s="258" t="s">
        <v>213</v>
      </c>
      <c r="M33" s="259"/>
      <c r="N33" s="260"/>
      <c r="O33" s="239"/>
      <c r="P33" s="239"/>
      <c r="Q33" s="239"/>
      <c r="R33" s="239"/>
      <c r="S33" s="239"/>
    </row>
    <row r="34" spans="1:20" ht="15">
      <c r="A34" s="158"/>
      <c r="B34" s="261" t="s">
        <v>214</v>
      </c>
      <c r="C34" s="262">
        <f>Referentie!B70*Referentie!C70*Referentie!E70/1000000</f>
        <v>0.70079999999999998</v>
      </c>
      <c r="D34" s="263" t="s">
        <v>173</v>
      </c>
      <c r="L34" s="261" t="s">
        <v>214</v>
      </c>
      <c r="M34" s="262">
        <f>Nieuwe!B70*Nieuwe!C70*Nieuwe!E70/1000000</f>
        <v>0.70079999999999998</v>
      </c>
      <c r="N34" s="263" t="s">
        <v>173</v>
      </c>
      <c r="O34" s="239"/>
      <c r="P34" s="239"/>
      <c r="Q34" s="239"/>
      <c r="R34" s="239"/>
      <c r="S34" s="239"/>
      <c r="T34" s="239"/>
    </row>
    <row r="35" spans="1:20" ht="15.75">
      <c r="A35" s="80"/>
      <c r="B35" s="261" t="s">
        <v>215</v>
      </c>
      <c r="C35" s="264">
        <f>Referentie!D71/1000</f>
        <v>5</v>
      </c>
      <c r="D35" s="263" t="s">
        <v>173</v>
      </c>
      <c r="E35" s="151"/>
      <c r="F35" s="151"/>
      <c r="L35" s="261" t="s">
        <v>215</v>
      </c>
      <c r="M35" s="264">
        <f>Nieuwe!D71/1000</f>
        <v>5</v>
      </c>
      <c r="N35" s="263" t="s">
        <v>173</v>
      </c>
      <c r="O35" s="240"/>
      <c r="P35" s="240"/>
      <c r="Q35" s="240"/>
      <c r="R35" s="240"/>
      <c r="S35" s="240"/>
      <c r="T35" s="240"/>
    </row>
    <row r="36" spans="1:20" ht="15.75">
      <c r="B36" s="263"/>
      <c r="C36" s="263"/>
      <c r="D36" s="263"/>
      <c r="L36" s="263"/>
      <c r="M36" s="263"/>
      <c r="N36" s="263"/>
      <c r="O36" s="240"/>
      <c r="P36" s="240"/>
      <c r="Q36" s="240"/>
      <c r="R36" s="240"/>
      <c r="S36" s="240"/>
      <c r="T36" s="240"/>
    </row>
    <row r="37" spans="1:20" ht="17.25">
      <c r="B37" s="263" t="s">
        <v>230</v>
      </c>
      <c r="C37" s="265">
        <f>jr_bel_duurkr!D31</f>
        <v>1933.868842480779</v>
      </c>
      <c r="D37" s="266" t="s">
        <v>244</v>
      </c>
      <c r="L37" s="263" t="s">
        <v>230</v>
      </c>
      <c r="M37" s="265">
        <f>jr_bel_duurkr!D66</f>
        <v>832.10497911388177</v>
      </c>
      <c r="N37" s="266" t="s">
        <v>244</v>
      </c>
      <c r="O37" s="241"/>
      <c r="P37" s="241"/>
      <c r="Q37" s="241"/>
      <c r="R37" s="241"/>
      <c r="S37" s="241"/>
      <c r="T37" s="241"/>
    </row>
    <row r="38" spans="1:20" ht="17.25">
      <c r="B38" s="263" t="s">
        <v>231</v>
      </c>
      <c r="C38" s="265">
        <f>jr_bel_duurkr!K31</f>
        <v>117.50192307692305</v>
      </c>
      <c r="D38" s="266" t="s">
        <v>244</v>
      </c>
      <c r="L38" s="263" t="s">
        <v>231</v>
      </c>
      <c r="M38" s="265">
        <f>jr_bel_duurkr!K66</f>
        <v>117.50192307692305</v>
      </c>
      <c r="N38" s="266" t="s">
        <v>244</v>
      </c>
    </row>
    <row r="39" spans="1:20" ht="18" thickBot="1">
      <c r="B39" s="267" t="s">
        <v>8</v>
      </c>
      <c r="C39" s="268">
        <f>SUM(C37:C38)</f>
        <v>2051.3707655577018</v>
      </c>
      <c r="D39" s="269" t="s">
        <v>245</v>
      </c>
      <c r="L39" s="267" t="s">
        <v>8</v>
      </c>
      <c r="M39" s="268">
        <f>SUM(M37:M38)</f>
        <v>949.60690219080482</v>
      </c>
      <c r="N39" s="269" t="s">
        <v>245</v>
      </c>
    </row>
  </sheetData>
  <sheetProtection password="CC20" sheet="1" objects="1" scenarios="1"/>
  <protectedRanges>
    <protectedRange sqref="M2:M21" name="InvulNieuw"/>
    <protectedRange sqref="C2:C21" name="Invulgebied"/>
  </protectedRanges>
  <mergeCells count="8">
    <mergeCell ref="E25:G25"/>
    <mergeCell ref="H25:J25"/>
    <mergeCell ref="E22:G22"/>
    <mergeCell ref="E23:G23"/>
    <mergeCell ref="E24:G24"/>
    <mergeCell ref="H24:J24"/>
    <mergeCell ref="H23:J23"/>
    <mergeCell ref="H22:J22"/>
  </mergeCells>
  <phoneticPr fontId="17" type="noConversion"/>
  <pageMargins left="0.75" right="0.75" top="1" bottom="1" header="0.5" footer="0.5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opLeftCell="A44" zoomScale="80" workbookViewId="0">
      <selection sqref="A1:IV43"/>
    </sheetView>
  </sheetViews>
  <sheetFormatPr defaultColWidth="9.28515625" defaultRowHeight="12.75"/>
  <cols>
    <col min="1" max="1" width="18.85546875" style="168" customWidth="1"/>
    <col min="2" max="2" width="13.7109375" style="168" customWidth="1"/>
    <col min="3" max="3" width="9.7109375" style="168" bestFit="1" customWidth="1"/>
    <col min="4" max="4" width="10.28515625" style="168" customWidth="1"/>
    <col min="5" max="5" width="7.42578125" style="168" customWidth="1"/>
    <col min="6" max="6" width="8.7109375" style="168" bestFit="1" customWidth="1"/>
    <col min="7" max="7" width="7.28515625" style="168" bestFit="1" customWidth="1"/>
    <col min="8" max="8" width="14.28515625" style="168" customWidth="1"/>
    <col min="9" max="9" width="9.85546875" style="168" customWidth="1"/>
    <col min="10" max="10" width="11.85546875" style="168" customWidth="1"/>
    <col min="11" max="11" width="7.7109375" style="168" customWidth="1"/>
    <col min="12" max="13" width="7.140625" style="168" customWidth="1"/>
    <col min="14" max="14" width="7.28515625" style="168" customWidth="1"/>
    <col min="15" max="15" width="10.28515625" style="168" customWidth="1"/>
    <col min="16" max="16" width="7" style="168" customWidth="1"/>
    <col min="17" max="17" width="6.28515625" style="168" customWidth="1"/>
    <col min="18" max="18" width="12" style="168" customWidth="1"/>
    <col min="19" max="16384" width="9.28515625" style="168"/>
  </cols>
  <sheetData>
    <row r="1" spans="1:20" hidden="1">
      <c r="A1" s="167" t="s">
        <v>92</v>
      </c>
      <c r="B1" s="167" t="s">
        <v>65</v>
      </c>
    </row>
    <row r="2" spans="1:20" ht="14.25" hidden="1">
      <c r="A2" s="167"/>
      <c r="B2" s="168" t="s">
        <v>147</v>
      </c>
      <c r="C2" s="169">
        <v>3</v>
      </c>
      <c r="E2" s="168" t="s">
        <v>228</v>
      </c>
      <c r="F2" s="168">
        <v>35.1</v>
      </c>
      <c r="G2" s="168" t="s">
        <v>229</v>
      </c>
    </row>
    <row r="3" spans="1:20" hidden="1">
      <c r="A3" s="167"/>
      <c r="B3" s="170" t="s">
        <v>63</v>
      </c>
      <c r="C3" s="169">
        <v>0.85</v>
      </c>
    </row>
    <row r="4" spans="1:20" hidden="1">
      <c r="A4" s="167"/>
      <c r="B4" s="170" t="s">
        <v>66</v>
      </c>
      <c r="C4" s="169">
        <v>0.45</v>
      </c>
    </row>
    <row r="5" spans="1:20" ht="14.25" hidden="1">
      <c r="A5" s="167"/>
      <c r="B5" s="168" t="s">
        <v>67</v>
      </c>
      <c r="C5" s="171">
        <f>35000000/3600000</f>
        <v>9.7222222222222214</v>
      </c>
    </row>
    <row r="6" spans="1:20" hidden="1">
      <c r="A6" s="167"/>
    </row>
    <row r="7" spans="1:20" hidden="1">
      <c r="A7" s="167" t="s">
        <v>52</v>
      </c>
      <c r="B7" s="168" t="s">
        <v>62</v>
      </c>
      <c r="C7" s="172">
        <f>jr_bel_duurkr!M21</f>
        <v>18801.502635229794</v>
      </c>
      <c r="D7" s="168" t="s">
        <v>143</v>
      </c>
    </row>
    <row r="8" spans="1:20" hidden="1">
      <c r="A8" s="167"/>
    </row>
    <row r="9" spans="1:20" ht="14.25" hidden="1">
      <c r="B9" s="167"/>
      <c r="E9" s="168" t="s">
        <v>78</v>
      </c>
    </row>
    <row r="10" spans="1:20" ht="14.25" hidden="1">
      <c r="B10" s="173" t="s">
        <v>56</v>
      </c>
      <c r="C10" s="168" t="s">
        <v>68</v>
      </c>
      <c r="D10" s="168" t="s">
        <v>75</v>
      </c>
      <c r="E10" s="173" t="s">
        <v>94</v>
      </c>
      <c r="F10" s="173" t="s">
        <v>96</v>
      </c>
      <c r="G10" s="173" t="s">
        <v>14</v>
      </c>
      <c r="H10" s="168" t="s">
        <v>97</v>
      </c>
    </row>
    <row r="11" spans="1:20" ht="14.25" hidden="1">
      <c r="B11" s="173" t="s">
        <v>11</v>
      </c>
      <c r="C11" s="173" t="s">
        <v>69</v>
      </c>
      <c r="D11" s="173" t="s">
        <v>39</v>
      </c>
      <c r="E11" s="173" t="s">
        <v>95</v>
      </c>
      <c r="F11" s="173" t="s">
        <v>95</v>
      </c>
      <c r="G11" s="173" t="s">
        <v>95</v>
      </c>
      <c r="H11" s="173" t="s">
        <v>142</v>
      </c>
    </row>
    <row r="12" spans="1:20" hidden="1">
      <c r="B12" s="173"/>
      <c r="C12" s="173"/>
      <c r="D12" s="173"/>
      <c r="E12" s="173"/>
      <c r="F12" s="173"/>
      <c r="G12" s="173"/>
      <c r="H12" s="173"/>
    </row>
    <row r="13" spans="1:20" hidden="1">
      <c r="A13" s="168" t="s">
        <v>107</v>
      </c>
      <c r="B13" s="174">
        <v>0.7</v>
      </c>
      <c r="C13" s="175">
        <v>0.9</v>
      </c>
      <c r="D13" s="176">
        <f>C13*$C$7/B13</f>
        <v>24173.360531009741</v>
      </c>
      <c r="E13" s="176">
        <f>C13*$C$7/$C$2</f>
        <v>5640.4507905689388</v>
      </c>
      <c r="F13" s="176">
        <f>D15*0.1</f>
        <v>50</v>
      </c>
      <c r="G13" s="176">
        <f>E13+F13</f>
        <v>5690.4507905689388</v>
      </c>
      <c r="H13" s="176">
        <f>(1-C13)*$C$7/$C$5/$C$3</f>
        <v>227.51398146832688</v>
      </c>
    </row>
    <row r="14" spans="1:20" hidden="1">
      <c r="A14" s="168" t="s">
        <v>108</v>
      </c>
      <c r="B14" s="174">
        <v>2.5</v>
      </c>
      <c r="C14" s="175">
        <v>1</v>
      </c>
      <c r="D14" s="176">
        <f>C14*$C$7/B14</f>
        <v>7520.6010540919178</v>
      </c>
      <c r="E14" s="176">
        <f>C14*$C$7/$C$2</f>
        <v>6267.1675450765979</v>
      </c>
      <c r="F14" s="176">
        <f>D15*0.1</f>
        <v>50</v>
      </c>
      <c r="G14" s="176">
        <f>E14+F14</f>
        <v>6317.1675450765979</v>
      </c>
      <c r="H14" s="176">
        <f>(1-C14)*$C$7/$C$5/$C$3</f>
        <v>0</v>
      </c>
    </row>
    <row r="15" spans="1:20" hidden="1">
      <c r="A15" s="168" t="s">
        <v>145</v>
      </c>
      <c r="B15" s="173"/>
      <c r="C15" s="175">
        <v>0</v>
      </c>
      <c r="D15" s="173">
        <v>500</v>
      </c>
      <c r="F15" s="176">
        <f>2*D15/($C$2-1)</f>
        <v>500</v>
      </c>
      <c r="G15" s="176">
        <f>E15+F15</f>
        <v>500</v>
      </c>
      <c r="H15" s="176">
        <f>(1-C15)*$C$7/$C$5/$C$3</f>
        <v>2275.1398146832694</v>
      </c>
    </row>
    <row r="16" spans="1:20" hidden="1">
      <c r="B16" s="173"/>
      <c r="C16" s="173"/>
      <c r="D16" s="175"/>
      <c r="E16" s="176"/>
      <c r="F16" s="176"/>
      <c r="G16" s="176"/>
      <c r="H16" s="174"/>
      <c r="I16" s="177"/>
      <c r="J16" s="177"/>
      <c r="K16" s="177"/>
      <c r="L16" s="177"/>
      <c r="M16" s="177"/>
      <c r="N16" s="177"/>
      <c r="O16" s="178"/>
      <c r="P16" s="178"/>
      <c r="Q16" s="178"/>
      <c r="R16" s="178"/>
      <c r="S16" s="178"/>
      <c r="T16" s="178"/>
    </row>
    <row r="17" spans="1:20" ht="14.25" hidden="1">
      <c r="A17" s="179" t="s">
        <v>144</v>
      </c>
      <c r="B17" s="180"/>
      <c r="C17" s="180"/>
      <c r="D17" s="180"/>
      <c r="E17" s="180"/>
      <c r="F17" s="180"/>
      <c r="G17" s="181"/>
    </row>
    <row r="18" spans="1:20" ht="14.25" hidden="1">
      <c r="A18" s="182" t="s">
        <v>77</v>
      </c>
      <c r="B18" s="183"/>
      <c r="C18" s="183"/>
      <c r="D18" s="183"/>
      <c r="E18" s="183"/>
      <c r="F18" s="183"/>
      <c r="G18" s="184"/>
    </row>
    <row r="19" spans="1:20" ht="14.25" hidden="1">
      <c r="A19" s="185" t="s">
        <v>141</v>
      </c>
      <c r="B19" s="183"/>
      <c r="C19" s="183"/>
      <c r="D19" s="183"/>
      <c r="E19" s="183"/>
      <c r="F19" s="183"/>
      <c r="G19" s="184"/>
    </row>
    <row r="20" spans="1:20" hidden="1">
      <c r="A20" s="186" t="s">
        <v>146</v>
      </c>
      <c r="B20" s="183"/>
      <c r="C20" s="183"/>
      <c r="D20" s="183"/>
      <c r="E20" s="183"/>
      <c r="F20" s="183"/>
      <c r="G20" s="184"/>
    </row>
    <row r="21" spans="1:20" ht="14.25" hidden="1">
      <c r="A21" s="187" t="s">
        <v>76</v>
      </c>
      <c r="B21" s="188"/>
      <c r="C21" s="188"/>
      <c r="D21" s="188"/>
      <c r="E21" s="188"/>
      <c r="F21" s="188"/>
      <c r="G21" s="189"/>
    </row>
    <row r="22" spans="1:20" ht="14.25" hidden="1">
      <c r="A22" s="190"/>
      <c r="B22" s="183"/>
      <c r="C22" s="183"/>
      <c r="D22" s="183"/>
      <c r="E22" s="183"/>
      <c r="F22" s="183"/>
      <c r="G22" s="183"/>
    </row>
    <row r="23" spans="1:20" hidden="1">
      <c r="B23" s="173"/>
      <c r="C23" s="173"/>
      <c r="D23" s="175"/>
      <c r="E23" s="176"/>
      <c r="F23" s="176"/>
      <c r="G23" s="176"/>
      <c r="H23" s="174"/>
      <c r="I23" s="177"/>
      <c r="J23" s="177"/>
      <c r="K23" s="177"/>
      <c r="L23" s="177"/>
      <c r="M23" s="177"/>
      <c r="N23" s="177"/>
      <c r="O23" s="178"/>
      <c r="P23" s="178"/>
      <c r="Q23" s="178"/>
      <c r="R23" s="178"/>
      <c r="S23" s="178"/>
      <c r="T23" s="178"/>
    </row>
    <row r="24" spans="1:20" ht="14.25" hidden="1">
      <c r="A24" s="167" t="s">
        <v>93</v>
      </c>
      <c r="G24" s="167" t="s">
        <v>90</v>
      </c>
      <c r="J24" s="167" t="s">
        <v>91</v>
      </c>
    </row>
    <row r="25" spans="1:20" hidden="1">
      <c r="A25" s="168" t="s">
        <v>71</v>
      </c>
      <c r="C25" s="168">
        <v>2500</v>
      </c>
      <c r="G25" s="168" t="s">
        <v>60</v>
      </c>
      <c r="H25" s="168">
        <v>0.25</v>
      </c>
      <c r="J25" s="168" t="s">
        <v>73</v>
      </c>
      <c r="K25" s="191">
        <f>K26/C5/C4</f>
        <v>0.41828571428571432</v>
      </c>
    </row>
    <row r="26" spans="1:20" ht="14.25" hidden="1">
      <c r="A26" s="168" t="s">
        <v>70</v>
      </c>
      <c r="C26" s="168">
        <v>2000</v>
      </c>
      <c r="G26" s="168" t="s">
        <v>61</v>
      </c>
      <c r="H26" s="168">
        <v>0.6</v>
      </c>
      <c r="J26" s="168" t="s">
        <v>72</v>
      </c>
      <c r="K26" s="168">
        <v>1.83</v>
      </c>
    </row>
    <row r="27" spans="1:20" hidden="1">
      <c r="A27" s="168" t="s">
        <v>161</v>
      </c>
      <c r="C27" s="168">
        <f>3200-750</f>
        <v>2450</v>
      </c>
      <c r="D27" s="168" t="s">
        <v>160</v>
      </c>
    </row>
    <row r="28" spans="1:20" hidden="1">
      <c r="A28" s="168" t="s">
        <v>81</v>
      </c>
      <c r="C28" s="168">
        <v>1500</v>
      </c>
    </row>
    <row r="29" spans="1:20" hidden="1"/>
    <row r="30" spans="1:20" ht="14.25" hidden="1">
      <c r="A30" s="192" t="s">
        <v>58</v>
      </c>
      <c r="B30" s="193"/>
      <c r="C30" s="193"/>
      <c r="D30" s="193"/>
      <c r="E30" s="193"/>
      <c r="F30" s="194"/>
      <c r="G30" s="192" t="s">
        <v>59</v>
      </c>
      <c r="H30" s="193"/>
      <c r="I30" s="194"/>
      <c r="J30" s="192" t="s">
        <v>64</v>
      </c>
      <c r="K30" s="193"/>
      <c r="L30" s="194"/>
    </row>
    <row r="31" spans="1:20" ht="14.25" hidden="1">
      <c r="A31" s="195" t="s">
        <v>98</v>
      </c>
      <c r="B31" s="177" t="s">
        <v>99</v>
      </c>
      <c r="C31" s="177" t="s">
        <v>79</v>
      </c>
      <c r="D31" s="177" t="s">
        <v>55</v>
      </c>
      <c r="E31" s="177" t="s">
        <v>80</v>
      </c>
      <c r="F31" s="196" t="s">
        <v>14</v>
      </c>
      <c r="G31" s="195" t="s">
        <v>82</v>
      </c>
      <c r="H31" s="177" t="s">
        <v>84</v>
      </c>
      <c r="I31" s="196" t="s">
        <v>14</v>
      </c>
      <c r="J31" s="195" t="s">
        <v>86</v>
      </c>
      <c r="K31" s="177" t="s">
        <v>87</v>
      </c>
      <c r="L31" s="197" t="s">
        <v>74</v>
      </c>
    </row>
    <row r="32" spans="1:20" hidden="1">
      <c r="A32" s="195" t="s">
        <v>57</v>
      </c>
      <c r="B32" s="177"/>
      <c r="C32" s="177"/>
      <c r="D32" s="177"/>
      <c r="E32" s="177"/>
      <c r="F32" s="197"/>
      <c r="G32" s="195"/>
      <c r="H32" s="177"/>
      <c r="I32" s="197"/>
      <c r="J32" s="195"/>
      <c r="K32" s="177"/>
      <c r="L32" s="197"/>
    </row>
    <row r="33" spans="1:12" hidden="1">
      <c r="A33" s="195"/>
      <c r="B33" s="177"/>
      <c r="C33" s="177"/>
      <c r="D33" s="177"/>
      <c r="E33" s="177"/>
      <c r="F33" s="197"/>
      <c r="G33" s="195"/>
      <c r="H33" s="177"/>
      <c r="I33" s="197"/>
      <c r="J33" s="195"/>
      <c r="K33" s="177"/>
      <c r="L33" s="197"/>
    </row>
    <row r="34" spans="1:12" hidden="1">
      <c r="A34" s="195">
        <f>B13*$C$25</f>
        <v>1750</v>
      </c>
      <c r="B34" s="177">
        <f>B13*$C$26</f>
        <v>1400</v>
      </c>
      <c r="C34" s="177">
        <f>$C$27</f>
        <v>2450</v>
      </c>
      <c r="D34" s="177">
        <v>4000</v>
      </c>
      <c r="E34" s="177"/>
      <c r="F34" s="197">
        <f>SUM(A34:E34)</f>
        <v>9600</v>
      </c>
      <c r="G34" s="198">
        <f>G13*$H$25</f>
        <v>1422.6126976422347</v>
      </c>
      <c r="H34" s="178">
        <f>H13*$H$26</f>
        <v>136.50838888099611</v>
      </c>
      <c r="I34" s="199">
        <f>G34+H34</f>
        <v>1559.1210865232308</v>
      </c>
      <c r="J34" s="198">
        <f>G13*$K$25</f>
        <v>2380.2342735408365</v>
      </c>
      <c r="K34" s="178">
        <f>H13*$K$26</f>
        <v>416.35058608703821</v>
      </c>
      <c r="L34" s="199">
        <f>J34+K34</f>
        <v>2796.5848596278747</v>
      </c>
    </row>
    <row r="35" spans="1:12" hidden="1">
      <c r="A35" s="195">
        <f>B14*$C$25</f>
        <v>6250</v>
      </c>
      <c r="B35" s="177">
        <f>B14*$C$26</f>
        <v>5000</v>
      </c>
      <c r="C35" s="177">
        <f>$C$27</f>
        <v>2450</v>
      </c>
      <c r="D35" s="177">
        <v>4000</v>
      </c>
      <c r="E35" s="177"/>
      <c r="F35" s="197">
        <f>SUM(A35:E35)</f>
        <v>17700</v>
      </c>
      <c r="G35" s="198">
        <f>G14*$H$25</f>
        <v>1579.2918862691495</v>
      </c>
      <c r="H35" s="178">
        <f>H14*$H$26</f>
        <v>0</v>
      </c>
      <c r="I35" s="199">
        <f>G35+H35</f>
        <v>1579.2918862691495</v>
      </c>
      <c r="J35" s="198">
        <f>G14*$K$25</f>
        <v>2642.3809388548971</v>
      </c>
      <c r="K35" s="178">
        <f>H14*$K$26</f>
        <v>0</v>
      </c>
      <c r="L35" s="199">
        <f>J35+K35</f>
        <v>2642.3809388548971</v>
      </c>
    </row>
    <row r="36" spans="1:12" hidden="1">
      <c r="A36" s="200"/>
      <c r="B36" s="201"/>
      <c r="C36" s="201">
        <f>$C$27</f>
        <v>2450</v>
      </c>
      <c r="D36" s="201">
        <v>4000</v>
      </c>
      <c r="E36" s="201">
        <v>4500</v>
      </c>
      <c r="F36" s="202">
        <f>SUM(A36:E36)</f>
        <v>10950</v>
      </c>
      <c r="G36" s="203">
        <f>G15*$H$25</f>
        <v>125</v>
      </c>
      <c r="H36" s="204">
        <f>H15*$H$26</f>
        <v>1365.0838888099615</v>
      </c>
      <c r="I36" s="205">
        <f>G36+H36</f>
        <v>1490.0838888099615</v>
      </c>
      <c r="J36" s="203">
        <f>G15*$K$25</f>
        <v>209.14285714285717</v>
      </c>
      <c r="K36" s="204">
        <f>H15*$K$26</f>
        <v>4163.505860870383</v>
      </c>
      <c r="L36" s="205">
        <f>J36+K36</f>
        <v>4372.6487180132399</v>
      </c>
    </row>
    <row r="37" spans="1:12" hidden="1"/>
    <row r="38" spans="1:12" ht="14.25" hidden="1">
      <c r="A38" s="206" t="s">
        <v>100</v>
      </c>
    </row>
    <row r="39" spans="1:12" ht="14.25" hidden="1">
      <c r="A39" s="207" t="s">
        <v>83</v>
      </c>
    </row>
    <row r="40" spans="1:12" ht="14.25" hidden="1">
      <c r="A40" s="206" t="s">
        <v>85</v>
      </c>
    </row>
    <row r="41" spans="1:12" ht="15.75" hidden="1">
      <c r="A41" s="206" t="s">
        <v>88</v>
      </c>
    </row>
    <row r="42" spans="1:12" ht="15.75" hidden="1">
      <c r="A42" s="206" t="s">
        <v>89</v>
      </c>
    </row>
    <row r="43" spans="1:12" hidden="1"/>
  </sheetData>
  <sheetProtection password="CC20" sheet="1" objects="1" scenarios="1"/>
  <phoneticPr fontId="17" type="noConversion"/>
  <pageMargins left="0.71" right="0.75" top="0.5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Referentie</vt:lpstr>
      <vt:lpstr>Nieuwe</vt:lpstr>
      <vt:lpstr>Grafieken</vt:lpstr>
      <vt:lpstr>zoninstr</vt:lpstr>
      <vt:lpstr>jr_bel_duurkr</vt:lpstr>
      <vt:lpstr>Energiebalans</vt:lpstr>
      <vt:lpstr>kosten</vt:lpstr>
      <vt:lpstr>Energiebalans!Afdrukbereik</vt:lpstr>
      <vt:lpstr>Nieuwe!Afdrukbereik</vt:lpstr>
      <vt:lpstr>Referentie!Afdrukbereik</vt:lpstr>
      <vt:lpstr>Elektra_ref</vt:lpstr>
      <vt:lpstr>Hv_gas</vt:lpstr>
      <vt:lpstr>personen_ref</vt:lpstr>
    </vt:vector>
  </TitlesOfParts>
  <Company>ECN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Onbekende gebruiker</dc:creator>
  <cp:lastModifiedBy>Gebruiker</cp:lastModifiedBy>
  <cp:lastPrinted>2007-05-30T16:12:57Z</cp:lastPrinted>
  <dcterms:created xsi:type="dcterms:W3CDTF">1998-11-05T15:35:47Z</dcterms:created>
  <dcterms:modified xsi:type="dcterms:W3CDTF">2014-12-30T13:41:21Z</dcterms:modified>
</cp:coreProperties>
</file>