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autoCompressPictures="0"/>
  <mc:AlternateContent xmlns:mc="http://schemas.openxmlformats.org/markup-compatibility/2006">
    <mc:Choice Requires="x15">
      <x15ac:absPath xmlns:x15ac="http://schemas.microsoft.com/office/spreadsheetml/2010/11/ac" url="C:\Users\Luuk Siemelink\ROC Alfa-college\WG-FieldlabPractice - Documenten\Interdisciplinaire projecten\Interdisciplinair project 2.2 2019-2020\Week 6\"/>
    </mc:Choice>
  </mc:AlternateContent>
  <xr:revisionPtr revIDLastSave="50" documentId="11_A00F21D6C4F7DBBC5D2D60B68A3CEECD80D7D840" xr6:coauthVersionLast="45" xr6:coauthVersionMax="45" xr10:uidLastSave="{729838DF-B863-47B4-962F-E8AF97428DE8}"/>
  <workbookProtection workbookAlgorithmName="SHA-512" workbookHashValue="o7QNQtIcA3JsU8yMEaf+oPVhfdVZJkz3/fyJuTCkFKqJ0nMGWDR7k41lAcMVAK283JE1Bhj5gFjC03Ih4J6d0Q==" workbookSaltValue="Apx2Xs++KM4a5//kdWcEnA==" workbookSpinCount="100000" lockStructure="1"/>
  <bookViews>
    <workbookView xWindow="-120" yWindow="-120" windowWidth="29040" windowHeight="15840" activeTab="1" xr2:uid="{00000000-000D-0000-FFFF-FFFF00000000}"/>
  </bookViews>
  <sheets>
    <sheet name="Disclaimer" sheetId="34" r:id="rId1"/>
    <sheet name="Invulsheet" sheetId="23" r:id="rId2"/>
    <sheet name="Resultaten" sheetId="29" r:id="rId3"/>
    <sheet name="Resultaat_verzameling" sheetId="32" state="hidden" r:id="rId4"/>
    <sheet name="Rekensheet_0" sheetId="26" state="hidden" r:id="rId5"/>
    <sheet name="Rekensheet_1" sheetId="27" state="hidden" r:id="rId6"/>
    <sheet name="Rekensheet_2" sheetId="28" state="hidden" r:id="rId7"/>
    <sheet name="Rekensheet_3" sheetId="30" state="hidden" r:id="rId8"/>
    <sheet name="Rekensheet_4" sheetId="31" state="hidden" r:id="rId9"/>
    <sheet name="Data" sheetId="24" state="hidden" r:id="rId10"/>
    <sheet name="Weerdata" sheetId="10" state="hidden" r:id="rId11"/>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72" i="23" l="1"/>
  <c r="F214" i="27"/>
  <c r="J173" i="23"/>
  <c r="F215" i="27"/>
  <c r="J174" i="23"/>
  <c r="F216" i="27"/>
  <c r="J216" i="27"/>
  <c r="J175" i="23"/>
  <c r="F217" i="27"/>
  <c r="J33" i="24"/>
  <c r="J41" i="24"/>
  <c r="J217" i="27"/>
  <c r="J176" i="23"/>
  <c r="F218" i="27"/>
  <c r="J219" i="27"/>
  <c r="N172" i="23"/>
  <c r="F214" i="28"/>
  <c r="N173" i="23"/>
  <c r="F215" i="28"/>
  <c r="N174" i="23"/>
  <c r="F216" i="28"/>
  <c r="J216" i="28"/>
  <c r="N175" i="23"/>
  <c r="F217" i="28"/>
  <c r="J217" i="28"/>
  <c r="N176" i="23"/>
  <c r="F218" i="28"/>
  <c r="J219" i="28"/>
  <c r="R172" i="23"/>
  <c r="F214" i="30"/>
  <c r="R173" i="23"/>
  <c r="F215" i="30"/>
  <c r="R174" i="23"/>
  <c r="F216" i="30"/>
  <c r="J216" i="30"/>
  <c r="R175" i="23"/>
  <c r="F217" i="30"/>
  <c r="J217" i="30"/>
  <c r="R176" i="23"/>
  <c r="F218" i="30"/>
  <c r="J219" i="30"/>
  <c r="V172" i="23"/>
  <c r="F214" i="31"/>
  <c r="V173" i="23"/>
  <c r="F215" i="31"/>
  <c r="V174" i="23"/>
  <c r="F216" i="31"/>
  <c r="J216" i="31"/>
  <c r="V175" i="23"/>
  <c r="F217" i="31"/>
  <c r="J217" i="31"/>
  <c r="V176" i="23"/>
  <c r="F218" i="31"/>
  <c r="J219" i="31"/>
  <c r="F214" i="26"/>
  <c r="F215" i="26"/>
  <c r="F216" i="26"/>
  <c r="J216" i="26"/>
  <c r="F217" i="26"/>
  <c r="J217" i="26"/>
  <c r="F218" i="26"/>
  <c r="J219" i="26"/>
  <c r="J99" i="23"/>
  <c r="F121" i="27"/>
  <c r="J95" i="23"/>
  <c r="F114" i="27"/>
  <c r="J85" i="23"/>
  <c r="F96" i="27"/>
  <c r="J97" i="27"/>
  <c r="J84" i="23"/>
  <c r="F94" i="27"/>
  <c r="J83" i="23"/>
  <c r="F93" i="27"/>
  <c r="J95" i="27"/>
  <c r="J115" i="27"/>
  <c r="J86" i="23"/>
  <c r="F98" i="27"/>
  <c r="I116" i="27"/>
  <c r="J93" i="23"/>
  <c r="F109" i="27"/>
  <c r="J111" i="27"/>
  <c r="J92" i="23"/>
  <c r="F108" i="27"/>
  <c r="J110" i="27"/>
  <c r="I112" i="27"/>
  <c r="J88" i="23"/>
  <c r="F100" i="27"/>
  <c r="J90" i="23"/>
  <c r="F102" i="27"/>
  <c r="J104" i="27"/>
  <c r="J89" i="23"/>
  <c r="F101" i="27"/>
  <c r="J103" i="27"/>
  <c r="I105" i="27"/>
  <c r="I118" i="27"/>
  <c r="I121" i="27"/>
  <c r="J102" i="23"/>
  <c r="F124" i="27"/>
  <c r="I124" i="27"/>
  <c r="J103" i="23"/>
  <c r="F125" i="27"/>
  <c r="I125" i="27"/>
  <c r="J101" i="23"/>
  <c r="F123" i="27"/>
  <c r="I126" i="27"/>
  <c r="N99" i="23"/>
  <c r="F121" i="28"/>
  <c r="N95" i="23"/>
  <c r="F114" i="28"/>
  <c r="N85" i="23"/>
  <c r="F96" i="28"/>
  <c r="J97" i="28"/>
  <c r="N84" i="23"/>
  <c r="F94" i="28"/>
  <c r="N83" i="23"/>
  <c r="F93" i="28"/>
  <c r="J95" i="28"/>
  <c r="J115" i="28"/>
  <c r="N86" i="23"/>
  <c r="F98" i="28"/>
  <c r="I116" i="28"/>
  <c r="N93" i="23"/>
  <c r="F109" i="28"/>
  <c r="J111" i="28"/>
  <c r="N92" i="23"/>
  <c r="F108" i="28"/>
  <c r="J110" i="28"/>
  <c r="I112" i="28"/>
  <c r="N88" i="23"/>
  <c r="F100" i="28"/>
  <c r="N90" i="23"/>
  <c r="F102" i="28"/>
  <c r="J104" i="28"/>
  <c r="N89" i="23"/>
  <c r="F101" i="28"/>
  <c r="J103" i="28"/>
  <c r="I105" i="28"/>
  <c r="I118" i="28"/>
  <c r="I121" i="28"/>
  <c r="N102" i="23"/>
  <c r="F124" i="28"/>
  <c r="I124" i="28"/>
  <c r="N103" i="23"/>
  <c r="F125" i="28"/>
  <c r="I125" i="28"/>
  <c r="N101" i="23"/>
  <c r="F123" i="28"/>
  <c r="I126" i="28"/>
  <c r="R99" i="23"/>
  <c r="F121" i="30"/>
  <c r="R95" i="23"/>
  <c r="F114" i="30"/>
  <c r="R85" i="23"/>
  <c r="F96" i="30"/>
  <c r="J97" i="30"/>
  <c r="R84" i="23"/>
  <c r="F94" i="30"/>
  <c r="R83" i="23"/>
  <c r="F93" i="30"/>
  <c r="J95" i="30"/>
  <c r="J115" i="30"/>
  <c r="R86" i="23"/>
  <c r="F98" i="30"/>
  <c r="I116" i="30"/>
  <c r="R93" i="23"/>
  <c r="F109" i="30"/>
  <c r="J111" i="30"/>
  <c r="R92" i="23"/>
  <c r="F108" i="30"/>
  <c r="J110" i="30"/>
  <c r="I112" i="30"/>
  <c r="R88" i="23"/>
  <c r="F100" i="30"/>
  <c r="R90" i="23"/>
  <c r="F102" i="30"/>
  <c r="J104" i="30"/>
  <c r="R89" i="23"/>
  <c r="F101" i="30"/>
  <c r="J103" i="30"/>
  <c r="I105" i="30"/>
  <c r="I118" i="30"/>
  <c r="I121" i="30"/>
  <c r="R102" i="23"/>
  <c r="F124" i="30"/>
  <c r="I124" i="30"/>
  <c r="R103" i="23"/>
  <c r="F125" i="30"/>
  <c r="I125" i="30"/>
  <c r="R101" i="23"/>
  <c r="F123" i="30"/>
  <c r="I126" i="30"/>
  <c r="V99" i="23"/>
  <c r="F121" i="31"/>
  <c r="V95" i="23"/>
  <c r="F114" i="31"/>
  <c r="V85" i="23"/>
  <c r="F96" i="31"/>
  <c r="J97" i="31"/>
  <c r="V84" i="23"/>
  <c r="F94" i="31"/>
  <c r="V83" i="23"/>
  <c r="F93" i="31"/>
  <c r="J95" i="31"/>
  <c r="J115" i="31"/>
  <c r="V86" i="23"/>
  <c r="F98" i="31"/>
  <c r="I116" i="31"/>
  <c r="V93" i="23"/>
  <c r="F109" i="31"/>
  <c r="J111" i="31"/>
  <c r="V92" i="23"/>
  <c r="F108" i="31"/>
  <c r="J110" i="31"/>
  <c r="I112" i="31"/>
  <c r="V88" i="23"/>
  <c r="F100" i="31"/>
  <c r="V90" i="23"/>
  <c r="F102" i="31"/>
  <c r="J104" i="31"/>
  <c r="V89" i="23"/>
  <c r="F101" i="31"/>
  <c r="J103" i="31"/>
  <c r="I105" i="31"/>
  <c r="I118" i="31"/>
  <c r="I121" i="31"/>
  <c r="V102" i="23"/>
  <c r="F124" i="31"/>
  <c r="I124" i="31"/>
  <c r="V103" i="23"/>
  <c r="F125" i="31"/>
  <c r="I125" i="31"/>
  <c r="V101" i="23"/>
  <c r="F123" i="31"/>
  <c r="I126" i="31"/>
  <c r="F121" i="26"/>
  <c r="F114" i="26"/>
  <c r="F96" i="26"/>
  <c r="J97" i="26"/>
  <c r="F94" i="26"/>
  <c r="F93" i="26"/>
  <c r="J95" i="26"/>
  <c r="J115" i="26"/>
  <c r="F98" i="26"/>
  <c r="I116" i="26"/>
  <c r="F109" i="26"/>
  <c r="J111" i="26"/>
  <c r="F108" i="26"/>
  <c r="J110" i="26"/>
  <c r="I112" i="26"/>
  <c r="F100" i="26"/>
  <c r="F102" i="26"/>
  <c r="J104" i="26"/>
  <c r="F101" i="26"/>
  <c r="J103" i="26"/>
  <c r="I105" i="26"/>
  <c r="I118" i="26"/>
  <c r="I121" i="26"/>
  <c r="F124" i="26"/>
  <c r="I124" i="26"/>
  <c r="F125" i="26"/>
  <c r="I125" i="26"/>
  <c r="F123" i="26"/>
  <c r="I126" i="26"/>
  <c r="J73" i="23"/>
  <c r="F79" i="27"/>
  <c r="J88" i="27"/>
  <c r="N73" i="23"/>
  <c r="F79" i="28"/>
  <c r="J88" i="28"/>
  <c r="R73" i="23"/>
  <c r="F79" i="30"/>
  <c r="J88" i="30"/>
  <c r="V73" i="23"/>
  <c r="F79" i="31"/>
  <c r="J88" i="31"/>
  <c r="F79" i="26"/>
  <c r="J88" i="26"/>
  <c r="J195" i="31"/>
  <c r="J22" i="23"/>
  <c r="N22" i="23"/>
  <c r="R22" i="23"/>
  <c r="V22" i="23"/>
  <c r="F25" i="31"/>
  <c r="J23" i="23"/>
  <c r="N23" i="23"/>
  <c r="R23" i="23"/>
  <c r="V23" i="23"/>
  <c r="F26" i="31"/>
  <c r="J192" i="31"/>
  <c r="I180" i="31"/>
  <c r="V146" i="23"/>
  <c r="F180" i="31"/>
  <c r="J180" i="31"/>
  <c r="K180" i="31"/>
  <c r="I182" i="31"/>
  <c r="V148" i="23"/>
  <c r="F182" i="31"/>
  <c r="J182" i="31"/>
  <c r="K182" i="31"/>
  <c r="V152" i="23"/>
  <c r="F183" i="31"/>
  <c r="J183" i="31"/>
  <c r="K183" i="31"/>
  <c r="V150" i="23"/>
  <c r="F184" i="31"/>
  <c r="K184" i="31"/>
  <c r="V156" i="23"/>
  <c r="V157" i="23"/>
  <c r="V158" i="23"/>
  <c r="V159" i="23"/>
  <c r="V160" i="23"/>
  <c r="V161" i="23"/>
  <c r="V162" i="23"/>
  <c r="V163" i="23"/>
  <c r="V164" i="23"/>
  <c r="W166" i="23"/>
  <c r="F185" i="31"/>
  <c r="K185" i="31"/>
  <c r="K187" i="31"/>
  <c r="J193" i="31"/>
  <c r="J197" i="31"/>
  <c r="W228" i="31"/>
  <c r="I132" i="23"/>
  <c r="M132" i="23"/>
  <c r="Q132" i="23"/>
  <c r="U132" i="23"/>
  <c r="E159" i="31"/>
  <c r="J132" i="23"/>
  <c r="N132" i="23"/>
  <c r="R132" i="23"/>
  <c r="V132" i="23"/>
  <c r="F159" i="31"/>
  <c r="K132" i="23"/>
  <c r="O132" i="23"/>
  <c r="S132" i="23"/>
  <c r="W132" i="23"/>
  <c r="G159" i="31"/>
  <c r="I159" i="31"/>
  <c r="R228" i="31"/>
  <c r="I133" i="23"/>
  <c r="M133" i="23"/>
  <c r="Q133" i="23"/>
  <c r="U133" i="23"/>
  <c r="E160" i="31"/>
  <c r="J133" i="23"/>
  <c r="N133" i="23"/>
  <c r="R133" i="23"/>
  <c r="V133" i="23"/>
  <c r="F160" i="31"/>
  <c r="K133" i="23"/>
  <c r="O133" i="23"/>
  <c r="S133" i="23"/>
  <c r="W133" i="23"/>
  <c r="G160" i="31"/>
  <c r="I160" i="31"/>
  <c r="S228" i="31"/>
  <c r="I134" i="23"/>
  <c r="M134" i="23"/>
  <c r="Q134" i="23"/>
  <c r="U134" i="23"/>
  <c r="E161" i="31"/>
  <c r="J134" i="23"/>
  <c r="N134" i="23"/>
  <c r="R134" i="23"/>
  <c r="V134" i="23"/>
  <c r="F161" i="31"/>
  <c r="T228" i="31"/>
  <c r="I135" i="23"/>
  <c r="M135" i="23"/>
  <c r="Q135" i="23"/>
  <c r="U135" i="23"/>
  <c r="E162" i="31"/>
  <c r="J135" i="23"/>
  <c r="N135" i="23"/>
  <c r="R135" i="23"/>
  <c r="V135" i="23"/>
  <c r="F162" i="31"/>
  <c r="K135" i="23"/>
  <c r="O135" i="23"/>
  <c r="S135" i="23"/>
  <c r="W135" i="23"/>
  <c r="G162" i="31"/>
  <c r="I162" i="31"/>
  <c r="U228" i="31"/>
  <c r="V228" i="31"/>
  <c r="X228" i="31"/>
  <c r="I34" i="23"/>
  <c r="M34" i="23"/>
  <c r="Q34" i="23"/>
  <c r="U34" i="23"/>
  <c r="E34" i="31"/>
  <c r="J34" i="23"/>
  <c r="N34" i="23"/>
  <c r="R34" i="23"/>
  <c r="V34" i="23"/>
  <c r="F34" i="31"/>
  <c r="I34" i="31"/>
  <c r="K34" i="31"/>
  <c r="I35" i="23"/>
  <c r="M35" i="23"/>
  <c r="Q35" i="23"/>
  <c r="U35" i="23"/>
  <c r="E35" i="31"/>
  <c r="J35" i="23"/>
  <c r="N35" i="23"/>
  <c r="R35" i="23"/>
  <c r="V35" i="23"/>
  <c r="F35" i="31"/>
  <c r="I35" i="31"/>
  <c r="K35" i="31"/>
  <c r="I36" i="23"/>
  <c r="M36" i="23"/>
  <c r="Q36" i="23"/>
  <c r="U36" i="23"/>
  <c r="E36" i="31"/>
  <c r="J36" i="23"/>
  <c r="N36" i="23"/>
  <c r="R36" i="23"/>
  <c r="V36" i="23"/>
  <c r="F36" i="31"/>
  <c r="I36" i="31"/>
  <c r="K36" i="31"/>
  <c r="I38" i="23"/>
  <c r="M38" i="23"/>
  <c r="Q38" i="23"/>
  <c r="U38" i="23"/>
  <c r="E38" i="31"/>
  <c r="J38" i="23"/>
  <c r="N38" i="23"/>
  <c r="R38" i="23"/>
  <c r="V38" i="23"/>
  <c r="F38" i="31"/>
  <c r="I38" i="31"/>
  <c r="K38" i="31"/>
  <c r="I39" i="23"/>
  <c r="M39" i="23"/>
  <c r="Q39" i="23"/>
  <c r="U39" i="23"/>
  <c r="E39" i="31"/>
  <c r="J39" i="23"/>
  <c r="N39" i="23"/>
  <c r="R39" i="23"/>
  <c r="V39" i="23"/>
  <c r="F39" i="31"/>
  <c r="I39" i="31"/>
  <c r="K39" i="31"/>
  <c r="I40" i="23"/>
  <c r="M40" i="23"/>
  <c r="Q40" i="23"/>
  <c r="U40" i="23"/>
  <c r="E40" i="31"/>
  <c r="J40" i="23"/>
  <c r="N40" i="23"/>
  <c r="R40" i="23"/>
  <c r="V40" i="23"/>
  <c r="F40" i="31"/>
  <c r="I40" i="31"/>
  <c r="K40" i="31"/>
  <c r="I41" i="23"/>
  <c r="M41" i="23"/>
  <c r="Q41" i="23"/>
  <c r="U41" i="23"/>
  <c r="E41" i="31"/>
  <c r="J41" i="23"/>
  <c r="N41" i="23"/>
  <c r="R41" i="23"/>
  <c r="V41" i="23"/>
  <c r="F41" i="31"/>
  <c r="I41" i="31"/>
  <c r="K41" i="31"/>
  <c r="I43" i="23"/>
  <c r="M43" i="23"/>
  <c r="Q43" i="23"/>
  <c r="U43" i="23"/>
  <c r="E43" i="31"/>
  <c r="J43" i="23"/>
  <c r="N43" i="23"/>
  <c r="R43" i="23"/>
  <c r="V43" i="23"/>
  <c r="F43" i="31"/>
  <c r="I43" i="31"/>
  <c r="K43" i="31"/>
  <c r="I44" i="23"/>
  <c r="M44" i="23"/>
  <c r="Q44" i="23"/>
  <c r="U44" i="23"/>
  <c r="E44" i="31"/>
  <c r="J44" i="23"/>
  <c r="N44" i="23"/>
  <c r="R44" i="23"/>
  <c r="V44" i="23"/>
  <c r="F44" i="31"/>
  <c r="I44" i="31"/>
  <c r="K44" i="31"/>
  <c r="I45" i="23"/>
  <c r="M45" i="23"/>
  <c r="Q45" i="23"/>
  <c r="U45" i="23"/>
  <c r="E45" i="31"/>
  <c r="J45" i="23"/>
  <c r="N45" i="23"/>
  <c r="R45" i="23"/>
  <c r="V45" i="23"/>
  <c r="F45" i="31"/>
  <c r="I45" i="31"/>
  <c r="K45" i="31"/>
  <c r="I46" i="23"/>
  <c r="M46" i="23"/>
  <c r="Q46" i="23"/>
  <c r="U46" i="23"/>
  <c r="E46" i="31"/>
  <c r="J46" i="23"/>
  <c r="N46" i="23"/>
  <c r="R46" i="23"/>
  <c r="V46" i="23"/>
  <c r="F46" i="31"/>
  <c r="I46" i="31"/>
  <c r="K46" i="31"/>
  <c r="I48" i="23"/>
  <c r="M48" i="23"/>
  <c r="Q48" i="23"/>
  <c r="U48" i="23"/>
  <c r="E48" i="31"/>
  <c r="J48" i="23"/>
  <c r="N48" i="23"/>
  <c r="R48" i="23"/>
  <c r="V48" i="23"/>
  <c r="F48" i="31"/>
  <c r="I48" i="31"/>
  <c r="K48" i="31"/>
  <c r="I49" i="23"/>
  <c r="M49" i="23"/>
  <c r="Q49" i="23"/>
  <c r="U49" i="23"/>
  <c r="E49" i="31"/>
  <c r="J49" i="23"/>
  <c r="N49" i="23"/>
  <c r="R49" i="23"/>
  <c r="V49" i="23"/>
  <c r="F49" i="31"/>
  <c r="I49" i="31"/>
  <c r="K49" i="31"/>
  <c r="I50" i="23"/>
  <c r="M50" i="23"/>
  <c r="Q50" i="23"/>
  <c r="U50" i="23"/>
  <c r="E50" i="31"/>
  <c r="J50" i="23"/>
  <c r="N50" i="23"/>
  <c r="R50" i="23"/>
  <c r="V50" i="23"/>
  <c r="F50" i="31"/>
  <c r="I50" i="31"/>
  <c r="K50" i="31"/>
  <c r="I52" i="23"/>
  <c r="M52" i="23"/>
  <c r="Q52" i="23"/>
  <c r="U52" i="23"/>
  <c r="E52" i="31"/>
  <c r="J52" i="23"/>
  <c r="N52" i="23"/>
  <c r="R52" i="23"/>
  <c r="V52" i="23"/>
  <c r="F52" i="31"/>
  <c r="I52" i="31"/>
  <c r="K52" i="31"/>
  <c r="I53" i="23"/>
  <c r="M53" i="23"/>
  <c r="Q53" i="23"/>
  <c r="U53" i="23"/>
  <c r="E53" i="31"/>
  <c r="J53" i="23"/>
  <c r="N53" i="23"/>
  <c r="R53" i="23"/>
  <c r="V53" i="23"/>
  <c r="F53" i="31"/>
  <c r="I53" i="31"/>
  <c r="K53" i="31"/>
  <c r="I54" i="23"/>
  <c r="M54" i="23"/>
  <c r="Q54" i="23"/>
  <c r="U54" i="23"/>
  <c r="E54" i="31"/>
  <c r="J54" i="23"/>
  <c r="N54" i="23"/>
  <c r="R54" i="23"/>
  <c r="V54" i="23"/>
  <c r="F54" i="31"/>
  <c r="I54" i="31"/>
  <c r="K54" i="31"/>
  <c r="I55" i="23"/>
  <c r="M55" i="23"/>
  <c r="Q55" i="23"/>
  <c r="U55" i="23"/>
  <c r="E55" i="31"/>
  <c r="J55" i="23"/>
  <c r="N55" i="23"/>
  <c r="R55" i="23"/>
  <c r="V55" i="23"/>
  <c r="F55" i="31"/>
  <c r="I55" i="31"/>
  <c r="K55" i="31"/>
  <c r="I56" i="23"/>
  <c r="M56" i="23"/>
  <c r="Q56" i="23"/>
  <c r="U56" i="23"/>
  <c r="E56" i="31"/>
  <c r="K56" i="23"/>
  <c r="O56" i="23"/>
  <c r="S56" i="23"/>
  <c r="W56" i="23"/>
  <c r="G56" i="31"/>
  <c r="I56" i="31"/>
  <c r="K56" i="31"/>
  <c r="I57" i="23"/>
  <c r="M57" i="23"/>
  <c r="Q57" i="23"/>
  <c r="U57" i="23"/>
  <c r="E57" i="31"/>
  <c r="K57" i="23"/>
  <c r="O57" i="23"/>
  <c r="S57" i="23"/>
  <c r="W57" i="23"/>
  <c r="G57" i="31"/>
  <c r="I57" i="31"/>
  <c r="K57" i="31"/>
  <c r="I58" i="23"/>
  <c r="M58" i="23"/>
  <c r="Q58" i="23"/>
  <c r="U58" i="23"/>
  <c r="E58" i="31"/>
  <c r="K58" i="23"/>
  <c r="O58" i="23"/>
  <c r="S58" i="23"/>
  <c r="W58" i="23"/>
  <c r="G58" i="31"/>
  <c r="I58" i="31"/>
  <c r="K58" i="31"/>
  <c r="I59" i="23"/>
  <c r="M59" i="23"/>
  <c r="Q59" i="23"/>
  <c r="U59" i="23"/>
  <c r="E59" i="31"/>
  <c r="K59" i="23"/>
  <c r="O59" i="23"/>
  <c r="S59" i="23"/>
  <c r="W59" i="23"/>
  <c r="G59" i="31"/>
  <c r="I59" i="31"/>
  <c r="K59" i="31"/>
  <c r="I61" i="23"/>
  <c r="M61" i="23"/>
  <c r="Q61" i="23"/>
  <c r="U61" i="23"/>
  <c r="E61" i="31"/>
  <c r="K61" i="23"/>
  <c r="O61" i="23"/>
  <c r="S61" i="23"/>
  <c r="W61" i="23"/>
  <c r="G61" i="31"/>
  <c r="I61" i="31"/>
  <c r="K61" i="31"/>
  <c r="I62" i="23"/>
  <c r="M62" i="23"/>
  <c r="Q62" i="23"/>
  <c r="U62" i="23"/>
  <c r="E62" i="31"/>
  <c r="K62" i="23"/>
  <c r="O62" i="23"/>
  <c r="S62" i="23"/>
  <c r="W62" i="23"/>
  <c r="G62" i="31"/>
  <c r="I62" i="31"/>
  <c r="K62" i="31"/>
  <c r="I63" i="23"/>
  <c r="M63" i="23"/>
  <c r="Q63" i="23"/>
  <c r="U63" i="23"/>
  <c r="E63" i="31"/>
  <c r="K63" i="23"/>
  <c r="O63" i="23"/>
  <c r="S63" i="23"/>
  <c r="W63" i="23"/>
  <c r="G63" i="31"/>
  <c r="I63" i="31"/>
  <c r="K63" i="31"/>
  <c r="I64" i="23"/>
  <c r="M64" i="23"/>
  <c r="Q64" i="23"/>
  <c r="U64" i="23"/>
  <c r="E64" i="31"/>
  <c r="K64" i="23"/>
  <c r="O64" i="23"/>
  <c r="S64" i="23"/>
  <c r="W64" i="23"/>
  <c r="G64" i="31"/>
  <c r="I64" i="31"/>
  <c r="K64" i="31"/>
  <c r="I65" i="23"/>
  <c r="M65" i="23"/>
  <c r="Q65" i="23"/>
  <c r="U65" i="23"/>
  <c r="E65" i="31"/>
  <c r="K65" i="23"/>
  <c r="O65" i="23"/>
  <c r="S65" i="23"/>
  <c r="W65" i="23"/>
  <c r="G65" i="31"/>
  <c r="I65" i="31"/>
  <c r="K65" i="31"/>
  <c r="K67" i="31"/>
  <c r="J18" i="23"/>
  <c r="N18" i="23"/>
  <c r="R18" i="23"/>
  <c r="V18" i="23"/>
  <c r="F20" i="31"/>
  <c r="J20" i="23"/>
  <c r="N20" i="23"/>
  <c r="R20" i="23"/>
  <c r="V20" i="23"/>
  <c r="F22" i="31"/>
  <c r="J19" i="23"/>
  <c r="N19" i="23"/>
  <c r="R19" i="23"/>
  <c r="V19" i="23"/>
  <c r="F21" i="31"/>
  <c r="J23" i="31"/>
  <c r="AC228" i="31"/>
  <c r="J72" i="23"/>
  <c r="N72" i="23"/>
  <c r="R72" i="23"/>
  <c r="V72" i="23"/>
  <c r="F78" i="31"/>
  <c r="J15" i="23"/>
  <c r="N15" i="23"/>
  <c r="R15" i="23"/>
  <c r="V15" i="23"/>
  <c r="F16" i="31"/>
  <c r="J74" i="23"/>
  <c r="N74" i="23"/>
  <c r="R74" i="23"/>
  <c r="V74" i="23"/>
  <c r="F80" i="31"/>
  <c r="J82" i="31"/>
  <c r="J75" i="23"/>
  <c r="N75" i="23"/>
  <c r="R75" i="23"/>
  <c r="V75" i="23"/>
  <c r="F81" i="31"/>
  <c r="J83" i="31"/>
  <c r="J70" i="23"/>
  <c r="N70" i="23"/>
  <c r="R70" i="23"/>
  <c r="V70" i="23"/>
  <c r="F73" i="31"/>
  <c r="J16" i="23"/>
  <c r="N16" i="23"/>
  <c r="R16" i="23"/>
  <c r="V16" i="23"/>
  <c r="F15" i="31"/>
  <c r="J17" i="31"/>
  <c r="J74" i="31"/>
  <c r="J75" i="31"/>
  <c r="J76" i="31"/>
  <c r="J85" i="31"/>
  <c r="AD228" i="31"/>
  <c r="AE228" i="31"/>
  <c r="AG228" i="31"/>
  <c r="AH228" i="31"/>
  <c r="Z228" i="31"/>
  <c r="AJ228" i="31"/>
  <c r="W229" i="31"/>
  <c r="R229" i="31"/>
  <c r="S229" i="31"/>
  <c r="T229" i="31"/>
  <c r="U229" i="31"/>
  <c r="V229" i="31"/>
  <c r="X229" i="31"/>
  <c r="AC229" i="31"/>
  <c r="AD229" i="31"/>
  <c r="AE229" i="31"/>
  <c r="AG229" i="31"/>
  <c r="AH229" i="31"/>
  <c r="Z229" i="31"/>
  <c r="AJ229" i="31"/>
  <c r="W230" i="31"/>
  <c r="R230" i="31"/>
  <c r="S230" i="31"/>
  <c r="T230" i="31"/>
  <c r="U230" i="31"/>
  <c r="V230" i="31"/>
  <c r="X230" i="31"/>
  <c r="AC230" i="31"/>
  <c r="AD230" i="31"/>
  <c r="AE230" i="31"/>
  <c r="AG230" i="31"/>
  <c r="AH230" i="31"/>
  <c r="Z230" i="31"/>
  <c r="AJ230" i="31"/>
  <c r="W231" i="31"/>
  <c r="R231" i="31"/>
  <c r="S231" i="31"/>
  <c r="T231" i="31"/>
  <c r="U231" i="31"/>
  <c r="V231" i="31"/>
  <c r="X231" i="31"/>
  <c r="AC231" i="31"/>
  <c r="AD231" i="31"/>
  <c r="AE231" i="31"/>
  <c r="AG231" i="31"/>
  <c r="AH231" i="31"/>
  <c r="Z231" i="31"/>
  <c r="AJ231" i="31"/>
  <c r="W232" i="31"/>
  <c r="R232" i="31"/>
  <c r="S232" i="31"/>
  <c r="T232" i="31"/>
  <c r="U232" i="31"/>
  <c r="V232" i="31"/>
  <c r="X232" i="31"/>
  <c r="AC232" i="31"/>
  <c r="AD232" i="31"/>
  <c r="AE232" i="31"/>
  <c r="AG232" i="31"/>
  <c r="AH232" i="31"/>
  <c r="Z232" i="31"/>
  <c r="AJ232" i="31"/>
  <c r="W233" i="31"/>
  <c r="R233" i="31"/>
  <c r="S233" i="31"/>
  <c r="T233" i="31"/>
  <c r="U233" i="31"/>
  <c r="V233" i="31"/>
  <c r="X233" i="31"/>
  <c r="AC233" i="31"/>
  <c r="AD233" i="31"/>
  <c r="AE233" i="31"/>
  <c r="AG233" i="31"/>
  <c r="AH233" i="31"/>
  <c r="Z233" i="31"/>
  <c r="AJ233" i="31"/>
  <c r="W234" i="31"/>
  <c r="R234" i="31"/>
  <c r="S234" i="31"/>
  <c r="T234" i="31"/>
  <c r="U234" i="31"/>
  <c r="V234" i="31"/>
  <c r="X234" i="31"/>
  <c r="AC234" i="31"/>
  <c r="AD234" i="31"/>
  <c r="AE234" i="31"/>
  <c r="AG234" i="31"/>
  <c r="AH234" i="31"/>
  <c r="Z234" i="31"/>
  <c r="AJ234" i="31"/>
  <c r="W235" i="31"/>
  <c r="R235" i="31"/>
  <c r="S235" i="31"/>
  <c r="T235" i="31"/>
  <c r="U235" i="31"/>
  <c r="V235" i="31"/>
  <c r="X235" i="31"/>
  <c r="AC235" i="31"/>
  <c r="AD235" i="31"/>
  <c r="AE235" i="31"/>
  <c r="AG235" i="31"/>
  <c r="AH235" i="31"/>
  <c r="Z235" i="31"/>
  <c r="AJ235" i="31"/>
  <c r="W236" i="31"/>
  <c r="R236" i="31"/>
  <c r="S236" i="31"/>
  <c r="T236" i="31"/>
  <c r="U236" i="31"/>
  <c r="V236" i="31"/>
  <c r="X236" i="31"/>
  <c r="AC236" i="31"/>
  <c r="AD236" i="31"/>
  <c r="AE236" i="31"/>
  <c r="AG236" i="31"/>
  <c r="AH236" i="31"/>
  <c r="Z236" i="31"/>
  <c r="AJ236" i="31"/>
  <c r="W237" i="31"/>
  <c r="R237" i="31"/>
  <c r="S237" i="31"/>
  <c r="T237" i="31"/>
  <c r="U237" i="31"/>
  <c r="V237" i="31"/>
  <c r="X237" i="31"/>
  <c r="AC237" i="31"/>
  <c r="AD237" i="31"/>
  <c r="AE237" i="31"/>
  <c r="AG237" i="31"/>
  <c r="AH237" i="31"/>
  <c r="Z237" i="31"/>
  <c r="AJ237" i="31"/>
  <c r="W238" i="31"/>
  <c r="R238" i="31"/>
  <c r="S238" i="31"/>
  <c r="T238" i="31"/>
  <c r="U238" i="31"/>
  <c r="V238" i="31"/>
  <c r="X238" i="31"/>
  <c r="AC238" i="31"/>
  <c r="AD238" i="31"/>
  <c r="AE238" i="31"/>
  <c r="AG238" i="31"/>
  <c r="AH238" i="31"/>
  <c r="Z238" i="31"/>
  <c r="AJ238" i="31"/>
  <c r="W239" i="31"/>
  <c r="R239" i="31"/>
  <c r="S239" i="31"/>
  <c r="T239" i="31"/>
  <c r="U239" i="31"/>
  <c r="V239" i="31"/>
  <c r="X239" i="31"/>
  <c r="AC239" i="31"/>
  <c r="AD239" i="31"/>
  <c r="AE239" i="31"/>
  <c r="AG239" i="31"/>
  <c r="AH239" i="31"/>
  <c r="Z239" i="31"/>
  <c r="AJ239" i="31"/>
  <c r="AD241" i="31"/>
  <c r="J203" i="31"/>
  <c r="AC241" i="31"/>
  <c r="J204" i="31"/>
  <c r="Z241" i="31"/>
  <c r="K164" i="31"/>
  <c r="J205" i="31"/>
  <c r="AA241" i="31"/>
  <c r="J198" i="31"/>
  <c r="J206" i="31"/>
  <c r="J208" i="31"/>
  <c r="H58" i="32"/>
  <c r="F15" i="26"/>
  <c r="Q58" i="32"/>
  <c r="J195" i="30"/>
  <c r="F25" i="30"/>
  <c r="F26" i="30"/>
  <c r="J192" i="30"/>
  <c r="I180" i="30"/>
  <c r="J146" i="23"/>
  <c r="N146" i="23"/>
  <c r="R146" i="23"/>
  <c r="F180" i="30"/>
  <c r="J180" i="30"/>
  <c r="K180" i="30"/>
  <c r="I182" i="30"/>
  <c r="J148" i="23"/>
  <c r="N148" i="23"/>
  <c r="R148" i="23"/>
  <c r="F182" i="30"/>
  <c r="J182" i="30"/>
  <c r="K182" i="30"/>
  <c r="J152" i="23"/>
  <c r="N152" i="23"/>
  <c r="R152" i="23"/>
  <c r="F183" i="30"/>
  <c r="J183" i="30"/>
  <c r="K183" i="30"/>
  <c r="J150" i="23"/>
  <c r="N150" i="23"/>
  <c r="R150" i="23"/>
  <c r="F184" i="30"/>
  <c r="K184" i="30"/>
  <c r="J156" i="23"/>
  <c r="N156" i="23"/>
  <c r="R156" i="23"/>
  <c r="J157" i="23"/>
  <c r="N157" i="23"/>
  <c r="R157" i="23"/>
  <c r="J158" i="23"/>
  <c r="N158" i="23"/>
  <c r="R158" i="23"/>
  <c r="J159" i="23"/>
  <c r="N159" i="23"/>
  <c r="R159" i="23"/>
  <c r="J160" i="23"/>
  <c r="N160" i="23"/>
  <c r="R160" i="23"/>
  <c r="J161" i="23"/>
  <c r="N161" i="23"/>
  <c r="R161" i="23"/>
  <c r="J162" i="23"/>
  <c r="N162" i="23"/>
  <c r="R162" i="23"/>
  <c r="J163" i="23"/>
  <c r="N163" i="23"/>
  <c r="R163" i="23"/>
  <c r="J164" i="23"/>
  <c r="N164" i="23"/>
  <c r="R164" i="23"/>
  <c r="S166" i="23"/>
  <c r="F185" i="30"/>
  <c r="K185" i="30"/>
  <c r="K187" i="30"/>
  <c r="J193" i="30"/>
  <c r="J197" i="30"/>
  <c r="W228" i="30"/>
  <c r="E159" i="30"/>
  <c r="F159" i="30"/>
  <c r="G159" i="30"/>
  <c r="I159" i="30"/>
  <c r="R228" i="30"/>
  <c r="E160" i="30"/>
  <c r="F160" i="30"/>
  <c r="G160" i="30"/>
  <c r="I160" i="30"/>
  <c r="S228" i="30"/>
  <c r="E161" i="30"/>
  <c r="F161" i="30"/>
  <c r="T228" i="30"/>
  <c r="E162" i="30"/>
  <c r="F162" i="30"/>
  <c r="G162" i="30"/>
  <c r="I162" i="30"/>
  <c r="U228" i="30"/>
  <c r="V228" i="30"/>
  <c r="X228" i="30"/>
  <c r="E34" i="30"/>
  <c r="F34" i="30"/>
  <c r="I34" i="30"/>
  <c r="K34" i="30"/>
  <c r="E35" i="30"/>
  <c r="F35" i="30"/>
  <c r="I35" i="30"/>
  <c r="K35" i="30"/>
  <c r="E36" i="30"/>
  <c r="F36" i="30"/>
  <c r="I36" i="30"/>
  <c r="K36" i="30"/>
  <c r="E38" i="30"/>
  <c r="F38" i="30"/>
  <c r="I38" i="30"/>
  <c r="K38" i="30"/>
  <c r="E39" i="30"/>
  <c r="F39" i="30"/>
  <c r="I39" i="30"/>
  <c r="K39" i="30"/>
  <c r="E40" i="30"/>
  <c r="F40" i="30"/>
  <c r="I40" i="30"/>
  <c r="K40" i="30"/>
  <c r="E41" i="30"/>
  <c r="F41" i="30"/>
  <c r="I41" i="30"/>
  <c r="K41" i="30"/>
  <c r="E43" i="30"/>
  <c r="F43" i="30"/>
  <c r="I43" i="30"/>
  <c r="K43" i="30"/>
  <c r="E44" i="30"/>
  <c r="F44" i="30"/>
  <c r="I44" i="30"/>
  <c r="K44" i="30"/>
  <c r="E45" i="30"/>
  <c r="F45" i="30"/>
  <c r="I45" i="30"/>
  <c r="K45" i="30"/>
  <c r="E46" i="30"/>
  <c r="F46" i="30"/>
  <c r="I46" i="30"/>
  <c r="K46" i="30"/>
  <c r="E48" i="30"/>
  <c r="F48" i="30"/>
  <c r="I48" i="30"/>
  <c r="K48" i="30"/>
  <c r="E49" i="30"/>
  <c r="F49" i="30"/>
  <c r="I49" i="30"/>
  <c r="K49" i="30"/>
  <c r="E50" i="30"/>
  <c r="F50" i="30"/>
  <c r="I50" i="30"/>
  <c r="K50" i="30"/>
  <c r="E52" i="30"/>
  <c r="F52" i="30"/>
  <c r="I52" i="30"/>
  <c r="K52" i="30"/>
  <c r="E53" i="30"/>
  <c r="F53" i="30"/>
  <c r="I53" i="30"/>
  <c r="K53" i="30"/>
  <c r="E54" i="30"/>
  <c r="F54" i="30"/>
  <c r="I54" i="30"/>
  <c r="K54" i="30"/>
  <c r="E55" i="30"/>
  <c r="F55" i="30"/>
  <c r="I55" i="30"/>
  <c r="K55" i="30"/>
  <c r="E56" i="30"/>
  <c r="G56" i="30"/>
  <c r="I56" i="30"/>
  <c r="K56" i="30"/>
  <c r="E57" i="30"/>
  <c r="G57" i="30"/>
  <c r="I57" i="30"/>
  <c r="K57" i="30"/>
  <c r="E58" i="30"/>
  <c r="G58" i="30"/>
  <c r="I58" i="30"/>
  <c r="K58" i="30"/>
  <c r="E59" i="30"/>
  <c r="G59" i="30"/>
  <c r="I59" i="30"/>
  <c r="K59" i="30"/>
  <c r="E61" i="30"/>
  <c r="G61" i="30"/>
  <c r="I61" i="30"/>
  <c r="K61" i="30"/>
  <c r="E62" i="30"/>
  <c r="G62" i="30"/>
  <c r="I62" i="30"/>
  <c r="K62" i="30"/>
  <c r="E63" i="30"/>
  <c r="G63" i="30"/>
  <c r="I63" i="30"/>
  <c r="K63" i="30"/>
  <c r="E64" i="30"/>
  <c r="G64" i="30"/>
  <c r="I64" i="30"/>
  <c r="K64" i="30"/>
  <c r="E65" i="30"/>
  <c r="G65" i="30"/>
  <c r="I65" i="30"/>
  <c r="K65" i="30"/>
  <c r="K67" i="30"/>
  <c r="F20" i="30"/>
  <c r="F22" i="30"/>
  <c r="F21" i="30"/>
  <c r="J23" i="30"/>
  <c r="AC228" i="30"/>
  <c r="F78" i="30"/>
  <c r="F16" i="30"/>
  <c r="F80" i="30"/>
  <c r="J82" i="30"/>
  <c r="F81" i="30"/>
  <c r="J83" i="30"/>
  <c r="F73" i="30"/>
  <c r="F15" i="30"/>
  <c r="J17" i="30"/>
  <c r="J74" i="30"/>
  <c r="J75" i="30"/>
  <c r="J76" i="30"/>
  <c r="J85" i="30"/>
  <c r="AD228" i="30"/>
  <c r="AE228" i="30"/>
  <c r="AG228" i="30"/>
  <c r="AH228" i="30"/>
  <c r="Z228" i="30"/>
  <c r="AJ228" i="30"/>
  <c r="W229" i="30"/>
  <c r="R229" i="30"/>
  <c r="S229" i="30"/>
  <c r="T229" i="30"/>
  <c r="U229" i="30"/>
  <c r="V229" i="30"/>
  <c r="X229" i="30"/>
  <c r="AC229" i="30"/>
  <c r="AD229" i="30"/>
  <c r="AE229" i="30"/>
  <c r="AG229" i="30"/>
  <c r="AH229" i="30"/>
  <c r="Z229" i="30"/>
  <c r="AJ229" i="30"/>
  <c r="W230" i="30"/>
  <c r="R230" i="30"/>
  <c r="S230" i="30"/>
  <c r="T230" i="30"/>
  <c r="U230" i="30"/>
  <c r="V230" i="30"/>
  <c r="X230" i="30"/>
  <c r="AC230" i="30"/>
  <c r="AD230" i="30"/>
  <c r="AE230" i="30"/>
  <c r="AG230" i="30"/>
  <c r="AH230" i="30"/>
  <c r="Z230" i="30"/>
  <c r="AJ230" i="30"/>
  <c r="W231" i="30"/>
  <c r="R231" i="30"/>
  <c r="S231" i="30"/>
  <c r="T231" i="30"/>
  <c r="U231" i="30"/>
  <c r="V231" i="30"/>
  <c r="X231" i="30"/>
  <c r="AC231" i="30"/>
  <c r="AD231" i="30"/>
  <c r="AE231" i="30"/>
  <c r="AG231" i="30"/>
  <c r="AH231" i="30"/>
  <c r="Z231" i="30"/>
  <c r="AJ231" i="30"/>
  <c r="W232" i="30"/>
  <c r="R232" i="30"/>
  <c r="S232" i="30"/>
  <c r="T232" i="30"/>
  <c r="U232" i="30"/>
  <c r="V232" i="30"/>
  <c r="X232" i="30"/>
  <c r="AC232" i="30"/>
  <c r="AD232" i="30"/>
  <c r="AE232" i="30"/>
  <c r="AG232" i="30"/>
  <c r="AH232" i="30"/>
  <c r="Z232" i="30"/>
  <c r="AJ232" i="30"/>
  <c r="W233" i="30"/>
  <c r="R233" i="30"/>
  <c r="S233" i="30"/>
  <c r="T233" i="30"/>
  <c r="U233" i="30"/>
  <c r="V233" i="30"/>
  <c r="X233" i="30"/>
  <c r="AC233" i="30"/>
  <c r="AD233" i="30"/>
  <c r="AE233" i="30"/>
  <c r="AG233" i="30"/>
  <c r="AH233" i="30"/>
  <c r="Z233" i="30"/>
  <c r="AJ233" i="30"/>
  <c r="W234" i="30"/>
  <c r="R234" i="30"/>
  <c r="S234" i="30"/>
  <c r="T234" i="30"/>
  <c r="U234" i="30"/>
  <c r="V234" i="30"/>
  <c r="X234" i="30"/>
  <c r="AC234" i="30"/>
  <c r="AD234" i="30"/>
  <c r="AE234" i="30"/>
  <c r="AG234" i="30"/>
  <c r="AH234" i="30"/>
  <c r="Z234" i="30"/>
  <c r="AJ234" i="30"/>
  <c r="W235" i="30"/>
  <c r="R235" i="30"/>
  <c r="S235" i="30"/>
  <c r="T235" i="30"/>
  <c r="U235" i="30"/>
  <c r="V235" i="30"/>
  <c r="X235" i="30"/>
  <c r="AC235" i="30"/>
  <c r="AD235" i="30"/>
  <c r="AE235" i="30"/>
  <c r="AG235" i="30"/>
  <c r="AH235" i="30"/>
  <c r="Z235" i="30"/>
  <c r="AJ235" i="30"/>
  <c r="W236" i="30"/>
  <c r="R236" i="30"/>
  <c r="S236" i="30"/>
  <c r="T236" i="30"/>
  <c r="U236" i="30"/>
  <c r="V236" i="30"/>
  <c r="X236" i="30"/>
  <c r="AC236" i="30"/>
  <c r="AD236" i="30"/>
  <c r="AE236" i="30"/>
  <c r="AG236" i="30"/>
  <c r="AH236" i="30"/>
  <c r="Z236" i="30"/>
  <c r="AJ236" i="30"/>
  <c r="W237" i="30"/>
  <c r="R237" i="30"/>
  <c r="S237" i="30"/>
  <c r="T237" i="30"/>
  <c r="U237" i="30"/>
  <c r="V237" i="30"/>
  <c r="X237" i="30"/>
  <c r="AC237" i="30"/>
  <c r="AD237" i="30"/>
  <c r="AE237" i="30"/>
  <c r="AG237" i="30"/>
  <c r="AH237" i="30"/>
  <c r="Z237" i="30"/>
  <c r="AJ237" i="30"/>
  <c r="W238" i="30"/>
  <c r="R238" i="30"/>
  <c r="S238" i="30"/>
  <c r="T238" i="30"/>
  <c r="U238" i="30"/>
  <c r="V238" i="30"/>
  <c r="X238" i="30"/>
  <c r="AC238" i="30"/>
  <c r="AD238" i="30"/>
  <c r="AE238" i="30"/>
  <c r="AG238" i="30"/>
  <c r="AH238" i="30"/>
  <c r="Z238" i="30"/>
  <c r="AJ238" i="30"/>
  <c r="W239" i="30"/>
  <c r="R239" i="30"/>
  <c r="S239" i="30"/>
  <c r="T239" i="30"/>
  <c r="U239" i="30"/>
  <c r="V239" i="30"/>
  <c r="X239" i="30"/>
  <c r="AC239" i="30"/>
  <c r="AD239" i="30"/>
  <c r="AE239" i="30"/>
  <c r="AG239" i="30"/>
  <c r="AH239" i="30"/>
  <c r="Z239" i="30"/>
  <c r="AJ239" i="30"/>
  <c r="AD241" i="30"/>
  <c r="J203" i="30"/>
  <c r="AC241" i="30"/>
  <c r="J204" i="30"/>
  <c r="Z241" i="30"/>
  <c r="K164" i="30"/>
  <c r="J205" i="30"/>
  <c r="AA241" i="30"/>
  <c r="J198" i="30"/>
  <c r="J206" i="30"/>
  <c r="J208" i="30"/>
  <c r="G58" i="32"/>
  <c r="P58" i="32"/>
  <c r="J195" i="28"/>
  <c r="F25" i="28"/>
  <c r="F26" i="28"/>
  <c r="J192" i="28"/>
  <c r="I180" i="28"/>
  <c r="F180" i="28"/>
  <c r="J180" i="28"/>
  <c r="K180" i="28"/>
  <c r="I182" i="28"/>
  <c r="F182" i="28"/>
  <c r="J182" i="28"/>
  <c r="K182" i="28"/>
  <c r="F183" i="28"/>
  <c r="J183" i="28"/>
  <c r="K183" i="28"/>
  <c r="F184" i="28"/>
  <c r="K184" i="28"/>
  <c r="O166" i="23"/>
  <c r="F185" i="28"/>
  <c r="K185" i="28"/>
  <c r="K187" i="28"/>
  <c r="J193" i="28"/>
  <c r="J197" i="28"/>
  <c r="W228" i="28"/>
  <c r="E159" i="28"/>
  <c r="F159" i="28"/>
  <c r="G159" i="28"/>
  <c r="I159" i="28"/>
  <c r="R228" i="28"/>
  <c r="E160" i="28"/>
  <c r="F160" i="28"/>
  <c r="G160" i="28"/>
  <c r="I160" i="28"/>
  <c r="S228" i="28"/>
  <c r="E161" i="28"/>
  <c r="F161" i="28"/>
  <c r="T228" i="28"/>
  <c r="E162" i="28"/>
  <c r="F162" i="28"/>
  <c r="G162" i="28"/>
  <c r="I162" i="28"/>
  <c r="U228" i="28"/>
  <c r="V228" i="28"/>
  <c r="X228" i="28"/>
  <c r="E34" i="28"/>
  <c r="F34" i="28"/>
  <c r="I34" i="28"/>
  <c r="K34" i="28"/>
  <c r="E35" i="28"/>
  <c r="F35" i="28"/>
  <c r="I35" i="28"/>
  <c r="K35" i="28"/>
  <c r="E36" i="28"/>
  <c r="F36" i="28"/>
  <c r="I36" i="28"/>
  <c r="K36" i="28"/>
  <c r="E38" i="28"/>
  <c r="F38" i="28"/>
  <c r="I38" i="28"/>
  <c r="K38" i="28"/>
  <c r="E39" i="28"/>
  <c r="F39" i="28"/>
  <c r="I39" i="28"/>
  <c r="K39" i="28"/>
  <c r="E40" i="28"/>
  <c r="F40" i="28"/>
  <c r="I40" i="28"/>
  <c r="K40" i="28"/>
  <c r="E41" i="28"/>
  <c r="F41" i="28"/>
  <c r="I41" i="28"/>
  <c r="K41" i="28"/>
  <c r="E43" i="28"/>
  <c r="F43" i="28"/>
  <c r="I43" i="28"/>
  <c r="K43" i="28"/>
  <c r="E44" i="28"/>
  <c r="F44" i="28"/>
  <c r="I44" i="28"/>
  <c r="K44" i="28"/>
  <c r="E45" i="28"/>
  <c r="F45" i="28"/>
  <c r="I45" i="28"/>
  <c r="K45" i="28"/>
  <c r="E46" i="28"/>
  <c r="F46" i="28"/>
  <c r="I46" i="28"/>
  <c r="K46" i="28"/>
  <c r="E48" i="28"/>
  <c r="F48" i="28"/>
  <c r="I48" i="28"/>
  <c r="K48" i="28"/>
  <c r="E49" i="28"/>
  <c r="F49" i="28"/>
  <c r="I49" i="28"/>
  <c r="K49" i="28"/>
  <c r="E50" i="28"/>
  <c r="F50" i="28"/>
  <c r="I50" i="28"/>
  <c r="K50" i="28"/>
  <c r="E52" i="28"/>
  <c r="F52" i="28"/>
  <c r="I52" i="28"/>
  <c r="K52" i="28"/>
  <c r="E53" i="28"/>
  <c r="F53" i="28"/>
  <c r="I53" i="28"/>
  <c r="K53" i="28"/>
  <c r="E54" i="28"/>
  <c r="F54" i="28"/>
  <c r="I54" i="28"/>
  <c r="K54" i="28"/>
  <c r="E55" i="28"/>
  <c r="F55" i="28"/>
  <c r="I55" i="28"/>
  <c r="K55" i="28"/>
  <c r="E56" i="28"/>
  <c r="G56" i="28"/>
  <c r="I56" i="28"/>
  <c r="K56" i="28"/>
  <c r="E57" i="28"/>
  <c r="G57" i="28"/>
  <c r="I57" i="28"/>
  <c r="K57" i="28"/>
  <c r="E58" i="28"/>
  <c r="G58" i="28"/>
  <c r="I58" i="28"/>
  <c r="K58" i="28"/>
  <c r="E59" i="28"/>
  <c r="G59" i="28"/>
  <c r="I59" i="28"/>
  <c r="K59" i="28"/>
  <c r="E61" i="28"/>
  <c r="G61" i="28"/>
  <c r="I61" i="28"/>
  <c r="K61" i="28"/>
  <c r="E62" i="28"/>
  <c r="G62" i="28"/>
  <c r="I62" i="28"/>
  <c r="K62" i="28"/>
  <c r="E63" i="28"/>
  <c r="G63" i="28"/>
  <c r="I63" i="28"/>
  <c r="K63" i="28"/>
  <c r="E64" i="28"/>
  <c r="G64" i="28"/>
  <c r="I64" i="28"/>
  <c r="K64" i="28"/>
  <c r="E65" i="28"/>
  <c r="G65" i="28"/>
  <c r="I65" i="28"/>
  <c r="K65" i="28"/>
  <c r="K67" i="28"/>
  <c r="F20" i="28"/>
  <c r="F22" i="28"/>
  <c r="F21" i="28"/>
  <c r="J23" i="28"/>
  <c r="AC228" i="28"/>
  <c r="F78" i="28"/>
  <c r="F16" i="28"/>
  <c r="F80" i="28"/>
  <c r="J82" i="28"/>
  <c r="F81" i="28"/>
  <c r="J83" i="28"/>
  <c r="F73" i="28"/>
  <c r="F15" i="28"/>
  <c r="J17" i="28"/>
  <c r="J74" i="28"/>
  <c r="J75" i="28"/>
  <c r="J76" i="28"/>
  <c r="J85" i="28"/>
  <c r="AD228" i="28"/>
  <c r="AE228" i="28"/>
  <c r="AG228" i="28"/>
  <c r="AH228" i="28"/>
  <c r="Z228" i="28"/>
  <c r="AJ228" i="28"/>
  <c r="W229" i="28"/>
  <c r="R229" i="28"/>
  <c r="S229" i="28"/>
  <c r="T229" i="28"/>
  <c r="U229" i="28"/>
  <c r="V229" i="28"/>
  <c r="X229" i="28"/>
  <c r="AC229" i="28"/>
  <c r="AD229" i="28"/>
  <c r="AE229" i="28"/>
  <c r="AG229" i="28"/>
  <c r="AH229" i="28"/>
  <c r="Z229" i="28"/>
  <c r="AJ229" i="28"/>
  <c r="W230" i="28"/>
  <c r="R230" i="28"/>
  <c r="S230" i="28"/>
  <c r="T230" i="28"/>
  <c r="U230" i="28"/>
  <c r="V230" i="28"/>
  <c r="X230" i="28"/>
  <c r="AC230" i="28"/>
  <c r="AD230" i="28"/>
  <c r="AE230" i="28"/>
  <c r="AG230" i="28"/>
  <c r="AH230" i="28"/>
  <c r="Z230" i="28"/>
  <c r="AJ230" i="28"/>
  <c r="W231" i="28"/>
  <c r="R231" i="28"/>
  <c r="S231" i="28"/>
  <c r="T231" i="28"/>
  <c r="U231" i="28"/>
  <c r="V231" i="28"/>
  <c r="X231" i="28"/>
  <c r="AC231" i="28"/>
  <c r="AD231" i="28"/>
  <c r="AE231" i="28"/>
  <c r="AG231" i="28"/>
  <c r="AH231" i="28"/>
  <c r="Z231" i="28"/>
  <c r="AJ231" i="28"/>
  <c r="W232" i="28"/>
  <c r="R232" i="28"/>
  <c r="S232" i="28"/>
  <c r="T232" i="28"/>
  <c r="U232" i="28"/>
  <c r="V232" i="28"/>
  <c r="X232" i="28"/>
  <c r="AC232" i="28"/>
  <c r="AD232" i="28"/>
  <c r="AE232" i="28"/>
  <c r="AG232" i="28"/>
  <c r="AH232" i="28"/>
  <c r="Z232" i="28"/>
  <c r="AJ232" i="28"/>
  <c r="W233" i="28"/>
  <c r="R233" i="28"/>
  <c r="S233" i="28"/>
  <c r="T233" i="28"/>
  <c r="U233" i="28"/>
  <c r="V233" i="28"/>
  <c r="X233" i="28"/>
  <c r="AC233" i="28"/>
  <c r="AD233" i="28"/>
  <c r="AE233" i="28"/>
  <c r="AG233" i="28"/>
  <c r="AH233" i="28"/>
  <c r="Z233" i="28"/>
  <c r="AJ233" i="28"/>
  <c r="W234" i="28"/>
  <c r="R234" i="28"/>
  <c r="S234" i="28"/>
  <c r="T234" i="28"/>
  <c r="U234" i="28"/>
  <c r="V234" i="28"/>
  <c r="X234" i="28"/>
  <c r="AC234" i="28"/>
  <c r="AD234" i="28"/>
  <c r="AE234" i="28"/>
  <c r="AG234" i="28"/>
  <c r="AH234" i="28"/>
  <c r="Z234" i="28"/>
  <c r="AJ234" i="28"/>
  <c r="W235" i="28"/>
  <c r="R235" i="28"/>
  <c r="S235" i="28"/>
  <c r="T235" i="28"/>
  <c r="U235" i="28"/>
  <c r="V235" i="28"/>
  <c r="X235" i="28"/>
  <c r="AC235" i="28"/>
  <c r="AD235" i="28"/>
  <c r="AE235" i="28"/>
  <c r="AG235" i="28"/>
  <c r="AH235" i="28"/>
  <c r="Z235" i="28"/>
  <c r="AJ235" i="28"/>
  <c r="W236" i="28"/>
  <c r="R236" i="28"/>
  <c r="S236" i="28"/>
  <c r="T236" i="28"/>
  <c r="U236" i="28"/>
  <c r="V236" i="28"/>
  <c r="X236" i="28"/>
  <c r="AC236" i="28"/>
  <c r="AD236" i="28"/>
  <c r="AE236" i="28"/>
  <c r="AG236" i="28"/>
  <c r="AH236" i="28"/>
  <c r="Z236" i="28"/>
  <c r="AJ236" i="28"/>
  <c r="W237" i="28"/>
  <c r="R237" i="28"/>
  <c r="S237" i="28"/>
  <c r="T237" i="28"/>
  <c r="U237" i="28"/>
  <c r="V237" i="28"/>
  <c r="X237" i="28"/>
  <c r="AC237" i="28"/>
  <c r="AD237" i="28"/>
  <c r="AE237" i="28"/>
  <c r="AG237" i="28"/>
  <c r="AH237" i="28"/>
  <c r="Z237" i="28"/>
  <c r="AJ237" i="28"/>
  <c r="W238" i="28"/>
  <c r="R238" i="28"/>
  <c r="S238" i="28"/>
  <c r="T238" i="28"/>
  <c r="U238" i="28"/>
  <c r="V238" i="28"/>
  <c r="X238" i="28"/>
  <c r="AC238" i="28"/>
  <c r="AD238" i="28"/>
  <c r="AE238" i="28"/>
  <c r="AG238" i="28"/>
  <c r="AH238" i="28"/>
  <c r="Z238" i="28"/>
  <c r="AJ238" i="28"/>
  <c r="W239" i="28"/>
  <c r="R239" i="28"/>
  <c r="S239" i="28"/>
  <c r="T239" i="28"/>
  <c r="U239" i="28"/>
  <c r="V239" i="28"/>
  <c r="X239" i="28"/>
  <c r="AC239" i="28"/>
  <c r="AD239" i="28"/>
  <c r="AE239" i="28"/>
  <c r="AG239" i="28"/>
  <c r="AH239" i="28"/>
  <c r="Z239" i="28"/>
  <c r="AJ239" i="28"/>
  <c r="AD241" i="28"/>
  <c r="J203" i="28"/>
  <c r="AC241" i="28"/>
  <c r="J204" i="28"/>
  <c r="Z241" i="28"/>
  <c r="K164" i="28"/>
  <c r="J205" i="28"/>
  <c r="AA241" i="28"/>
  <c r="J198" i="28"/>
  <c r="J206" i="28"/>
  <c r="J208" i="28"/>
  <c r="F58" i="32"/>
  <c r="O58" i="32"/>
  <c r="J195" i="27"/>
  <c r="F25" i="27"/>
  <c r="F26" i="27"/>
  <c r="J192" i="27"/>
  <c r="I180" i="27"/>
  <c r="F180" i="27"/>
  <c r="J180" i="27"/>
  <c r="K180" i="27"/>
  <c r="I182" i="27"/>
  <c r="F182" i="27"/>
  <c r="J182" i="27"/>
  <c r="K182" i="27"/>
  <c r="F183" i="27"/>
  <c r="J183" i="27"/>
  <c r="K183" i="27"/>
  <c r="F184" i="27"/>
  <c r="K184" i="27"/>
  <c r="K166" i="23"/>
  <c r="F185" i="27"/>
  <c r="K185" i="27"/>
  <c r="K187" i="27"/>
  <c r="J193" i="27"/>
  <c r="J197" i="27"/>
  <c r="W228" i="27"/>
  <c r="E159" i="27"/>
  <c r="F159" i="27"/>
  <c r="G159" i="27"/>
  <c r="I159" i="27"/>
  <c r="R228" i="27"/>
  <c r="E160" i="27"/>
  <c r="F160" i="27"/>
  <c r="G160" i="27"/>
  <c r="I160" i="27"/>
  <c r="S228" i="27"/>
  <c r="E161" i="27"/>
  <c r="F161" i="27"/>
  <c r="T228" i="27"/>
  <c r="E162" i="27"/>
  <c r="F162" i="27"/>
  <c r="G162" i="27"/>
  <c r="I162" i="27"/>
  <c r="U228" i="27"/>
  <c r="V228" i="27"/>
  <c r="X228" i="27"/>
  <c r="E34" i="27"/>
  <c r="F34" i="27"/>
  <c r="I34" i="27"/>
  <c r="K34" i="27"/>
  <c r="E35" i="27"/>
  <c r="F35" i="27"/>
  <c r="I35" i="27"/>
  <c r="K35" i="27"/>
  <c r="E36" i="27"/>
  <c r="F36" i="27"/>
  <c r="I36" i="27"/>
  <c r="K36" i="27"/>
  <c r="E38" i="27"/>
  <c r="F38" i="27"/>
  <c r="I38" i="27"/>
  <c r="K38" i="27"/>
  <c r="E39" i="27"/>
  <c r="F39" i="27"/>
  <c r="I39" i="27"/>
  <c r="K39" i="27"/>
  <c r="E40" i="27"/>
  <c r="F40" i="27"/>
  <c r="I40" i="27"/>
  <c r="K40" i="27"/>
  <c r="E41" i="27"/>
  <c r="F41" i="27"/>
  <c r="I41" i="27"/>
  <c r="K41" i="27"/>
  <c r="E43" i="27"/>
  <c r="F43" i="27"/>
  <c r="I43" i="27"/>
  <c r="K43" i="27"/>
  <c r="E44" i="27"/>
  <c r="F44" i="27"/>
  <c r="I44" i="27"/>
  <c r="K44" i="27"/>
  <c r="E45" i="27"/>
  <c r="F45" i="27"/>
  <c r="I45" i="27"/>
  <c r="K45" i="27"/>
  <c r="E46" i="27"/>
  <c r="F46" i="27"/>
  <c r="I46" i="27"/>
  <c r="K46" i="27"/>
  <c r="E48" i="27"/>
  <c r="F48" i="27"/>
  <c r="I48" i="27"/>
  <c r="K48" i="27"/>
  <c r="E49" i="27"/>
  <c r="F49" i="27"/>
  <c r="I49" i="27"/>
  <c r="K49" i="27"/>
  <c r="E50" i="27"/>
  <c r="F50" i="27"/>
  <c r="I50" i="27"/>
  <c r="K50" i="27"/>
  <c r="E52" i="27"/>
  <c r="F52" i="27"/>
  <c r="I52" i="27"/>
  <c r="K52" i="27"/>
  <c r="E53" i="27"/>
  <c r="F53" i="27"/>
  <c r="I53" i="27"/>
  <c r="K53" i="27"/>
  <c r="E54" i="27"/>
  <c r="F54" i="27"/>
  <c r="I54" i="27"/>
  <c r="K54" i="27"/>
  <c r="E55" i="27"/>
  <c r="F55" i="27"/>
  <c r="I55" i="27"/>
  <c r="K55" i="27"/>
  <c r="E56" i="27"/>
  <c r="G56" i="27"/>
  <c r="I56" i="27"/>
  <c r="K56" i="27"/>
  <c r="E57" i="27"/>
  <c r="G57" i="27"/>
  <c r="I57" i="27"/>
  <c r="K57" i="27"/>
  <c r="E58" i="27"/>
  <c r="G58" i="27"/>
  <c r="I58" i="27"/>
  <c r="K58" i="27"/>
  <c r="E59" i="27"/>
  <c r="G59" i="27"/>
  <c r="I59" i="27"/>
  <c r="K59" i="27"/>
  <c r="E61" i="27"/>
  <c r="G61" i="27"/>
  <c r="I61" i="27"/>
  <c r="K61" i="27"/>
  <c r="E62" i="27"/>
  <c r="G62" i="27"/>
  <c r="I62" i="27"/>
  <c r="K62" i="27"/>
  <c r="E63" i="27"/>
  <c r="G63" i="27"/>
  <c r="I63" i="27"/>
  <c r="K63" i="27"/>
  <c r="E64" i="27"/>
  <c r="G64" i="27"/>
  <c r="I64" i="27"/>
  <c r="K64" i="27"/>
  <c r="E65" i="27"/>
  <c r="G65" i="27"/>
  <c r="I65" i="27"/>
  <c r="K65" i="27"/>
  <c r="K67" i="27"/>
  <c r="F20" i="27"/>
  <c r="F22" i="27"/>
  <c r="F21" i="27"/>
  <c r="J23" i="27"/>
  <c r="AC228" i="27"/>
  <c r="F78" i="27"/>
  <c r="F16" i="27"/>
  <c r="F80" i="27"/>
  <c r="J82" i="27"/>
  <c r="F81" i="27"/>
  <c r="J83" i="27"/>
  <c r="F73" i="27"/>
  <c r="F15" i="27"/>
  <c r="J17" i="27"/>
  <c r="J74" i="27"/>
  <c r="J75" i="27"/>
  <c r="J76" i="27"/>
  <c r="J85" i="27"/>
  <c r="AD228" i="27"/>
  <c r="AE228" i="27"/>
  <c r="AG228" i="27"/>
  <c r="AH228" i="27"/>
  <c r="Z228" i="27"/>
  <c r="AJ228" i="27"/>
  <c r="W229" i="27"/>
  <c r="R229" i="27"/>
  <c r="S229" i="27"/>
  <c r="T229" i="27"/>
  <c r="U229" i="27"/>
  <c r="V229" i="27"/>
  <c r="X229" i="27"/>
  <c r="AC229" i="27"/>
  <c r="AD229" i="27"/>
  <c r="AE229" i="27"/>
  <c r="AG229" i="27"/>
  <c r="AH229" i="27"/>
  <c r="Z229" i="27"/>
  <c r="AJ229" i="27"/>
  <c r="W230" i="27"/>
  <c r="R230" i="27"/>
  <c r="S230" i="27"/>
  <c r="T230" i="27"/>
  <c r="U230" i="27"/>
  <c r="V230" i="27"/>
  <c r="X230" i="27"/>
  <c r="AC230" i="27"/>
  <c r="AD230" i="27"/>
  <c r="AE230" i="27"/>
  <c r="AG230" i="27"/>
  <c r="AH230" i="27"/>
  <c r="Z230" i="27"/>
  <c r="AJ230" i="27"/>
  <c r="W231" i="27"/>
  <c r="R231" i="27"/>
  <c r="S231" i="27"/>
  <c r="T231" i="27"/>
  <c r="U231" i="27"/>
  <c r="V231" i="27"/>
  <c r="X231" i="27"/>
  <c r="AC231" i="27"/>
  <c r="AD231" i="27"/>
  <c r="AE231" i="27"/>
  <c r="AG231" i="27"/>
  <c r="AH231" i="27"/>
  <c r="Z231" i="27"/>
  <c r="AJ231" i="27"/>
  <c r="W232" i="27"/>
  <c r="R232" i="27"/>
  <c r="S232" i="27"/>
  <c r="T232" i="27"/>
  <c r="U232" i="27"/>
  <c r="V232" i="27"/>
  <c r="X232" i="27"/>
  <c r="AC232" i="27"/>
  <c r="AD232" i="27"/>
  <c r="AE232" i="27"/>
  <c r="AG232" i="27"/>
  <c r="AH232" i="27"/>
  <c r="Z232" i="27"/>
  <c r="AJ232" i="27"/>
  <c r="W233" i="27"/>
  <c r="R233" i="27"/>
  <c r="S233" i="27"/>
  <c r="T233" i="27"/>
  <c r="U233" i="27"/>
  <c r="V233" i="27"/>
  <c r="X233" i="27"/>
  <c r="AC233" i="27"/>
  <c r="AD233" i="27"/>
  <c r="AE233" i="27"/>
  <c r="AG233" i="27"/>
  <c r="AH233" i="27"/>
  <c r="Z233" i="27"/>
  <c r="AJ233" i="27"/>
  <c r="W234" i="27"/>
  <c r="R234" i="27"/>
  <c r="S234" i="27"/>
  <c r="T234" i="27"/>
  <c r="U234" i="27"/>
  <c r="V234" i="27"/>
  <c r="X234" i="27"/>
  <c r="AC234" i="27"/>
  <c r="AD234" i="27"/>
  <c r="AE234" i="27"/>
  <c r="AG234" i="27"/>
  <c r="AH234" i="27"/>
  <c r="Z234" i="27"/>
  <c r="AJ234" i="27"/>
  <c r="W235" i="27"/>
  <c r="R235" i="27"/>
  <c r="S235" i="27"/>
  <c r="T235" i="27"/>
  <c r="U235" i="27"/>
  <c r="V235" i="27"/>
  <c r="X235" i="27"/>
  <c r="AC235" i="27"/>
  <c r="AD235" i="27"/>
  <c r="AE235" i="27"/>
  <c r="AG235" i="27"/>
  <c r="AH235" i="27"/>
  <c r="Z235" i="27"/>
  <c r="AJ235" i="27"/>
  <c r="W236" i="27"/>
  <c r="R236" i="27"/>
  <c r="S236" i="27"/>
  <c r="T236" i="27"/>
  <c r="U236" i="27"/>
  <c r="V236" i="27"/>
  <c r="X236" i="27"/>
  <c r="AC236" i="27"/>
  <c r="AD236" i="27"/>
  <c r="AE236" i="27"/>
  <c r="AG236" i="27"/>
  <c r="AH236" i="27"/>
  <c r="Z236" i="27"/>
  <c r="AJ236" i="27"/>
  <c r="W237" i="27"/>
  <c r="R237" i="27"/>
  <c r="S237" i="27"/>
  <c r="T237" i="27"/>
  <c r="U237" i="27"/>
  <c r="V237" i="27"/>
  <c r="X237" i="27"/>
  <c r="AC237" i="27"/>
  <c r="AD237" i="27"/>
  <c r="AE237" i="27"/>
  <c r="AG237" i="27"/>
  <c r="AH237" i="27"/>
  <c r="Z237" i="27"/>
  <c r="AJ237" i="27"/>
  <c r="W238" i="27"/>
  <c r="R238" i="27"/>
  <c r="S238" i="27"/>
  <c r="T238" i="27"/>
  <c r="U238" i="27"/>
  <c r="V238" i="27"/>
  <c r="X238" i="27"/>
  <c r="AC238" i="27"/>
  <c r="AD238" i="27"/>
  <c r="AE238" i="27"/>
  <c r="AG238" i="27"/>
  <c r="AH238" i="27"/>
  <c r="Z238" i="27"/>
  <c r="AJ238" i="27"/>
  <c r="W239" i="27"/>
  <c r="R239" i="27"/>
  <c r="S239" i="27"/>
  <c r="T239" i="27"/>
  <c r="U239" i="27"/>
  <c r="V239" i="27"/>
  <c r="X239" i="27"/>
  <c r="AC239" i="27"/>
  <c r="AD239" i="27"/>
  <c r="AE239" i="27"/>
  <c r="AG239" i="27"/>
  <c r="AH239" i="27"/>
  <c r="Z239" i="27"/>
  <c r="AJ239" i="27"/>
  <c r="AD241" i="27"/>
  <c r="J203" i="27"/>
  <c r="AC241" i="27"/>
  <c r="J204" i="27"/>
  <c r="Z241" i="27"/>
  <c r="K164" i="27"/>
  <c r="J205" i="27"/>
  <c r="AA241" i="27"/>
  <c r="J198" i="27"/>
  <c r="J206" i="27"/>
  <c r="J208" i="27"/>
  <c r="E58" i="32"/>
  <c r="N58" i="32"/>
  <c r="J195" i="26"/>
  <c r="F25" i="26"/>
  <c r="F26" i="26"/>
  <c r="J192" i="26"/>
  <c r="I180" i="26"/>
  <c r="F180" i="26"/>
  <c r="J180" i="26"/>
  <c r="K180" i="26"/>
  <c r="I182" i="26"/>
  <c r="F182" i="26"/>
  <c r="J182" i="26"/>
  <c r="K182" i="26"/>
  <c r="F183" i="26"/>
  <c r="J183" i="26"/>
  <c r="K183" i="26"/>
  <c r="F184" i="26"/>
  <c r="K184" i="26"/>
  <c r="G166" i="23"/>
  <c r="F185" i="26"/>
  <c r="K185" i="26"/>
  <c r="K187" i="26"/>
  <c r="J193" i="26"/>
  <c r="J197" i="26"/>
  <c r="W228" i="26"/>
  <c r="E159" i="26"/>
  <c r="F159" i="26"/>
  <c r="G159" i="26"/>
  <c r="I159" i="26"/>
  <c r="R228" i="26"/>
  <c r="E160" i="26"/>
  <c r="F160" i="26"/>
  <c r="G160" i="26"/>
  <c r="I160" i="26"/>
  <c r="S228" i="26"/>
  <c r="E161" i="26"/>
  <c r="F161" i="26"/>
  <c r="T228" i="26"/>
  <c r="E162" i="26"/>
  <c r="F162" i="26"/>
  <c r="G162" i="26"/>
  <c r="I162" i="26"/>
  <c r="U228" i="26"/>
  <c r="V228" i="26"/>
  <c r="X228" i="26"/>
  <c r="E34" i="26"/>
  <c r="F34" i="26"/>
  <c r="I34" i="26"/>
  <c r="K34" i="26"/>
  <c r="E35" i="26"/>
  <c r="F35" i="26"/>
  <c r="I35" i="26"/>
  <c r="K35" i="26"/>
  <c r="E36" i="26"/>
  <c r="F36" i="26"/>
  <c r="I36" i="26"/>
  <c r="K36" i="26"/>
  <c r="E38" i="26"/>
  <c r="F38" i="26"/>
  <c r="I38" i="26"/>
  <c r="K38" i="26"/>
  <c r="E39" i="26"/>
  <c r="F39" i="26"/>
  <c r="I39" i="26"/>
  <c r="K39" i="26"/>
  <c r="E40" i="26"/>
  <c r="F40" i="26"/>
  <c r="I40" i="26"/>
  <c r="K40" i="26"/>
  <c r="E41" i="26"/>
  <c r="F41" i="26"/>
  <c r="I41" i="26"/>
  <c r="K41" i="26"/>
  <c r="E43" i="26"/>
  <c r="F43" i="26"/>
  <c r="I43" i="26"/>
  <c r="K43" i="26"/>
  <c r="E44" i="26"/>
  <c r="F44" i="26"/>
  <c r="I44" i="26"/>
  <c r="K44" i="26"/>
  <c r="E45" i="26"/>
  <c r="F45" i="26"/>
  <c r="I45" i="26"/>
  <c r="K45" i="26"/>
  <c r="E46" i="26"/>
  <c r="F46" i="26"/>
  <c r="I46" i="26"/>
  <c r="K46" i="26"/>
  <c r="E48" i="26"/>
  <c r="F48" i="26"/>
  <c r="I48" i="26"/>
  <c r="K48" i="26"/>
  <c r="E49" i="26"/>
  <c r="F49" i="26"/>
  <c r="I49" i="26"/>
  <c r="K49" i="26"/>
  <c r="E50" i="26"/>
  <c r="F50" i="26"/>
  <c r="I50" i="26"/>
  <c r="K50" i="26"/>
  <c r="E52" i="26"/>
  <c r="F52" i="26"/>
  <c r="I52" i="26"/>
  <c r="K52" i="26"/>
  <c r="E53" i="26"/>
  <c r="F53" i="26"/>
  <c r="I53" i="26"/>
  <c r="K53" i="26"/>
  <c r="E54" i="26"/>
  <c r="F54" i="26"/>
  <c r="I54" i="26"/>
  <c r="K54" i="26"/>
  <c r="E55" i="26"/>
  <c r="F55" i="26"/>
  <c r="I55" i="26"/>
  <c r="K55" i="26"/>
  <c r="E56" i="26"/>
  <c r="G56" i="26"/>
  <c r="I56" i="26"/>
  <c r="K56" i="26"/>
  <c r="E57" i="26"/>
  <c r="G57" i="26"/>
  <c r="I57" i="26"/>
  <c r="K57" i="26"/>
  <c r="E58" i="26"/>
  <c r="G58" i="26"/>
  <c r="I58" i="26"/>
  <c r="K58" i="26"/>
  <c r="E59" i="26"/>
  <c r="G59" i="26"/>
  <c r="I59" i="26"/>
  <c r="K59" i="26"/>
  <c r="E61" i="26"/>
  <c r="G61" i="26"/>
  <c r="I61" i="26"/>
  <c r="K61" i="26"/>
  <c r="E62" i="26"/>
  <c r="G62" i="26"/>
  <c r="I62" i="26"/>
  <c r="K62" i="26"/>
  <c r="E63" i="26"/>
  <c r="G63" i="26"/>
  <c r="I63" i="26"/>
  <c r="K63" i="26"/>
  <c r="E64" i="26"/>
  <c r="G64" i="26"/>
  <c r="I64" i="26"/>
  <c r="K64" i="26"/>
  <c r="E65" i="26"/>
  <c r="G65" i="26"/>
  <c r="I65" i="26"/>
  <c r="K65" i="26"/>
  <c r="K67" i="26"/>
  <c r="F20" i="26"/>
  <c r="F22" i="26"/>
  <c r="F21" i="26"/>
  <c r="J23" i="26"/>
  <c r="AC228" i="26"/>
  <c r="F78" i="26"/>
  <c r="F16" i="26"/>
  <c r="F80" i="26"/>
  <c r="J82" i="26"/>
  <c r="F81" i="26"/>
  <c r="J83" i="26"/>
  <c r="F73" i="26"/>
  <c r="J17" i="26"/>
  <c r="J74" i="26"/>
  <c r="J75" i="26"/>
  <c r="J76" i="26"/>
  <c r="J85" i="26"/>
  <c r="AD228" i="26"/>
  <c r="AE228" i="26"/>
  <c r="AG228" i="26"/>
  <c r="AH228" i="26"/>
  <c r="Z228" i="26"/>
  <c r="AJ228" i="26"/>
  <c r="W229" i="26"/>
  <c r="R229" i="26"/>
  <c r="S229" i="26"/>
  <c r="T229" i="26"/>
  <c r="U229" i="26"/>
  <c r="V229" i="26"/>
  <c r="X229" i="26"/>
  <c r="AC229" i="26"/>
  <c r="AD229" i="26"/>
  <c r="AE229" i="26"/>
  <c r="AG229" i="26"/>
  <c r="AH229" i="26"/>
  <c r="Z229" i="26"/>
  <c r="AJ229" i="26"/>
  <c r="W230" i="26"/>
  <c r="R230" i="26"/>
  <c r="S230" i="26"/>
  <c r="T230" i="26"/>
  <c r="U230" i="26"/>
  <c r="V230" i="26"/>
  <c r="X230" i="26"/>
  <c r="AC230" i="26"/>
  <c r="AD230" i="26"/>
  <c r="AE230" i="26"/>
  <c r="AG230" i="26"/>
  <c r="AH230" i="26"/>
  <c r="Z230" i="26"/>
  <c r="AJ230" i="26"/>
  <c r="W231" i="26"/>
  <c r="R231" i="26"/>
  <c r="S231" i="26"/>
  <c r="T231" i="26"/>
  <c r="U231" i="26"/>
  <c r="V231" i="26"/>
  <c r="X231" i="26"/>
  <c r="AC231" i="26"/>
  <c r="AD231" i="26"/>
  <c r="AE231" i="26"/>
  <c r="AG231" i="26"/>
  <c r="AH231" i="26"/>
  <c r="Z231" i="26"/>
  <c r="AJ231" i="26"/>
  <c r="W232" i="26"/>
  <c r="R232" i="26"/>
  <c r="S232" i="26"/>
  <c r="T232" i="26"/>
  <c r="U232" i="26"/>
  <c r="V232" i="26"/>
  <c r="X232" i="26"/>
  <c r="AC232" i="26"/>
  <c r="AD232" i="26"/>
  <c r="AE232" i="26"/>
  <c r="AG232" i="26"/>
  <c r="AH232" i="26"/>
  <c r="Z232" i="26"/>
  <c r="AJ232" i="26"/>
  <c r="W233" i="26"/>
  <c r="R233" i="26"/>
  <c r="S233" i="26"/>
  <c r="T233" i="26"/>
  <c r="U233" i="26"/>
  <c r="V233" i="26"/>
  <c r="X233" i="26"/>
  <c r="AC233" i="26"/>
  <c r="AD233" i="26"/>
  <c r="AE233" i="26"/>
  <c r="AG233" i="26"/>
  <c r="AH233" i="26"/>
  <c r="Z233" i="26"/>
  <c r="AJ233" i="26"/>
  <c r="W234" i="26"/>
  <c r="R234" i="26"/>
  <c r="S234" i="26"/>
  <c r="T234" i="26"/>
  <c r="U234" i="26"/>
  <c r="V234" i="26"/>
  <c r="X234" i="26"/>
  <c r="AC234" i="26"/>
  <c r="AD234" i="26"/>
  <c r="AE234" i="26"/>
  <c r="AG234" i="26"/>
  <c r="AH234" i="26"/>
  <c r="Z234" i="26"/>
  <c r="AJ234" i="26"/>
  <c r="W235" i="26"/>
  <c r="R235" i="26"/>
  <c r="S235" i="26"/>
  <c r="T235" i="26"/>
  <c r="U235" i="26"/>
  <c r="V235" i="26"/>
  <c r="X235" i="26"/>
  <c r="AC235" i="26"/>
  <c r="AD235" i="26"/>
  <c r="AE235" i="26"/>
  <c r="AG235" i="26"/>
  <c r="AH235" i="26"/>
  <c r="Z235" i="26"/>
  <c r="AJ235" i="26"/>
  <c r="W236" i="26"/>
  <c r="R236" i="26"/>
  <c r="S236" i="26"/>
  <c r="T236" i="26"/>
  <c r="U236" i="26"/>
  <c r="V236" i="26"/>
  <c r="X236" i="26"/>
  <c r="AC236" i="26"/>
  <c r="AD236" i="26"/>
  <c r="AE236" i="26"/>
  <c r="AG236" i="26"/>
  <c r="AH236" i="26"/>
  <c r="Z236" i="26"/>
  <c r="AJ236" i="26"/>
  <c r="W237" i="26"/>
  <c r="R237" i="26"/>
  <c r="S237" i="26"/>
  <c r="T237" i="26"/>
  <c r="U237" i="26"/>
  <c r="V237" i="26"/>
  <c r="X237" i="26"/>
  <c r="AC237" i="26"/>
  <c r="AD237" i="26"/>
  <c r="AE237" i="26"/>
  <c r="AG237" i="26"/>
  <c r="AH237" i="26"/>
  <c r="Z237" i="26"/>
  <c r="AJ237" i="26"/>
  <c r="W238" i="26"/>
  <c r="R238" i="26"/>
  <c r="S238" i="26"/>
  <c r="T238" i="26"/>
  <c r="U238" i="26"/>
  <c r="V238" i="26"/>
  <c r="X238" i="26"/>
  <c r="AC238" i="26"/>
  <c r="AD238" i="26"/>
  <c r="AE238" i="26"/>
  <c r="AG238" i="26"/>
  <c r="AH238" i="26"/>
  <c r="Z238" i="26"/>
  <c r="AJ238" i="26"/>
  <c r="W239" i="26"/>
  <c r="R239" i="26"/>
  <c r="S239" i="26"/>
  <c r="T239" i="26"/>
  <c r="U239" i="26"/>
  <c r="V239" i="26"/>
  <c r="X239" i="26"/>
  <c r="AC239" i="26"/>
  <c r="AD239" i="26"/>
  <c r="AE239" i="26"/>
  <c r="AG239" i="26"/>
  <c r="AH239" i="26"/>
  <c r="Z239" i="26"/>
  <c r="AJ239" i="26"/>
  <c r="AD241" i="26"/>
  <c r="J203" i="26"/>
  <c r="AC241" i="26"/>
  <c r="J204" i="26"/>
  <c r="Z241" i="26"/>
  <c r="K164" i="26"/>
  <c r="J205" i="26"/>
  <c r="AA241" i="26"/>
  <c r="J198" i="26"/>
  <c r="J206" i="26"/>
  <c r="J208" i="26"/>
  <c r="D58" i="32"/>
  <c r="M58" i="32"/>
  <c r="H57" i="32"/>
  <c r="Q57" i="32"/>
  <c r="G57" i="32"/>
  <c r="P57" i="32"/>
  <c r="F57" i="32"/>
  <c r="O57" i="32"/>
  <c r="E57" i="32"/>
  <c r="N57" i="32"/>
  <c r="D57" i="32"/>
  <c r="M57" i="32"/>
  <c r="H56" i="32"/>
  <c r="Q56" i="32"/>
  <c r="G56" i="32"/>
  <c r="P56" i="32"/>
  <c r="F56" i="32"/>
  <c r="O56" i="32"/>
  <c r="E56" i="32"/>
  <c r="N56" i="32"/>
  <c r="D56" i="32"/>
  <c r="M56" i="32"/>
  <c r="K83" i="31"/>
  <c r="H55" i="32"/>
  <c r="Q55" i="32"/>
  <c r="K83" i="30"/>
  <c r="G55" i="32"/>
  <c r="P55" i="32"/>
  <c r="K83" i="28"/>
  <c r="F55" i="32"/>
  <c r="O55" i="32"/>
  <c r="K83" i="27"/>
  <c r="E55" i="32"/>
  <c r="N55" i="32"/>
  <c r="K83" i="26"/>
  <c r="D55" i="32"/>
  <c r="M55" i="32"/>
  <c r="K76" i="31"/>
  <c r="H54" i="32"/>
  <c r="Q54" i="32"/>
  <c r="K76" i="30"/>
  <c r="G54" i="32"/>
  <c r="P54" i="32"/>
  <c r="K76" i="28"/>
  <c r="F54" i="32"/>
  <c r="O54" i="32"/>
  <c r="K76" i="27"/>
  <c r="E54" i="32"/>
  <c r="N54" i="32"/>
  <c r="K76" i="26"/>
  <c r="D54" i="32"/>
  <c r="M54" i="32"/>
  <c r="L59" i="31"/>
  <c r="L50" i="31"/>
  <c r="H53" i="32"/>
  <c r="Q53" i="32"/>
  <c r="L59" i="30"/>
  <c r="L50" i="30"/>
  <c r="G53" i="32"/>
  <c r="P53" i="32"/>
  <c r="L59" i="28"/>
  <c r="L50" i="28"/>
  <c r="F53" i="32"/>
  <c r="O53" i="32"/>
  <c r="L59" i="27"/>
  <c r="L50" i="27"/>
  <c r="E53" i="32"/>
  <c r="N53" i="32"/>
  <c r="L59" i="26"/>
  <c r="L50" i="26"/>
  <c r="D53" i="32"/>
  <c r="M53" i="32"/>
  <c r="L65" i="31"/>
  <c r="H52" i="32"/>
  <c r="Q52" i="32"/>
  <c r="L65" i="30"/>
  <c r="G52" i="32"/>
  <c r="P52" i="32"/>
  <c r="L65" i="28"/>
  <c r="F52" i="32"/>
  <c r="O52" i="32"/>
  <c r="L65" i="27"/>
  <c r="E52" i="32"/>
  <c r="N52" i="32"/>
  <c r="L65" i="26"/>
  <c r="D52" i="32"/>
  <c r="M52" i="32"/>
  <c r="L36" i="31"/>
  <c r="H51" i="32"/>
  <c r="Q51" i="32"/>
  <c r="L36" i="30"/>
  <c r="G51" i="32"/>
  <c r="P51" i="32"/>
  <c r="L36" i="28"/>
  <c r="F51" i="32"/>
  <c r="O51" i="32"/>
  <c r="L36" i="27"/>
  <c r="E51" i="32"/>
  <c r="N51" i="32"/>
  <c r="L36" i="26"/>
  <c r="D51" i="32"/>
  <c r="M51" i="32"/>
  <c r="L41" i="31"/>
  <c r="H50" i="32"/>
  <c r="Q50" i="32"/>
  <c r="L41" i="30"/>
  <c r="G50" i="32"/>
  <c r="P50" i="32"/>
  <c r="L41" i="28"/>
  <c r="F50" i="32"/>
  <c r="O50" i="32"/>
  <c r="L41" i="27"/>
  <c r="E50" i="32"/>
  <c r="N50" i="32"/>
  <c r="L41" i="26"/>
  <c r="D50" i="32"/>
  <c r="M50" i="32"/>
  <c r="L46" i="31"/>
  <c r="H49" i="32"/>
  <c r="Q49" i="32"/>
  <c r="L46" i="30"/>
  <c r="G49" i="32"/>
  <c r="P49" i="32"/>
  <c r="L46" i="28"/>
  <c r="F49" i="32"/>
  <c r="O49" i="32"/>
  <c r="L46" i="27"/>
  <c r="E49" i="32"/>
  <c r="N49" i="32"/>
  <c r="L46" i="26"/>
  <c r="D49" i="32"/>
  <c r="M49" i="32"/>
  <c r="H12" i="32"/>
  <c r="Q12" i="32"/>
  <c r="G12" i="32"/>
  <c r="P12" i="32"/>
  <c r="F12" i="32"/>
  <c r="O12" i="32"/>
  <c r="E12" i="32"/>
  <c r="N12" i="32"/>
  <c r="V147" i="23"/>
  <c r="F181" i="31"/>
  <c r="J181" i="31"/>
  <c r="J184" i="31"/>
  <c r="J185" i="31"/>
  <c r="J187" i="31"/>
  <c r="H11" i="32"/>
  <c r="Q11" i="32"/>
  <c r="J147" i="23"/>
  <c r="N147" i="23"/>
  <c r="R147" i="23"/>
  <c r="F181" i="30"/>
  <c r="J181" i="30"/>
  <c r="J184" i="30"/>
  <c r="J185" i="30"/>
  <c r="J187" i="30"/>
  <c r="G11" i="32"/>
  <c r="P11" i="32"/>
  <c r="F181" i="28"/>
  <c r="J181" i="28"/>
  <c r="J184" i="28"/>
  <c r="J185" i="28"/>
  <c r="J187" i="28"/>
  <c r="F11" i="32"/>
  <c r="O11" i="32"/>
  <c r="F181" i="27"/>
  <c r="J181" i="27"/>
  <c r="J184" i="27"/>
  <c r="J185" i="27"/>
  <c r="J187" i="27"/>
  <c r="E11" i="32"/>
  <c r="N11" i="32"/>
  <c r="J141" i="23"/>
  <c r="N141" i="23"/>
  <c r="R141" i="23"/>
  <c r="V141" i="23"/>
  <c r="F170" i="31"/>
  <c r="J140" i="23"/>
  <c r="N140" i="23"/>
  <c r="R140" i="23"/>
  <c r="V140" i="23"/>
  <c r="F169" i="31"/>
  <c r="I172" i="31"/>
  <c r="K172" i="31"/>
  <c r="H10" i="32"/>
  <c r="Q10" i="32"/>
  <c r="F170" i="30"/>
  <c r="F169" i="30"/>
  <c r="I172" i="30"/>
  <c r="K172" i="30"/>
  <c r="G10" i="32"/>
  <c r="P10" i="32"/>
  <c r="F170" i="28"/>
  <c r="F169" i="28"/>
  <c r="I172" i="28"/>
  <c r="K172" i="28"/>
  <c r="F10" i="32"/>
  <c r="O10" i="32"/>
  <c r="F170" i="27"/>
  <c r="F169" i="27"/>
  <c r="I172" i="27"/>
  <c r="K172" i="27"/>
  <c r="E10" i="32"/>
  <c r="N10" i="32"/>
  <c r="F150" i="31"/>
  <c r="J115" i="23"/>
  <c r="N115" i="23"/>
  <c r="R115" i="23"/>
  <c r="V115" i="23"/>
  <c r="W122" i="23"/>
  <c r="F147" i="31"/>
  <c r="I150" i="31"/>
  <c r="H9" i="32"/>
  <c r="Q9" i="32"/>
  <c r="F150" i="30"/>
  <c r="S122" i="23"/>
  <c r="F147" i="30"/>
  <c r="I150" i="30"/>
  <c r="G9" i="32"/>
  <c r="P9" i="32"/>
  <c r="F150" i="28"/>
  <c r="O122" i="23"/>
  <c r="F147" i="28"/>
  <c r="I150" i="28"/>
  <c r="F9" i="32"/>
  <c r="O9" i="32"/>
  <c r="F150" i="27"/>
  <c r="K122" i="23"/>
  <c r="F147" i="27"/>
  <c r="I150" i="27"/>
  <c r="E9" i="32"/>
  <c r="N9" i="32"/>
  <c r="H8" i="32"/>
  <c r="Q8" i="32"/>
  <c r="G8" i="32"/>
  <c r="P8" i="32"/>
  <c r="F8" i="32"/>
  <c r="O8" i="32"/>
  <c r="E8" i="32"/>
  <c r="N8" i="32"/>
  <c r="W106" i="23"/>
  <c r="F129" i="31"/>
  <c r="I129" i="31"/>
  <c r="J109" i="23"/>
  <c r="N109" i="23"/>
  <c r="R109" i="23"/>
  <c r="V109" i="23"/>
  <c r="F132" i="31"/>
  <c r="I132" i="31"/>
  <c r="J108" i="23"/>
  <c r="N108" i="23"/>
  <c r="R108" i="23"/>
  <c r="V108" i="23"/>
  <c r="F131" i="31"/>
  <c r="I133" i="31"/>
  <c r="H7" i="32"/>
  <c r="Q7" i="32"/>
  <c r="S106" i="23"/>
  <c r="F129" i="30"/>
  <c r="I129" i="30"/>
  <c r="F132" i="30"/>
  <c r="I132" i="30"/>
  <c r="F131" i="30"/>
  <c r="I133" i="30"/>
  <c r="G7" i="32"/>
  <c r="P7" i="32"/>
  <c r="O106" i="23"/>
  <c r="F129" i="28"/>
  <c r="I129" i="28"/>
  <c r="F132" i="28"/>
  <c r="I132" i="28"/>
  <c r="F131" i="28"/>
  <c r="I133" i="28"/>
  <c r="F7" i="32"/>
  <c r="O7" i="32"/>
  <c r="K106" i="23"/>
  <c r="F129" i="27"/>
  <c r="I129" i="27"/>
  <c r="F132" i="27"/>
  <c r="I132" i="27"/>
  <c r="F131" i="27"/>
  <c r="I133" i="27"/>
  <c r="E7" i="32"/>
  <c r="N7" i="32"/>
  <c r="I147" i="31"/>
  <c r="J124" i="23"/>
  <c r="N124" i="23"/>
  <c r="R124" i="23"/>
  <c r="V124" i="23"/>
  <c r="F149" i="31"/>
  <c r="I151" i="31"/>
  <c r="F139" i="31"/>
  <c r="I139" i="31"/>
  <c r="J119" i="23"/>
  <c r="N119" i="23"/>
  <c r="R119" i="23"/>
  <c r="V119" i="23"/>
  <c r="F143" i="31"/>
  <c r="I143" i="31"/>
  <c r="J117" i="23"/>
  <c r="N117" i="23"/>
  <c r="R117" i="23"/>
  <c r="V117" i="23"/>
  <c r="F141" i="31"/>
  <c r="I144" i="31"/>
  <c r="J209" i="31"/>
  <c r="H6" i="32"/>
  <c r="Q6" i="32"/>
  <c r="I147" i="30"/>
  <c r="F149" i="30"/>
  <c r="I151" i="30"/>
  <c r="F139" i="30"/>
  <c r="I139" i="30"/>
  <c r="F143" i="30"/>
  <c r="I143" i="30"/>
  <c r="F141" i="30"/>
  <c r="I144" i="30"/>
  <c r="J209" i="30"/>
  <c r="G6" i="32"/>
  <c r="P6" i="32"/>
  <c r="I147" i="28"/>
  <c r="F149" i="28"/>
  <c r="I151" i="28"/>
  <c r="F139" i="28"/>
  <c r="I139" i="28"/>
  <c r="F143" i="28"/>
  <c r="I143" i="28"/>
  <c r="F141" i="28"/>
  <c r="I144" i="28"/>
  <c r="J209" i="28"/>
  <c r="F6" i="32"/>
  <c r="O6" i="32"/>
  <c r="I147" i="27"/>
  <c r="F149" i="27"/>
  <c r="I151" i="27"/>
  <c r="F139" i="27"/>
  <c r="I139" i="27"/>
  <c r="F143" i="27"/>
  <c r="I143" i="27"/>
  <c r="F141" i="27"/>
  <c r="I144" i="27"/>
  <c r="J209" i="27"/>
  <c r="E6" i="32"/>
  <c r="N6" i="32"/>
  <c r="D12" i="32"/>
  <c r="M12" i="32"/>
  <c r="F181" i="26"/>
  <c r="J181" i="26"/>
  <c r="J184" i="26"/>
  <c r="J185" i="26"/>
  <c r="J187" i="26"/>
  <c r="D11" i="32"/>
  <c r="M11" i="32"/>
  <c r="F170" i="26"/>
  <c r="F169" i="26"/>
  <c r="I172" i="26"/>
  <c r="K172" i="26"/>
  <c r="D10" i="32"/>
  <c r="M10" i="32"/>
  <c r="F150" i="26"/>
  <c r="G122" i="23"/>
  <c r="F147" i="26"/>
  <c r="I150" i="26"/>
  <c r="D9" i="32"/>
  <c r="M9" i="32"/>
  <c r="D8" i="32"/>
  <c r="M8" i="32"/>
  <c r="G106" i="23"/>
  <c r="F129" i="26"/>
  <c r="I129" i="26"/>
  <c r="F132" i="26"/>
  <c r="I132" i="26"/>
  <c r="F131" i="26"/>
  <c r="I133" i="26"/>
  <c r="D7" i="32"/>
  <c r="M7" i="32"/>
  <c r="I147" i="26"/>
  <c r="F149" i="26"/>
  <c r="I151" i="26"/>
  <c r="F139" i="26"/>
  <c r="I139" i="26"/>
  <c r="F143" i="26"/>
  <c r="I143" i="26"/>
  <c r="F141" i="26"/>
  <c r="I144" i="26"/>
  <c r="J209" i="26"/>
  <c r="D6" i="32"/>
  <c r="M6" i="32"/>
  <c r="U61" i="29"/>
  <c r="T61" i="29"/>
  <c r="S61" i="29"/>
  <c r="R61" i="29"/>
  <c r="Q61" i="29"/>
  <c r="H27" i="32"/>
  <c r="G27" i="32"/>
  <c r="F27" i="32"/>
  <c r="E27" i="32"/>
  <c r="D27" i="32"/>
  <c r="U22" i="29"/>
  <c r="W151" i="23"/>
  <c r="J172" i="31"/>
  <c r="J172" i="30"/>
  <c r="J172" i="28"/>
  <c r="J172" i="27"/>
  <c r="J172" i="26"/>
  <c r="W153" i="23"/>
  <c r="W146" i="23"/>
  <c r="W147" i="23"/>
  <c r="W148" i="23"/>
  <c r="W168" i="23"/>
  <c r="S153" i="23"/>
  <c r="S146" i="23"/>
  <c r="S147" i="23"/>
  <c r="S148" i="23"/>
  <c r="T22" i="29"/>
  <c r="S151" i="23"/>
  <c r="S168" i="23"/>
  <c r="O153" i="23"/>
  <c r="O146" i="23"/>
  <c r="O147" i="23"/>
  <c r="O148" i="23"/>
  <c r="S22" i="29"/>
  <c r="O151" i="23"/>
  <c r="O168" i="23"/>
  <c r="K153" i="23"/>
  <c r="K146" i="23"/>
  <c r="K147" i="23"/>
  <c r="K148" i="23"/>
  <c r="R22" i="29"/>
  <c r="K151" i="23"/>
  <c r="K168" i="23"/>
  <c r="G153" i="23"/>
  <c r="G146" i="23"/>
  <c r="G147" i="23"/>
  <c r="G148" i="23"/>
  <c r="Q22" i="29"/>
  <c r="G151" i="23"/>
  <c r="G168" i="23"/>
  <c r="K134" i="23"/>
  <c r="O134" i="23"/>
  <c r="S134" i="23"/>
  <c r="W134" i="23"/>
  <c r="J123" i="23"/>
  <c r="J116" i="23"/>
  <c r="N123" i="23"/>
  <c r="N116" i="23"/>
  <c r="R123" i="23"/>
  <c r="R116" i="23"/>
  <c r="J107" i="23"/>
  <c r="N107" i="23"/>
  <c r="R107" i="23"/>
  <c r="V107" i="23"/>
  <c r="V123" i="23"/>
  <c r="V116" i="23"/>
  <c r="J100" i="23"/>
  <c r="N100" i="23"/>
  <c r="R100" i="23"/>
  <c r="V100" i="23"/>
  <c r="F10" i="26"/>
  <c r="F11" i="26"/>
  <c r="F12" i="26"/>
  <c r="F13" i="26"/>
  <c r="C13" i="32"/>
  <c r="L13" i="32"/>
  <c r="L14" i="32"/>
  <c r="P12" i="29"/>
  <c r="F140" i="26"/>
  <c r="F148" i="26"/>
  <c r="D23" i="32"/>
  <c r="Q18" i="29"/>
  <c r="F122" i="26"/>
  <c r="F130" i="26"/>
  <c r="D24" i="32"/>
  <c r="Q19" i="29"/>
  <c r="G124" i="23"/>
  <c r="K124" i="23"/>
  <c r="O124" i="23"/>
  <c r="S124" i="23"/>
  <c r="W124" i="23"/>
  <c r="W117" i="23"/>
  <c r="S117" i="23"/>
  <c r="O117" i="23"/>
  <c r="K117" i="23"/>
  <c r="G117" i="23"/>
  <c r="W108" i="23"/>
  <c r="W101" i="23"/>
  <c r="S108" i="23"/>
  <c r="S101" i="23"/>
  <c r="O108" i="23"/>
  <c r="O101" i="23"/>
  <c r="K108" i="23"/>
  <c r="G108" i="23"/>
  <c r="G101" i="23"/>
  <c r="E34" i="32"/>
  <c r="H34" i="32"/>
  <c r="G34" i="32"/>
  <c r="F140" i="30"/>
  <c r="F148" i="30"/>
  <c r="F122" i="30"/>
  <c r="F130" i="30"/>
  <c r="G24" i="32"/>
  <c r="T19" i="29"/>
  <c r="F140" i="31"/>
  <c r="F148" i="31"/>
  <c r="H23" i="32"/>
  <c r="U18" i="29"/>
  <c r="F122" i="31"/>
  <c r="F130" i="31"/>
  <c r="F140" i="28"/>
  <c r="F148" i="28"/>
  <c r="F122" i="28"/>
  <c r="F130" i="28"/>
  <c r="F140" i="27"/>
  <c r="F148" i="27"/>
  <c r="E23" i="32"/>
  <c r="R18" i="29"/>
  <c r="F122" i="27"/>
  <c r="F130" i="27"/>
  <c r="E24" i="32"/>
  <c r="R19" i="29"/>
  <c r="S62" i="29"/>
  <c r="O65" i="26"/>
  <c r="O67" i="26"/>
  <c r="O69" i="26"/>
  <c r="O70" i="26"/>
  <c r="N67" i="26"/>
  <c r="N69" i="26"/>
  <c r="N70" i="26"/>
  <c r="N74" i="26"/>
  <c r="N75" i="26"/>
  <c r="N80" i="26"/>
  <c r="N79" i="26"/>
  <c r="J39" i="24"/>
  <c r="R58" i="29"/>
  <c r="G161" i="26"/>
  <c r="Q239" i="27"/>
  <c r="Q238" i="27"/>
  <c r="Q237" i="27"/>
  <c r="Q239" i="28"/>
  <c r="Q238" i="28"/>
  <c r="Q237" i="28"/>
  <c r="Q239" i="30"/>
  <c r="Q238" i="30"/>
  <c r="Q237" i="30"/>
  <c r="Q239" i="31"/>
  <c r="Q238" i="31"/>
  <c r="Q237" i="31"/>
  <c r="Q239" i="26"/>
  <c r="Q238" i="26"/>
  <c r="Q237" i="26"/>
  <c r="Q236" i="27"/>
  <c r="Q235" i="27"/>
  <c r="Q234" i="27"/>
  <c r="Q233" i="27"/>
  <c r="Q232" i="27"/>
  <c r="Q231" i="27"/>
  <c r="Q230" i="27"/>
  <c r="Q229" i="27"/>
  <c r="Q236" i="28"/>
  <c r="Q235" i="28"/>
  <c r="Q234" i="28"/>
  <c r="Q233" i="28"/>
  <c r="Q232" i="28"/>
  <c r="Q231" i="28"/>
  <c r="Q230" i="28"/>
  <c r="Q229" i="28"/>
  <c r="Q236" i="30"/>
  <c r="Q235" i="30"/>
  <c r="Q234" i="30"/>
  <c r="Q233" i="30"/>
  <c r="Q232" i="30"/>
  <c r="Q231" i="30"/>
  <c r="Q230" i="30"/>
  <c r="Q229" i="30"/>
  <c r="Q236" i="31"/>
  <c r="Q235" i="31"/>
  <c r="Q234" i="31"/>
  <c r="Q233" i="31"/>
  <c r="Q232" i="31"/>
  <c r="Q231" i="31"/>
  <c r="Q230" i="31"/>
  <c r="Q229" i="31"/>
  <c r="Q236" i="26"/>
  <c r="Q235" i="26"/>
  <c r="Q234" i="26"/>
  <c r="Q233" i="26"/>
  <c r="Q232" i="26"/>
  <c r="Q231" i="26"/>
  <c r="Q230" i="26"/>
  <c r="Q229" i="26"/>
  <c r="Q228" i="27"/>
  <c r="Q228" i="28"/>
  <c r="Q228" i="30"/>
  <c r="Q228" i="31"/>
  <c r="Q228" i="26"/>
  <c r="O10" i="29"/>
  <c r="H37" i="32"/>
  <c r="T56" i="29"/>
  <c r="H5" i="32"/>
  <c r="H48" i="32"/>
  <c r="Q48" i="32"/>
  <c r="U41" i="29"/>
  <c r="U55" i="29"/>
  <c r="G5" i="32"/>
  <c r="G48" i="32"/>
  <c r="P48" i="32"/>
  <c r="T41" i="29"/>
  <c r="T55" i="29"/>
  <c r="F5" i="32"/>
  <c r="F48" i="32"/>
  <c r="O48" i="32"/>
  <c r="S41" i="29"/>
  <c r="S55" i="29"/>
  <c r="E5" i="32"/>
  <c r="E48" i="32"/>
  <c r="N48" i="32"/>
  <c r="R41" i="29"/>
  <c r="R55" i="29"/>
  <c r="D5" i="32"/>
  <c r="D48" i="32"/>
  <c r="M48" i="32"/>
  <c r="Q41" i="29"/>
  <c r="Q55" i="29"/>
  <c r="O51" i="29"/>
  <c r="O50" i="29"/>
  <c r="O49" i="29"/>
  <c r="O48" i="29"/>
  <c r="O47" i="29"/>
  <c r="O46" i="29"/>
  <c r="O45" i="29"/>
  <c r="O44" i="29"/>
  <c r="O43" i="29"/>
  <c r="O42" i="29"/>
  <c r="H42" i="32"/>
  <c r="U37" i="29"/>
  <c r="G42" i="32"/>
  <c r="T37" i="29"/>
  <c r="F42" i="32"/>
  <c r="S37" i="29"/>
  <c r="E42" i="32"/>
  <c r="R37" i="29"/>
  <c r="D42" i="32"/>
  <c r="Q37" i="29"/>
  <c r="P37" i="29"/>
  <c r="O37" i="29"/>
  <c r="H41" i="32"/>
  <c r="U36" i="29"/>
  <c r="G41" i="32"/>
  <c r="T36" i="29"/>
  <c r="F41" i="32"/>
  <c r="S36" i="29"/>
  <c r="E41" i="32"/>
  <c r="R36" i="29"/>
  <c r="D41" i="32"/>
  <c r="Q36" i="29"/>
  <c r="P36" i="29"/>
  <c r="O36" i="29"/>
  <c r="C40" i="32"/>
  <c r="P35" i="29"/>
  <c r="O35" i="29"/>
  <c r="H38" i="32"/>
  <c r="U33" i="29"/>
  <c r="G38" i="32"/>
  <c r="F38" i="32"/>
  <c r="E38" i="32"/>
  <c r="D38" i="32"/>
  <c r="Q33" i="29"/>
  <c r="P33" i="29"/>
  <c r="O33" i="29"/>
  <c r="G37" i="32"/>
  <c r="T32" i="29"/>
  <c r="F37" i="32"/>
  <c r="S32" i="29"/>
  <c r="E37" i="32"/>
  <c r="R32" i="29"/>
  <c r="D37" i="32"/>
  <c r="Q32" i="29"/>
  <c r="P32" i="29"/>
  <c r="O32" i="29"/>
  <c r="C36" i="32"/>
  <c r="P31" i="29"/>
  <c r="O31" i="29"/>
  <c r="U29" i="29"/>
  <c r="T29" i="29"/>
  <c r="R29" i="29"/>
  <c r="P29" i="29"/>
  <c r="O29" i="29"/>
  <c r="P28" i="29"/>
  <c r="O28" i="29"/>
  <c r="P27" i="29"/>
  <c r="O27" i="29"/>
  <c r="C31" i="32"/>
  <c r="P26" i="29"/>
  <c r="O26" i="29"/>
  <c r="T10" i="29"/>
  <c r="F29" i="32"/>
  <c r="S24" i="29"/>
  <c r="E29" i="32"/>
  <c r="R24" i="29"/>
  <c r="D29" i="32"/>
  <c r="Q24" i="29"/>
  <c r="P24" i="29"/>
  <c r="O24" i="29"/>
  <c r="P23" i="29"/>
  <c r="O23" i="29"/>
  <c r="P22" i="29"/>
  <c r="O22" i="29"/>
  <c r="H26" i="32"/>
  <c r="F26" i="32"/>
  <c r="H25" i="32"/>
  <c r="G25" i="32"/>
  <c r="T20" i="29"/>
  <c r="S6" i="29"/>
  <c r="E25" i="32"/>
  <c r="R20" i="29"/>
  <c r="D25" i="32"/>
  <c r="Q20" i="29"/>
  <c r="P20" i="29"/>
  <c r="O20" i="29"/>
  <c r="P19" i="29"/>
  <c r="O19" i="29"/>
  <c r="P18" i="29"/>
  <c r="O18" i="29"/>
  <c r="C22" i="32"/>
  <c r="P17" i="29"/>
  <c r="O17" i="29"/>
  <c r="H21" i="32"/>
  <c r="U16" i="29"/>
  <c r="G21" i="32"/>
  <c r="T16" i="29"/>
  <c r="F21" i="32"/>
  <c r="S16" i="29"/>
  <c r="D21" i="32"/>
  <c r="Q16" i="29"/>
  <c r="C21" i="32"/>
  <c r="P16" i="29"/>
  <c r="K14" i="32"/>
  <c r="O12" i="29"/>
  <c r="O11" i="29"/>
  <c r="O9" i="29"/>
  <c r="O8" i="29"/>
  <c r="O6" i="29"/>
  <c r="O5" i="29"/>
  <c r="O4" i="29"/>
  <c r="U8" i="29"/>
  <c r="T6" i="29"/>
  <c r="U11" i="29"/>
  <c r="T11" i="29"/>
  <c r="S11" i="29"/>
  <c r="R11" i="29"/>
  <c r="Q11" i="29"/>
  <c r="S10" i="29"/>
  <c r="P10" i="29"/>
  <c r="P9" i="29"/>
  <c r="S8" i="29"/>
  <c r="R8" i="29"/>
  <c r="P8" i="29"/>
  <c r="P6" i="29"/>
  <c r="P5" i="29"/>
  <c r="P4" i="29"/>
  <c r="Q5" i="32"/>
  <c r="U3" i="29"/>
  <c r="P5" i="32"/>
  <c r="T3" i="29"/>
  <c r="O5" i="32"/>
  <c r="S3" i="29"/>
  <c r="N5" i="32"/>
  <c r="R3" i="29"/>
  <c r="M5" i="32"/>
  <c r="Q3" i="29"/>
  <c r="L5" i="32"/>
  <c r="P3" i="29"/>
  <c r="F13" i="27"/>
  <c r="F13" i="28"/>
  <c r="F13" i="30"/>
  <c r="F13" i="31"/>
  <c r="F12" i="27"/>
  <c r="F12" i="28"/>
  <c r="F12" i="30"/>
  <c r="F12" i="31"/>
  <c r="J51" i="24"/>
  <c r="J50" i="24"/>
  <c r="J49" i="24"/>
  <c r="J48" i="24"/>
  <c r="J47" i="24"/>
  <c r="J46" i="24"/>
  <c r="J45" i="24"/>
  <c r="J43" i="24"/>
  <c r="J42" i="24"/>
  <c r="J40" i="24"/>
  <c r="J38" i="24"/>
  <c r="J37" i="24"/>
  <c r="J36" i="24"/>
  <c r="J35" i="24"/>
  <c r="J34" i="24"/>
  <c r="J44" i="24"/>
  <c r="S178" i="23"/>
  <c r="O178" i="23"/>
  <c r="K178" i="23"/>
  <c r="G178" i="23"/>
  <c r="B2" i="31"/>
  <c r="B2" i="30"/>
  <c r="B2" i="28"/>
  <c r="B2" i="27"/>
  <c r="B2" i="26"/>
  <c r="G161" i="31"/>
  <c r="G161" i="30"/>
  <c r="F11" i="31"/>
  <c r="F10" i="31"/>
  <c r="F11" i="30"/>
  <c r="F10" i="30"/>
  <c r="S26" i="23"/>
  <c r="G161" i="28"/>
  <c r="F11" i="28"/>
  <c r="F10" i="28"/>
  <c r="G161" i="27"/>
  <c r="F11" i="27"/>
  <c r="F10" i="27"/>
  <c r="E1711" i="10"/>
  <c r="D1711" i="10"/>
  <c r="E1346" i="10"/>
  <c r="D1346" i="10"/>
  <c r="D980" i="10"/>
  <c r="E980" i="10"/>
  <c r="D615" i="10"/>
  <c r="E615" i="10"/>
  <c r="F40" i="32"/>
  <c r="S35" i="29"/>
  <c r="D26" i="32"/>
  <c r="G26" i="32"/>
  <c r="Q10" i="29"/>
  <c r="R6" i="29"/>
  <c r="F36" i="32"/>
  <c r="S31" i="29"/>
  <c r="G26" i="23"/>
  <c r="U58" i="29"/>
  <c r="G36" i="32"/>
  <c r="T31" i="29"/>
  <c r="D36" i="32"/>
  <c r="Q31" i="29"/>
  <c r="K26" i="23"/>
  <c r="E36" i="32"/>
  <c r="R31" i="29"/>
  <c r="R57" i="29"/>
  <c r="S59" i="29"/>
  <c r="S56" i="29"/>
  <c r="S58" i="29"/>
  <c r="F24" i="32"/>
  <c r="S19" i="29"/>
  <c r="W26" i="23"/>
  <c r="Q62" i="29"/>
  <c r="R60" i="29"/>
  <c r="F23" i="32"/>
  <c r="S18" i="29"/>
  <c r="H24" i="32"/>
  <c r="U19" i="29"/>
  <c r="T62" i="29"/>
  <c r="Q8" i="29"/>
  <c r="K101" i="23"/>
  <c r="S33" i="29"/>
  <c r="D40" i="32"/>
  <c r="Q35" i="29"/>
  <c r="R9" i="29"/>
  <c r="E28" i="32"/>
  <c r="R23" i="29"/>
  <c r="H28" i="32"/>
  <c r="U23" i="29"/>
  <c r="U9" i="29"/>
  <c r="D28" i="32"/>
  <c r="Q23" i="29"/>
  <c r="Q9" i="29"/>
  <c r="U20" i="29"/>
  <c r="F25" i="32"/>
  <c r="G29" i="32"/>
  <c r="T24" i="29"/>
  <c r="R33" i="29"/>
  <c r="T33" i="29"/>
  <c r="G40" i="32"/>
  <c r="T35" i="29"/>
  <c r="U32" i="29"/>
  <c r="H36" i="32"/>
  <c r="U31" i="29"/>
  <c r="E40" i="32"/>
  <c r="R35" i="29"/>
  <c r="Q6" i="29"/>
  <c r="R10" i="29"/>
  <c r="U6" i="29"/>
  <c r="E21" i="32"/>
  <c r="R16" i="29"/>
  <c r="H40" i="32"/>
  <c r="U35" i="29"/>
  <c r="U59" i="29"/>
  <c r="R59" i="29"/>
  <c r="O26" i="23"/>
  <c r="S57" i="29"/>
  <c r="U57" i="29"/>
  <c r="U60" i="29"/>
  <c r="T8" i="29"/>
  <c r="F34" i="32"/>
  <c r="S29" i="29"/>
  <c r="D34" i="32"/>
  <c r="Q29" i="29"/>
  <c r="T60" i="29"/>
  <c r="S78" i="23"/>
  <c r="S79" i="23"/>
  <c r="Q59" i="29"/>
  <c r="W178" i="23"/>
  <c r="O78" i="23"/>
  <c r="O79" i="23"/>
  <c r="Q56" i="29"/>
  <c r="U56" i="29"/>
  <c r="U62" i="29"/>
  <c r="U63" i="29"/>
  <c r="G78" i="23"/>
  <c r="G79" i="23"/>
  <c r="Q60" i="29"/>
  <c r="R56" i="29"/>
  <c r="R62" i="29"/>
  <c r="R63" i="29"/>
  <c r="W78" i="23"/>
  <c r="W79" i="23"/>
  <c r="E26" i="32"/>
  <c r="K78" i="23"/>
  <c r="K79" i="23"/>
  <c r="S60" i="29"/>
  <c r="S63" i="29"/>
  <c r="S20" i="29"/>
  <c r="T59" i="29"/>
  <c r="Q58" i="29"/>
  <c r="C14" i="32"/>
  <c r="F28" i="32"/>
  <c r="S23" i="29"/>
  <c r="S9" i="29"/>
  <c r="T58" i="29"/>
  <c r="T57" i="29"/>
  <c r="Q57" i="29"/>
  <c r="E22" i="32"/>
  <c r="R17" i="29"/>
  <c r="Q63" i="29"/>
  <c r="T9" i="29"/>
  <c r="G28" i="32"/>
  <c r="T23" i="29"/>
  <c r="U10" i="29"/>
  <c r="H29" i="32"/>
  <c r="K124" i="30"/>
  <c r="S102" i="23"/>
  <c r="K124" i="31"/>
  <c r="W102" i="23"/>
  <c r="K124" i="27"/>
  <c r="K102" i="23"/>
  <c r="AA229" i="26"/>
  <c r="T63" i="29"/>
  <c r="P11" i="29"/>
  <c r="AA229" i="30"/>
  <c r="F22" i="32"/>
  <c r="S17" i="29"/>
  <c r="AA238" i="26"/>
  <c r="AA233" i="30"/>
  <c r="AA235" i="26"/>
  <c r="AA236" i="26"/>
  <c r="AA230" i="28"/>
  <c r="AA239" i="28"/>
  <c r="U24" i="29"/>
  <c r="H22" i="32"/>
  <c r="U17" i="29"/>
  <c r="AA237" i="30"/>
  <c r="AA228" i="30"/>
  <c r="AA228" i="26"/>
  <c r="AA233" i="26"/>
  <c r="AA228" i="27"/>
  <c r="AA229" i="27"/>
  <c r="AA232" i="27"/>
  <c r="AA234" i="30"/>
  <c r="AA236" i="27"/>
  <c r="AA237" i="27"/>
  <c r="AA230" i="26"/>
  <c r="H33" i="32"/>
  <c r="U28" i="29"/>
  <c r="U5" i="29"/>
  <c r="G33" i="32"/>
  <c r="T28" i="29"/>
  <c r="T5" i="29"/>
  <c r="AA231" i="27"/>
  <c r="K124" i="28"/>
  <c r="O102" i="23"/>
  <c r="AA234" i="27"/>
  <c r="AA230" i="31"/>
  <c r="AA237" i="26"/>
  <c r="E33" i="32"/>
  <c r="R28" i="29"/>
  <c r="R5" i="29"/>
  <c r="AA231" i="28"/>
  <c r="AA231" i="31"/>
  <c r="AA231" i="26"/>
  <c r="AA232" i="26"/>
  <c r="AA234" i="26"/>
  <c r="AA232" i="30"/>
  <c r="AA232" i="31"/>
  <c r="AA230" i="30"/>
  <c r="AA233" i="31"/>
  <c r="AA238" i="28"/>
  <c r="AA237" i="31"/>
  <c r="AA229" i="31"/>
  <c r="D22" i="32"/>
  <c r="Q17" i="29"/>
  <c r="AA231" i="30"/>
  <c r="AA237" i="28"/>
  <c r="AA228" i="28"/>
  <c r="AA236" i="28"/>
  <c r="AA239" i="31"/>
  <c r="AA233" i="27"/>
  <c r="AA232" i="28"/>
  <c r="AA239" i="26"/>
  <c r="F33" i="32"/>
  <c r="S28" i="29"/>
  <c r="S5" i="29"/>
  <c r="K124" i="26"/>
  <c r="G102" i="23"/>
  <c r="AA236" i="30"/>
  <c r="AA234" i="28"/>
  <c r="AA238" i="31"/>
  <c r="AA233" i="28"/>
  <c r="AA235" i="31"/>
  <c r="AA238" i="30"/>
  <c r="AA236" i="31"/>
  <c r="AA230" i="27"/>
  <c r="AA234" i="31"/>
  <c r="AA235" i="27"/>
  <c r="AA228" i="31"/>
  <c r="AA235" i="30"/>
  <c r="AA239" i="27"/>
  <c r="AA239" i="30"/>
  <c r="AA238" i="27"/>
  <c r="AA235" i="28"/>
  <c r="AA229" i="28"/>
  <c r="AJ241" i="26"/>
  <c r="R48" i="29"/>
  <c r="L68" i="30"/>
  <c r="T42" i="29"/>
  <c r="T43" i="29"/>
  <c r="T44" i="29"/>
  <c r="T45" i="29"/>
  <c r="K86" i="26"/>
  <c r="Q48" i="29"/>
  <c r="Q47" i="29"/>
  <c r="AJ241" i="30"/>
  <c r="AJ241" i="28"/>
  <c r="Q50" i="29"/>
  <c r="AJ241" i="27"/>
  <c r="L68" i="26"/>
  <c r="Q42" i="29"/>
  <c r="Q45" i="29"/>
  <c r="Q44" i="29"/>
  <c r="Q43" i="29"/>
  <c r="AJ241" i="31"/>
  <c r="Q49" i="29"/>
  <c r="D33" i="32"/>
  <c r="Q28" i="29"/>
  <c r="Q5" i="29"/>
  <c r="T46" i="29"/>
  <c r="R47" i="29"/>
  <c r="K86" i="27"/>
  <c r="K86" i="31"/>
  <c r="U48" i="29"/>
  <c r="U47" i="29"/>
  <c r="R50" i="29"/>
  <c r="L68" i="27"/>
  <c r="R46" i="29"/>
  <c r="R42" i="29"/>
  <c r="R45" i="29"/>
  <c r="R44" i="29"/>
  <c r="R43" i="29"/>
  <c r="U49" i="29"/>
  <c r="Q46" i="29"/>
  <c r="S49" i="29"/>
  <c r="K86" i="28"/>
  <c r="S47" i="29"/>
  <c r="S48" i="29"/>
  <c r="T50" i="29"/>
  <c r="U50" i="29"/>
  <c r="T49" i="29"/>
  <c r="L68" i="28"/>
  <c r="S43" i="29"/>
  <c r="S42" i="29"/>
  <c r="S45" i="29"/>
  <c r="S44" i="29"/>
  <c r="R49" i="29"/>
  <c r="L68" i="31"/>
  <c r="U45" i="29"/>
  <c r="U44" i="29"/>
  <c r="U43" i="29"/>
  <c r="U46" i="29"/>
  <c r="U42" i="29"/>
  <c r="S50" i="29"/>
  <c r="K86" i="30"/>
  <c r="T48" i="29"/>
  <c r="T47" i="29"/>
  <c r="R51" i="29"/>
  <c r="T51" i="29"/>
  <c r="Q51" i="29"/>
  <c r="S46" i="29"/>
  <c r="K143" i="27"/>
  <c r="K119" i="23"/>
  <c r="E32" i="32"/>
  <c r="U51" i="29"/>
  <c r="D32" i="32"/>
  <c r="K143" i="26"/>
  <c r="G119" i="23"/>
  <c r="G23" i="32"/>
  <c r="S51" i="29"/>
  <c r="K143" i="30"/>
  <c r="S119" i="23"/>
  <c r="G32" i="32"/>
  <c r="E14" i="32"/>
  <c r="F32" i="32"/>
  <c r="K143" i="28"/>
  <c r="O119" i="23"/>
  <c r="T27" i="29"/>
  <c r="G31" i="32"/>
  <c r="T26" i="29"/>
  <c r="K143" i="31"/>
  <c r="W119" i="23"/>
  <c r="H32" i="32"/>
  <c r="R27" i="29"/>
  <c r="E31" i="32"/>
  <c r="R26" i="29"/>
  <c r="D31" i="32"/>
  <c r="Q26" i="29"/>
  <c r="Q27" i="29"/>
  <c r="T18" i="29"/>
  <c r="G22" i="32"/>
  <c r="T17" i="29"/>
  <c r="G14" i="32"/>
  <c r="H14" i="32"/>
  <c r="D14" i="32"/>
  <c r="R4" i="29"/>
  <c r="N14" i="32"/>
  <c r="R12" i="29"/>
  <c r="H31" i="32"/>
  <c r="U26" i="29"/>
  <c r="U27" i="29"/>
  <c r="F31" i="32"/>
  <c r="S26" i="29"/>
  <c r="S27" i="29"/>
  <c r="P14" i="32"/>
  <c r="T12" i="29"/>
  <c r="T4" i="29"/>
  <c r="F14" i="32"/>
  <c r="U4" i="29"/>
  <c r="Q14" i="32"/>
  <c r="U12" i="29"/>
  <c r="M14" i="32"/>
  <c r="Q12" i="29"/>
  <c r="Q4" i="29"/>
  <c r="O14" i="32"/>
  <c r="S12" i="29"/>
  <c r="S4" i="29"/>
</calcChain>
</file>

<file path=xl/sharedStrings.xml><?xml version="1.0" encoding="utf-8"?>
<sst xmlns="http://schemas.openxmlformats.org/spreadsheetml/2006/main" count="1847" uniqueCount="345">
  <si>
    <t>°C</t>
  </si>
  <si>
    <t>Zuid</t>
  </si>
  <si>
    <t>West</t>
  </si>
  <si>
    <t>Noord</t>
  </si>
  <si>
    <t>Oost</t>
  </si>
  <si>
    <t>W/K</t>
  </si>
  <si>
    <t>datum</t>
  </si>
  <si>
    <r>
      <t>R</t>
    </r>
    <r>
      <rPr>
        <vertAlign val="subscript"/>
        <sz val="10"/>
        <rFont val="Arial"/>
        <family val="2"/>
      </rPr>
      <t>c</t>
    </r>
  </si>
  <si>
    <r>
      <t>[m</t>
    </r>
    <r>
      <rPr>
        <vertAlign val="superscript"/>
        <sz val="10"/>
        <rFont val="Arial"/>
        <family val="2"/>
      </rPr>
      <t>2</t>
    </r>
    <r>
      <rPr>
        <sz val="10"/>
        <rFont val="Arial"/>
      </rPr>
      <t>]</t>
    </r>
  </si>
  <si>
    <r>
      <t>[m</t>
    </r>
    <r>
      <rPr>
        <vertAlign val="superscript"/>
        <sz val="10"/>
        <rFont val="Arial"/>
        <family val="2"/>
      </rPr>
      <t>2</t>
    </r>
    <r>
      <rPr>
        <sz val="10"/>
        <rFont val="Arial"/>
      </rPr>
      <t>K/W]</t>
    </r>
  </si>
  <si>
    <r>
      <t>[W/m</t>
    </r>
    <r>
      <rPr>
        <vertAlign val="superscript"/>
        <sz val="10"/>
        <rFont val="Arial"/>
        <family val="2"/>
      </rPr>
      <t>2</t>
    </r>
    <r>
      <rPr>
        <sz val="10"/>
        <rFont val="Arial"/>
      </rPr>
      <t>K]</t>
    </r>
  </si>
  <si>
    <t>T [°C]</t>
  </si>
  <si>
    <t>zonuren</t>
  </si>
  <si>
    <t>http://www.knmi.nl/klimatologie/daggegevens/download.html</t>
  </si>
  <si>
    <t>weerdata van KNMI, zie</t>
  </si>
  <si>
    <t>T gemidd</t>
  </si>
  <si>
    <t>tot zonhr</t>
  </si>
  <si>
    <r>
      <t>dm</t>
    </r>
    <r>
      <rPr>
        <vertAlign val="superscript"/>
        <sz val="10"/>
        <rFont val="Arial"/>
        <family val="2"/>
      </rPr>
      <t>3</t>
    </r>
    <r>
      <rPr>
        <sz val="10"/>
        <rFont val="Arial"/>
      </rPr>
      <t>/sm</t>
    </r>
    <r>
      <rPr>
        <vertAlign val="superscript"/>
        <sz val="10"/>
        <rFont val="Arial"/>
        <family val="2"/>
      </rPr>
      <t>2</t>
    </r>
  </si>
  <si>
    <t>GJ</t>
  </si>
  <si>
    <t>weerstation 257 Wijk aan Zee, 01.05.2001-21.04.2014</t>
  </si>
  <si>
    <t>U</t>
  </si>
  <si>
    <t>Transmissieverliezen</t>
  </si>
  <si>
    <t>Oppervlak</t>
  </si>
  <si>
    <t>[W/K]</t>
  </si>
  <si>
    <t>Vloerdeel 1</t>
  </si>
  <si>
    <t>Vloerdeel 2</t>
  </si>
  <si>
    <t>Vloerdeel 3</t>
  </si>
  <si>
    <t>Dakdeel 1</t>
  </si>
  <si>
    <t>Dakdeel 2</t>
  </si>
  <si>
    <t>Dakdeel 3</t>
  </si>
  <si>
    <t>Raamdeel 2</t>
  </si>
  <si>
    <t>Raamdeel 3</t>
  </si>
  <si>
    <t>Overige</t>
  </si>
  <si>
    <t>TOTAAL</t>
  </si>
  <si>
    <t>Weegfactor</t>
  </si>
  <si>
    <t>Zoninstraling</t>
  </si>
  <si>
    <t>Ventilatie &amp; Infiltratie</t>
  </si>
  <si>
    <t>Hoogte vertrek (gemiddeld)</t>
  </si>
  <si>
    <t>Rendement warmteterugwinning (WTW)</t>
  </si>
  <si>
    <t>Ventilatievoud</t>
  </si>
  <si>
    <t>Ventilatiedebiet</t>
  </si>
  <si>
    <t>Ja</t>
  </si>
  <si>
    <t>Nee</t>
  </si>
  <si>
    <t>Vraaggestuurd ventilatie?</t>
  </si>
  <si>
    <t>Infiltratiedebiet</t>
  </si>
  <si>
    <t>Infiltratievoud</t>
  </si>
  <si>
    <t>Qv10 (mate van kierdichtheid)</t>
  </si>
  <si>
    <t>Interne warmtelast</t>
  </si>
  <si>
    <t>kWh/jaar</t>
  </si>
  <si>
    <t>MJ/jaar</t>
  </si>
  <si>
    <t>Verwarming</t>
  </si>
  <si>
    <t>CW klasse</t>
  </si>
  <si>
    <t>waterprod</t>
  </si>
  <si>
    <t>l/min</t>
  </si>
  <si>
    <t>min</t>
  </si>
  <si>
    <t>GJ/dag</t>
  </si>
  <si>
    <t>GJ/jaar</t>
  </si>
  <si>
    <t>Volume van de woning:</t>
  </si>
  <si>
    <t>m</t>
  </si>
  <si>
    <t>%</t>
  </si>
  <si>
    <r>
      <rPr>
        <sz val="10"/>
        <rFont val="Calibri"/>
        <family val="2"/>
      </rPr>
      <t>°</t>
    </r>
    <r>
      <rPr>
        <sz val="10"/>
        <rFont val="Arial"/>
      </rPr>
      <t>C</t>
    </r>
  </si>
  <si>
    <r>
      <t>m</t>
    </r>
    <r>
      <rPr>
        <sz val="10"/>
        <rFont val="Calibri"/>
        <family val="2"/>
      </rPr>
      <t>³</t>
    </r>
  </si>
  <si>
    <t>Dakdeel 4</t>
  </si>
  <si>
    <t>Dichte buitengevel 4</t>
  </si>
  <si>
    <t>Dichte buitengevel 3</t>
  </si>
  <si>
    <t>Dichte buitengevel 2</t>
  </si>
  <si>
    <t>Tussengevel onverwarmde ruimte 1</t>
  </si>
  <si>
    <t>Tussengevel onverwarmde ruimte 2</t>
  </si>
  <si>
    <t>Tussengevel onverwarmde ruimte 3</t>
  </si>
  <si>
    <t>INVULSHEET</t>
  </si>
  <si>
    <t>1. EIGENSCHAPPEN WONING</t>
  </si>
  <si>
    <t>Aantal bewoners:</t>
  </si>
  <si>
    <t>Deel van de woning waar verwarmd wordt:</t>
  </si>
  <si>
    <t>2. EIGENSCHAPPEN CASCO</t>
  </si>
  <si>
    <t>Dichte buitengevel 1 (exclusief raamdelen)</t>
  </si>
  <si>
    <t>Raamdeel 4</t>
  </si>
  <si>
    <t>Raamdeel 5</t>
  </si>
  <si>
    <t>3. INFILTRATIE &amp; VENTILATIE</t>
  </si>
  <si>
    <t>ach</t>
  </si>
  <si>
    <t>4. TAPWATER</t>
  </si>
  <si>
    <t>Temperatuur koud leidingwater</t>
  </si>
  <si>
    <t>Temperatuur warm tapwater</t>
  </si>
  <si>
    <t>Gemiddelde lengte douchebeurt</t>
  </si>
  <si>
    <t>Rendement douche-WTW</t>
  </si>
  <si>
    <t>per week</t>
  </si>
  <si>
    <t>Totaal aantal douchebeurten</t>
  </si>
  <si>
    <t>Totaal aantal badbeurten</t>
  </si>
  <si>
    <t>Hoeveelheid water per badbeurt</t>
  </si>
  <si>
    <t>liter</t>
  </si>
  <si>
    <t>weken/jaar</t>
  </si>
  <si>
    <t>Afwezigheid i.v.m. vakantie</t>
  </si>
  <si>
    <t>Totale duur gebruik keuken/wastafelkraan voor warm water</t>
  </si>
  <si>
    <t>min/dag</t>
  </si>
  <si>
    <t>Energiebron warm tapwater installatie</t>
  </si>
  <si>
    <t>Gas</t>
  </si>
  <si>
    <t>Rendement/COP warm tapwater installatie</t>
  </si>
  <si>
    <t>5. VERWARMING</t>
  </si>
  <si>
    <t>Energiebron ruimteverwarmingsinstallatie</t>
  </si>
  <si>
    <t>Rendement/COP ruimteverwarmingsinstallatie</t>
  </si>
  <si>
    <t>6. Zoninstraling</t>
  </si>
  <si>
    <t>Glas Zuid</t>
  </si>
  <si>
    <t>Glas West</t>
  </si>
  <si>
    <t>Glas Noord</t>
  </si>
  <si>
    <t>Glas Oost</t>
  </si>
  <si>
    <t>ZTA</t>
  </si>
  <si>
    <t>[-]</t>
  </si>
  <si>
    <t>Schaduw</t>
  </si>
  <si>
    <t>[%]</t>
  </si>
  <si>
    <t>Huidig gasverbruik conform energierekening</t>
  </si>
  <si>
    <t>Huidig elektriciteitsgebruik conform energierekening</t>
  </si>
  <si>
    <r>
      <t>m</t>
    </r>
    <r>
      <rPr>
        <sz val="10"/>
        <rFont val="Calibri"/>
        <family val="2"/>
      </rPr>
      <t>³/jaar</t>
    </r>
  </si>
  <si>
    <t>Vaatwasser</t>
  </si>
  <si>
    <t>beurten/week</t>
  </si>
  <si>
    <t>Wasmachine</t>
  </si>
  <si>
    <t>Droger</t>
  </si>
  <si>
    <t>Verlichting</t>
  </si>
  <si>
    <t>Percentage thuis (gemiddeld per 24 uur)</t>
  </si>
  <si>
    <t>Elektriciteit</t>
  </si>
  <si>
    <t>Warmtenet</t>
  </si>
  <si>
    <t>Hout</t>
  </si>
  <si>
    <t>Mei</t>
  </si>
  <si>
    <t>Januari</t>
  </si>
  <si>
    <t>Februari</t>
  </si>
  <si>
    <t>Maart</t>
  </si>
  <si>
    <t>April</t>
  </si>
  <si>
    <t>Juni</t>
  </si>
  <si>
    <t>Juli</t>
  </si>
  <si>
    <t>Augustus</t>
  </si>
  <si>
    <t>September</t>
  </si>
  <si>
    <t>Oktober</t>
  </si>
  <si>
    <t>November</t>
  </si>
  <si>
    <t>December</t>
  </si>
  <si>
    <t>Zontoetreding</t>
  </si>
  <si>
    <t xml:space="preserve"> </t>
  </si>
  <si>
    <t>Ingevuld</t>
  </si>
  <si>
    <t>Berekend</t>
  </si>
  <si>
    <t>Gemiddelde binnentemperatuur stookseizoen</t>
  </si>
  <si>
    <t>Maand</t>
  </si>
  <si>
    <t>Zoninstraling [MJ/m2]</t>
  </si>
  <si>
    <t>T_buiten</t>
  </si>
  <si>
    <t>Verlies</t>
  </si>
  <si>
    <t>Ueff</t>
  </si>
  <si>
    <t>Verlies tgv Infiltratie</t>
  </si>
  <si>
    <t>m3/s</t>
  </si>
  <si>
    <t>Verlies tgv ventilatie</t>
  </si>
  <si>
    <t>Waterdebiet</t>
  </si>
  <si>
    <t>liter/min</t>
  </si>
  <si>
    <t>Delta-T</t>
  </si>
  <si>
    <t>Aantal douchebeurten per jaar</t>
  </si>
  <si>
    <t>Energie per douchebeurt</t>
  </si>
  <si>
    <t>Energievraag tapwater</t>
  </si>
  <si>
    <t>Aantal badbeurten per jaar</t>
  </si>
  <si>
    <t>Tapwater per dag</t>
  </si>
  <si>
    <t>Totaal tapwatervraag</t>
  </si>
  <si>
    <t>Stilstandverliezen</t>
  </si>
  <si>
    <t>Energie voor tapwaterinstallatie</t>
  </si>
  <si>
    <t>kWh/beurt</t>
  </si>
  <si>
    <t>Energiegebruik</t>
  </si>
  <si>
    <t>Totaal</t>
  </si>
  <si>
    <t>Bijdrage intern</t>
  </si>
  <si>
    <t>Interne warmtelast personen</t>
  </si>
  <si>
    <t>Interne warmtelast apparaten</t>
  </si>
  <si>
    <t>6. ZONINSTRALING</t>
  </si>
  <si>
    <t>Infiltratie &amp; Ventilatieverliezen</t>
  </si>
  <si>
    <t>Verwarmingsvraag</t>
  </si>
  <si>
    <t>Energie voor ruimteverwarmingsinstallatie</t>
  </si>
  <si>
    <t>Tapwater</t>
  </si>
  <si>
    <t>Meterstand</t>
  </si>
  <si>
    <t>Apparaten</t>
  </si>
  <si>
    <t>Warmtebalans in MJ</t>
  </si>
  <si>
    <t>Transmissie (ramen)</t>
  </si>
  <si>
    <t>Infiltratie</t>
  </si>
  <si>
    <t>Ventilatie</t>
  </si>
  <si>
    <t>Transmissie (dak)</t>
  </si>
  <si>
    <t>Transmissie (vloer)</t>
  </si>
  <si>
    <t>Transmissie (buitengevels)</t>
  </si>
  <si>
    <t>Transmissie (overige)</t>
  </si>
  <si>
    <t>Finaal energiegebruik in MJ</t>
  </si>
  <si>
    <t>Netto warmtevraag</t>
  </si>
  <si>
    <t>Finaal energiegebruik per energiedrager</t>
  </si>
  <si>
    <t>Elektriciteit [kWh]</t>
  </si>
  <si>
    <t>Gas [m3]</t>
  </si>
  <si>
    <t>Hout [kg]</t>
  </si>
  <si>
    <t>Warmtenet [GJ]</t>
  </si>
  <si>
    <t>Warmtebalans in kWh/m2</t>
  </si>
  <si>
    <t>Warmteverlies in W/K</t>
  </si>
  <si>
    <r>
      <rPr>
        <i/>
        <sz val="10"/>
        <rFont val="Calibri"/>
        <family val="2"/>
      </rPr>
      <t>°</t>
    </r>
    <r>
      <rPr>
        <i/>
        <sz val="10"/>
        <rFont val="Arial"/>
        <family val="2"/>
      </rPr>
      <t>C</t>
    </r>
  </si>
  <si>
    <t>Geen</t>
  </si>
  <si>
    <t>Korte leiding</t>
  </si>
  <si>
    <t>Lange leiding</t>
  </si>
  <si>
    <t>Comfortboiler</t>
  </si>
  <si>
    <t>!getal frans koene</t>
  </si>
  <si>
    <t>!schatting</t>
  </si>
  <si>
    <t>7. Koken</t>
  </si>
  <si>
    <t>Intensiteit</t>
  </si>
  <si>
    <t>Energiebron</t>
  </si>
  <si>
    <t>Koken</t>
  </si>
  <si>
    <t>Laag</t>
  </si>
  <si>
    <t>Gemiddeld</t>
  </si>
  <si>
    <t>Hoog</t>
  </si>
  <si>
    <t>7. KOKEN</t>
  </si>
  <si>
    <t>8. ELEKTRISCHE APPARATEN</t>
  </si>
  <si>
    <t>9. INTERNE WARMTELAST STOOKSEIZOEN</t>
  </si>
  <si>
    <t>10. ENERGIEBALANS</t>
  </si>
  <si>
    <t>MJ</t>
  </si>
  <si>
    <t>kWh</t>
  </si>
  <si>
    <t>m3</t>
  </si>
  <si>
    <t>Overige apparaten (zelf invullen)</t>
  </si>
  <si>
    <t>Apparaat 1</t>
  </si>
  <si>
    <t>Apparaat 2</t>
  </si>
  <si>
    <t>Apparaat 3</t>
  </si>
  <si>
    <t>Apparaat 4</t>
  </si>
  <si>
    <t>Apparaat 5</t>
  </si>
  <si>
    <t>Apparaat 6</t>
  </si>
  <si>
    <t>Apparaat 7</t>
  </si>
  <si>
    <t>Apparaat 8</t>
  </si>
  <si>
    <t>Apparaat 9</t>
  </si>
  <si>
    <t>Overige apparaten (subtotaal)</t>
  </si>
  <si>
    <t>Aangenomen wordt dat er 8 uur per dag geslapen worden en 4 uur per dag niemand aanwezig is. Nachtverlaging is dus 12 uur per dag. Ruimten die niet worden verwarmd hebben de nachtverlagingstemperatuur</t>
  </si>
  <si>
    <t>Berekening van zontoetreding volgt de NEN5120, 2004, tabel 10. Het betreft alleen zontoetreding in het stookseizoen. Bij volledige beschaduwing in zontoetreding 50% (zuid), 70% (oost/west), 100% (noord)</t>
  </si>
  <si>
    <t>Naam rekenvariant:</t>
  </si>
  <si>
    <t>Ter informatie</t>
  </si>
  <si>
    <t>Ruimtetemperatuur bij aanwezigheid</t>
  </si>
  <si>
    <t>Ruimtetemperatuur bij afwezigheid/slapen</t>
  </si>
  <si>
    <t>Vloeroppervlakte</t>
  </si>
  <si>
    <t>m2</t>
  </si>
  <si>
    <t>Oppervlak van de woning</t>
  </si>
  <si>
    <t>m²</t>
  </si>
  <si>
    <t>Primaire opwekker</t>
  </si>
  <si>
    <t>Aandeel in tapwaterverwarming</t>
  </si>
  <si>
    <t>Aandeel in ruimteverwarming</t>
  </si>
  <si>
    <t>Secundaire opwekker (optioneel)</t>
  </si>
  <si>
    <t>9. Zonnepanelen</t>
  </si>
  <si>
    <t>Aantal panelen</t>
  </si>
  <si>
    <t>Vermogen per paneel</t>
  </si>
  <si>
    <t>Wp/paneel</t>
  </si>
  <si>
    <t>panelen</t>
  </si>
  <si>
    <t>Orientatie</t>
  </si>
  <si>
    <t>Dakhoek</t>
  </si>
  <si>
    <t>PV - orientatie</t>
  </si>
  <si>
    <t>Zuidwest</t>
  </si>
  <si>
    <t>Zuidoost</t>
  </si>
  <si>
    <t>PV - inclinatie</t>
  </si>
  <si>
    <t>graden</t>
  </si>
  <si>
    <t>Opwekking</t>
  </si>
  <si>
    <t>Opbrengst zonneboiler tbv tapwater</t>
  </si>
  <si>
    <t>Opbrengst zonneboiler tbv ruimteverwarming</t>
  </si>
  <si>
    <t>W</t>
  </si>
  <si>
    <t>Type ventilatie</t>
  </si>
  <si>
    <t>Overige 1 (bijv deuren, kozijnen, borstwering)</t>
  </si>
  <si>
    <t>Overige 8 (bijv deuren, kozijnen, borstwering)</t>
  </si>
  <si>
    <t>Raamdeel 1</t>
  </si>
  <si>
    <t>Overige 7 (bijv deuren, kozijnen, borstwering)</t>
  </si>
  <si>
    <t>Overige 6 (bijv deuren, kozijnen, borstwering)</t>
  </si>
  <si>
    <t>Overige 5 (bijv deuren, kozijnen, borstwering)</t>
  </si>
  <si>
    <t>Overige 4 (bijv deuren, kozijnen, borstwering)</t>
  </si>
  <si>
    <t>Overige 3 (bijv deuren, kozijnen, borstwering)</t>
  </si>
  <si>
    <t>Overige 2 (bijv deuren, kozijnen, borstwering)</t>
  </si>
  <si>
    <t>Omschrijving:</t>
  </si>
  <si>
    <t>Raamdeel 1 (glas met of zonder kozijn)</t>
  </si>
  <si>
    <t>100% Natuurlijk</t>
  </si>
  <si>
    <t>Mechanische afzuiging</t>
  </si>
  <si>
    <t>Balansventilatie</t>
  </si>
  <si>
    <t>Type ventilatiesysteem</t>
  </si>
  <si>
    <t>Elektriciteitsgebruik ventilatiesysteem</t>
  </si>
  <si>
    <t>Primair opwekapparaat</t>
  </si>
  <si>
    <t>Aandeel</t>
  </si>
  <si>
    <t>Secundair opwekapparaat</t>
  </si>
  <si>
    <t>Opbrengst Zonneboiler</t>
  </si>
  <si>
    <t>Vermogen hulpenergie</t>
  </si>
  <si>
    <t>Bijdrage Zonneboiler</t>
  </si>
  <si>
    <t>Interne warmtelast ventilatiesysteem</t>
  </si>
  <si>
    <t>11. PV Calculator</t>
  </si>
  <si>
    <t>Bron: https://www.siderea.nl/artikelen/hellingshoek2/hellingshoek2.html</t>
  </si>
  <si>
    <t>Bij 30/zuid is de opbrengst 1 kWh/Wp</t>
  </si>
  <si>
    <t>Bron:https://www.zonnepanelen.net/zonnepanelen-plat-dak/</t>
  </si>
  <si>
    <t>Finaal energiegebruik in kWh/m2</t>
  </si>
  <si>
    <t>Zonnepanelen</t>
  </si>
  <si>
    <t>Huidig houtverbruik</t>
  </si>
  <si>
    <t>Huidig warmtegebruik (warmtenet)</t>
  </si>
  <si>
    <t>kg/jaar</t>
  </si>
  <si>
    <t>Huidig houtgebruik</t>
  </si>
  <si>
    <t>Finaal energiegebruik in kWh/m2/jaar</t>
  </si>
  <si>
    <t>Finaal energiegebruik per jaar</t>
  </si>
  <si>
    <t>Warmtebalans in kWh/m2/jaar</t>
  </si>
  <si>
    <t>Versie</t>
  </si>
  <si>
    <t>Datum</t>
  </si>
  <si>
    <t>20. Maandelijkse warmtelastberekening</t>
  </si>
  <si>
    <t>kWh/maand</t>
  </si>
  <si>
    <t>MJ/maand</t>
  </si>
  <si>
    <t>Stookseizoen</t>
  </si>
  <si>
    <t>Mu</t>
  </si>
  <si>
    <t>Bruto zoninstr.</t>
  </si>
  <si>
    <t>(Scroll naar kolom Q)</t>
  </si>
  <si>
    <t>Alle waarden zijn in MJ</t>
  </si>
  <si>
    <t>Intern</t>
  </si>
  <si>
    <t>Qwinst</t>
  </si>
  <si>
    <t>Transmissie</t>
  </si>
  <si>
    <t>Inf+Ven</t>
  </si>
  <si>
    <t>Qverlies</t>
  </si>
  <si>
    <t>Qw/Qv</t>
  </si>
  <si>
    <t>Eta</t>
  </si>
  <si>
    <t>BRUTO</t>
  </si>
  <si>
    <t>NETTO</t>
  </si>
  <si>
    <t>Zon</t>
  </si>
  <si>
    <t>Qwinst = Totaal zon + Intern</t>
  </si>
  <si>
    <t>Netto warmtewinst = eta * bruto warmtewinst</t>
  </si>
  <si>
    <t>NEN5128:2004</t>
  </si>
  <si>
    <t>Totaal (bruto)</t>
  </si>
  <si>
    <t>Interne warmtelast tbv warmtewinst</t>
  </si>
  <si>
    <t>Eigen reductie inschatting t.g.v. schaduw en zonuren</t>
  </si>
  <si>
    <t xml:space="preserve">Disclaimer en Toelichting op energie rekenmodel </t>
  </si>
  <si>
    <t>8. Elektrische apparaten en hulpenergie</t>
  </si>
  <si>
    <t>Hulpenergie voor verwarmen</t>
  </si>
  <si>
    <t>Tapwater en CW-klassen</t>
  </si>
  <si>
    <t>Elektriciteitsgebruik ventilatie</t>
  </si>
  <si>
    <t>Benuttingsfactor warmtewinst (BRON: NEN 5128)</t>
  </si>
  <si>
    <t>Bron</t>
  </si>
  <si>
    <t>Maanden</t>
  </si>
  <si>
    <t>Hulptabel</t>
  </si>
  <si>
    <t>Warmtebron</t>
  </si>
  <si>
    <t>m3 per uur</t>
  </si>
  <si>
    <t>Totale luchtverversing (totaal van infiltratie en ventilatie)</t>
  </si>
  <si>
    <t>m³/hr</t>
  </si>
  <si>
    <t>Gemiddelde temperatuur koud leidingwater</t>
  </si>
  <si>
    <t>Verversingsvoud (totaal van infiltratie en ventilatie)</t>
  </si>
  <si>
    <t>Gemiddelde temperatuur van het warme water bij tappunt</t>
  </si>
  <si>
    <t>Hulpenergie voor ventilatie</t>
  </si>
  <si>
    <t>kWh/jr</t>
  </si>
  <si>
    <t>Elektra</t>
  </si>
  <si>
    <t>Overige hulpenergie</t>
  </si>
  <si>
    <t>Vraag</t>
  </si>
  <si>
    <t>Rendement Koken</t>
  </si>
  <si>
    <t>Hoeveelheid water per badbeurt (110 liter standaard)</t>
  </si>
  <si>
    <t>Daggemiddelde binnentemperatuur in stookseizoen</t>
  </si>
  <si>
    <r>
      <t xml:space="preserve">Rendement/SPF warm tapwater installatie </t>
    </r>
    <r>
      <rPr>
        <sz val="10"/>
        <color rgb="FFFF0000"/>
        <rFont val="Arial"/>
        <family val="2"/>
      </rPr>
      <t>(</t>
    </r>
    <r>
      <rPr>
        <b/>
        <sz val="10"/>
        <color rgb="FFFF0000"/>
        <rFont val="Arial"/>
        <family val="2"/>
      </rPr>
      <t>let op: geen '0' invullen</t>
    </r>
    <r>
      <rPr>
        <sz val="10"/>
        <color rgb="FFFF0000"/>
        <rFont val="Arial"/>
        <family val="2"/>
      </rPr>
      <t>)</t>
    </r>
  </si>
  <si>
    <r>
      <t xml:space="preserve">Rendement/SPF ruimteverwarmingsinstallatie </t>
    </r>
    <r>
      <rPr>
        <b/>
        <sz val="10"/>
        <color rgb="FFFF0000"/>
        <rFont val="Arial"/>
        <family val="2"/>
      </rPr>
      <t>(Let op:geen '0' invullen)</t>
    </r>
  </si>
  <si>
    <r>
      <t xml:space="preserve">Overige hulpenergie </t>
    </r>
    <r>
      <rPr>
        <sz val="8"/>
        <rFont val="Arial"/>
        <family val="2"/>
      </rPr>
      <t>(bij toepassing ketel, houtkachel of warmtenet)</t>
    </r>
  </si>
  <si>
    <t>F150 wordt niet gebruik. Zelf waarde invullen in "Invul" cel F152.</t>
  </si>
  <si>
    <t>Schetsontwerp Camper</t>
  </si>
  <si>
    <t>1e verbeterslag</t>
  </si>
  <si>
    <t>2e verbeterslag</t>
  </si>
  <si>
    <t>3e verbeterslag</t>
  </si>
  <si>
    <t>4e verbetering</t>
  </si>
  <si>
    <t>Vul hieronder de gegevens in waar jullie bij het schetsontwerp van de camper vanuit zijn gegaan</t>
  </si>
  <si>
    <t>Vul hieronder de verbeterde gegevens in om het energieverbruik in balans te krijgen Probeer op een evenwicht uit te komen.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</si>
</sst>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000"/>
  </numFmts>
  <fonts count="54" x14ac:knownFonts="1">
    <font>
      <sz val="10"/>
      <name val="Arial"/>
    </font>
    <font>
      <b/>
      <sz val="10"/>
      <name val="Arial"/>
      <family val="2"/>
    </font>
    <font>
      <vertAlign val="superscript"/>
      <sz val="10"/>
      <name val="Arial"/>
      <family val="2"/>
    </font>
    <font>
      <sz val="10"/>
      <name val="Arial"/>
      <family val="2"/>
    </font>
    <font>
      <sz val="8"/>
      <name val="Arial"/>
      <family val="2"/>
    </font>
    <font>
      <u/>
      <sz val="10"/>
      <color indexed="12"/>
      <name val="Arial"/>
      <family val="2"/>
    </font>
    <font>
      <sz val="10"/>
      <color indexed="23"/>
      <name val="Arial"/>
      <family val="2"/>
    </font>
    <font>
      <vertAlign val="subscript"/>
      <sz val="10"/>
      <name val="Arial"/>
      <family val="2"/>
    </font>
    <font>
      <sz val="10"/>
      <color rgb="FFFF0000"/>
      <name val="Arial"/>
      <family val="2"/>
    </font>
    <font>
      <sz val="10"/>
      <name val="Calibri"/>
      <family val="2"/>
    </font>
    <font>
      <sz val="16"/>
      <name val="Arial"/>
      <family val="2"/>
    </font>
    <font>
      <b/>
      <sz val="24"/>
      <color rgb="FF17BB42"/>
      <name val="Arial"/>
      <family val="2"/>
    </font>
    <font>
      <b/>
      <sz val="16"/>
      <name val="Arial"/>
      <family val="2"/>
    </font>
    <font>
      <b/>
      <sz val="10"/>
      <color rgb="FF847638"/>
      <name val="Arial"/>
      <family val="2"/>
    </font>
    <font>
      <b/>
      <sz val="10"/>
      <color rgb="FFD8670A"/>
      <name val="Arial"/>
      <family val="2"/>
    </font>
    <font>
      <b/>
      <sz val="10"/>
      <color rgb="FF005392"/>
      <name val="Arial"/>
      <family val="2"/>
    </font>
    <font>
      <sz val="10"/>
      <color rgb="FF005392"/>
      <name val="Arial"/>
      <family val="2"/>
    </font>
    <font>
      <b/>
      <sz val="10"/>
      <color rgb="FF002060"/>
      <name val="Arial"/>
      <family val="2"/>
    </font>
    <font>
      <b/>
      <sz val="16"/>
      <color rgb="FF002060"/>
      <name val="Arial"/>
      <family val="2"/>
    </font>
    <font>
      <b/>
      <sz val="10"/>
      <color rgb="FFC00000"/>
      <name val="Arial"/>
      <family val="2"/>
    </font>
    <font>
      <b/>
      <sz val="16"/>
      <color rgb="FFC00000"/>
      <name val="Arial"/>
      <family val="2"/>
    </font>
    <font>
      <sz val="10"/>
      <color rgb="FF847638"/>
      <name val="Arial"/>
      <family val="2"/>
    </font>
    <font>
      <sz val="10"/>
      <color rgb="FFD8670A"/>
      <name val="Arial"/>
      <family val="2"/>
    </font>
    <font>
      <b/>
      <sz val="10"/>
      <color rgb="FF7030A0"/>
      <name val="Arial"/>
      <family val="2"/>
    </font>
    <font>
      <sz val="10"/>
      <color rgb="FF7030A0"/>
      <name val="Arial"/>
      <family val="2"/>
    </font>
    <font>
      <i/>
      <sz val="11"/>
      <color rgb="FF7F7F7F"/>
      <name val="Calibri"/>
      <family val="2"/>
      <scheme val="minor"/>
    </font>
    <font>
      <i/>
      <sz val="10"/>
      <name val="Arial"/>
      <family val="2"/>
    </font>
    <font>
      <i/>
      <sz val="10"/>
      <name val="Calibri"/>
      <family val="2"/>
    </font>
    <font>
      <i/>
      <sz val="11"/>
      <color rgb="FF7F7F7F"/>
      <name val="Arial"/>
      <family val="2"/>
    </font>
    <font>
      <b/>
      <sz val="10"/>
      <color rgb="FFD80A8E"/>
      <name val="Arial"/>
      <family val="2"/>
    </font>
    <font>
      <sz val="10"/>
      <color rgb="FFD80A8E"/>
      <name val="Arial"/>
      <family val="2"/>
    </font>
    <font>
      <sz val="10"/>
      <name val="Arial"/>
    </font>
    <font>
      <b/>
      <sz val="14"/>
      <color rgb="FF847638"/>
      <name val="Arial"/>
      <family val="2"/>
    </font>
    <font>
      <b/>
      <sz val="14"/>
      <color rgb="FF005392"/>
      <name val="Arial"/>
      <family val="2"/>
    </font>
    <font>
      <b/>
      <sz val="14"/>
      <color rgb="FFD8670A"/>
      <name val="Arial"/>
      <family val="2"/>
    </font>
    <font>
      <b/>
      <sz val="14"/>
      <color rgb="FFD80A8E"/>
      <name val="Arial"/>
      <family val="2"/>
    </font>
    <font>
      <b/>
      <sz val="14"/>
      <color rgb="FF7030A0"/>
      <name val="Arial"/>
      <family val="2"/>
    </font>
    <font>
      <i/>
      <sz val="10"/>
      <color rgb="FF7F7F7F"/>
      <name val="Arial"/>
      <family val="2"/>
    </font>
    <font>
      <b/>
      <sz val="10"/>
      <color rgb="FFFF0000"/>
      <name val="Arial"/>
      <family val="2"/>
    </font>
    <font>
      <sz val="11"/>
      <color rgb="FF006100"/>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b/>
      <sz val="11"/>
      <color theme="0"/>
      <name val="Calibri"/>
      <family val="2"/>
      <scheme val="minor"/>
    </font>
    <font>
      <sz val="10"/>
      <color theme="0" tint="-0.499984740745262"/>
      <name val="Arial"/>
      <family val="2"/>
    </font>
    <font>
      <u/>
      <sz val="10"/>
      <color theme="11"/>
      <name val="Arial"/>
    </font>
    <font>
      <b/>
      <i/>
      <sz val="10"/>
      <name val="Arial"/>
    </font>
    <font>
      <b/>
      <sz val="14"/>
      <name val="Calibri"/>
      <family val="2"/>
      <scheme val="minor"/>
    </font>
    <font>
      <sz val="10"/>
      <name val="Calibri"/>
      <family val="2"/>
      <scheme val="minor"/>
    </font>
    <font>
      <sz val="10"/>
      <color theme="0" tint="-0.249977111117893"/>
      <name val="Arial"/>
      <family val="2"/>
    </font>
    <font>
      <b/>
      <sz val="10"/>
      <name val="Arial"/>
      <family val="2"/>
    </font>
    <font>
      <sz val="10"/>
      <name val="Arial"/>
    </font>
    <font>
      <u/>
      <sz val="10"/>
      <color indexed="12"/>
      <name val="Arial"/>
      <family val="2"/>
    </font>
    <font>
      <sz val="10"/>
      <color rgb="FFFF0000"/>
      <name val="Arial"/>
      <family val="2"/>
    </font>
  </fonts>
  <fills count="13">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s>
  <borders count="36">
    <border>
      <left/>
      <right/>
      <top/>
      <bottom/>
      <diagonal/>
    </border>
    <border>
      <left/>
      <right/>
      <top style="medium">
        <color rgb="FF17BB42"/>
      </top>
      <bottom style="medium">
        <color rgb="FF17BB42"/>
      </bottom>
      <diagonal/>
    </border>
    <border>
      <left/>
      <right/>
      <top style="thin">
        <color rgb="FF847638"/>
      </top>
      <bottom style="thin">
        <color rgb="FF847638"/>
      </bottom>
      <diagonal/>
    </border>
    <border>
      <left/>
      <right/>
      <top style="thin">
        <color rgb="FF005392"/>
      </top>
      <bottom style="thin">
        <color rgb="FF005392"/>
      </bottom>
      <diagonal/>
    </border>
    <border>
      <left/>
      <right/>
      <top style="thin">
        <color rgb="FFD8670A"/>
      </top>
      <bottom style="thin">
        <color rgb="FFD8670A"/>
      </bottom>
      <diagonal/>
    </border>
    <border>
      <left style="thin">
        <color rgb="FF847638"/>
      </left>
      <right style="thin">
        <color rgb="FF847638"/>
      </right>
      <top style="thin">
        <color rgb="FF847638"/>
      </top>
      <bottom style="thin">
        <color rgb="FF847638"/>
      </bottom>
      <diagonal/>
    </border>
    <border>
      <left style="thin">
        <color rgb="FF005392"/>
      </left>
      <right style="thin">
        <color rgb="FF005392"/>
      </right>
      <top style="thin">
        <color rgb="FF005392"/>
      </top>
      <bottom style="thin">
        <color rgb="FF005392"/>
      </bottom>
      <diagonal/>
    </border>
    <border>
      <left style="thin">
        <color rgb="FFD8670A"/>
      </left>
      <right style="thin">
        <color rgb="FFD8670A"/>
      </right>
      <top style="thin">
        <color rgb="FFD8670A"/>
      </top>
      <bottom style="thin">
        <color rgb="FFD8670A"/>
      </bottom>
      <diagonal/>
    </border>
    <border>
      <left style="thin">
        <color rgb="FF002060"/>
      </left>
      <right style="thin">
        <color rgb="FF002060"/>
      </right>
      <top style="thin">
        <color rgb="FF002060"/>
      </top>
      <bottom style="thin">
        <color rgb="FF002060"/>
      </bottom>
      <diagonal/>
    </border>
    <border>
      <left/>
      <right/>
      <top style="thin">
        <color rgb="FF002060"/>
      </top>
      <bottom style="thin">
        <color rgb="FF002060"/>
      </bottom>
      <diagonal/>
    </border>
    <border>
      <left style="thin">
        <color rgb="FFC00000"/>
      </left>
      <right style="thin">
        <color rgb="FFC00000"/>
      </right>
      <top style="thin">
        <color rgb="FFC00000"/>
      </top>
      <bottom style="thin">
        <color rgb="FFC00000"/>
      </bottom>
      <diagonal/>
    </border>
    <border>
      <left/>
      <right/>
      <top style="thin">
        <color rgb="FFC00000"/>
      </top>
      <bottom style="thin">
        <color rgb="FFC00000"/>
      </bottom>
      <diagonal/>
    </border>
    <border>
      <left/>
      <right/>
      <top style="thin">
        <color rgb="FF17BB42"/>
      </top>
      <bottom/>
      <diagonal/>
    </border>
    <border>
      <left/>
      <right style="thin">
        <color rgb="FF17BB42"/>
      </right>
      <top/>
      <bottom/>
      <diagonal/>
    </border>
    <border>
      <left/>
      <right style="thin">
        <color rgb="FF17BB42"/>
      </right>
      <top style="thin">
        <color rgb="FF17BB42"/>
      </top>
      <bottom/>
      <diagonal/>
    </border>
    <border>
      <left/>
      <right/>
      <top/>
      <bottom style="thin">
        <color rgb="FF17BB42"/>
      </bottom>
      <diagonal/>
    </border>
    <border>
      <left/>
      <right style="thin">
        <color rgb="FF17BB42"/>
      </right>
      <top/>
      <bottom style="thin">
        <color rgb="FF17BB42"/>
      </bottom>
      <diagonal/>
    </border>
    <border>
      <left style="thin">
        <color rgb="FF7F7F7F"/>
      </left>
      <right style="thin">
        <color rgb="FF7F7F7F"/>
      </right>
      <top style="thin">
        <color rgb="FF7F7F7F"/>
      </top>
      <bottom style="thin">
        <color rgb="FF7F7F7F"/>
      </bottom>
      <diagonal/>
    </border>
    <border>
      <left style="thin">
        <color rgb="FFD80A8E"/>
      </left>
      <right style="thin">
        <color rgb="FFD80A8E"/>
      </right>
      <top style="thin">
        <color rgb="FFD80A8E"/>
      </top>
      <bottom style="thin">
        <color rgb="FFD80A8E"/>
      </bottom>
      <diagonal/>
    </border>
    <border>
      <left/>
      <right/>
      <top style="thin">
        <color rgb="FFD80A8E"/>
      </top>
      <bottom style="thin">
        <color rgb="FFD80A8E"/>
      </bottom>
      <diagonal/>
    </border>
    <border>
      <left style="thin">
        <color rgb="FF7030A0"/>
      </left>
      <right style="thin">
        <color rgb="FF7030A0"/>
      </right>
      <top style="thin">
        <color rgb="FF7030A0"/>
      </top>
      <bottom style="thin">
        <color rgb="FF7030A0"/>
      </bottom>
      <diagonal/>
    </border>
    <border>
      <left/>
      <right/>
      <top style="thin">
        <color rgb="FF7030A0"/>
      </top>
      <bottom style="thin">
        <color rgb="FF7030A0"/>
      </bottom>
      <diagonal/>
    </border>
    <border>
      <left style="thin">
        <color rgb="FF847638"/>
      </left>
      <right/>
      <top style="thin">
        <color rgb="FF847638"/>
      </top>
      <bottom style="thin">
        <color rgb="FF847638"/>
      </bottom>
      <diagonal/>
    </border>
    <border>
      <left/>
      <right style="thin">
        <color rgb="FF847638"/>
      </right>
      <top style="thin">
        <color rgb="FF847638"/>
      </top>
      <bottom style="thin">
        <color rgb="FF847638"/>
      </bottom>
      <diagonal/>
    </border>
    <border>
      <left style="thin">
        <color rgb="FF005392"/>
      </left>
      <right/>
      <top style="thin">
        <color rgb="FF005392"/>
      </top>
      <bottom style="thin">
        <color rgb="FF005392"/>
      </bottom>
      <diagonal/>
    </border>
    <border>
      <left/>
      <right style="thin">
        <color rgb="FF005392"/>
      </right>
      <top style="thin">
        <color rgb="FF005392"/>
      </top>
      <bottom style="thin">
        <color rgb="FF005392"/>
      </bottom>
      <diagonal/>
    </border>
    <border>
      <left style="thin">
        <color rgb="FFD8670A"/>
      </left>
      <right/>
      <top style="thin">
        <color rgb="FFD8670A"/>
      </top>
      <bottom style="thin">
        <color rgb="FFD8670A"/>
      </bottom>
      <diagonal/>
    </border>
    <border>
      <left/>
      <right style="thin">
        <color rgb="FFD8670A"/>
      </right>
      <top style="thin">
        <color rgb="FFD8670A"/>
      </top>
      <bottom style="thin">
        <color rgb="FFD8670A"/>
      </bottom>
      <diagonal/>
    </border>
    <border>
      <left style="thin">
        <color rgb="FFD80A8E"/>
      </left>
      <right/>
      <top style="thin">
        <color rgb="FFD80A8E"/>
      </top>
      <bottom style="thin">
        <color rgb="FFD80A8E"/>
      </bottom>
      <diagonal/>
    </border>
    <border>
      <left/>
      <right style="thin">
        <color rgb="FFD80A8E"/>
      </right>
      <top style="thin">
        <color rgb="FFD80A8E"/>
      </top>
      <bottom style="thin">
        <color rgb="FFD80A8E"/>
      </bottom>
      <diagonal/>
    </border>
    <border>
      <left style="thin">
        <color rgb="FF7030A0"/>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D8670A"/>
      </left>
      <right/>
      <top style="thin">
        <color rgb="FFD8670A"/>
      </top>
      <bottom/>
      <diagonal/>
    </border>
    <border>
      <left/>
      <right/>
      <top style="thin">
        <color rgb="FFD8670A"/>
      </top>
      <bottom/>
      <diagonal/>
    </border>
    <border>
      <left/>
      <right style="thin">
        <color rgb="FFD8670A"/>
      </right>
      <top style="thin">
        <color rgb="FFD8670A"/>
      </top>
      <bottom/>
      <diagonal/>
    </border>
    <border>
      <left style="double">
        <color rgb="FF3F3F3F"/>
      </left>
      <right style="double">
        <color rgb="FF3F3F3F"/>
      </right>
      <top style="double">
        <color rgb="FF3F3F3F"/>
      </top>
      <bottom style="double">
        <color rgb="FF3F3F3F"/>
      </bottom>
      <diagonal/>
    </border>
  </borders>
  <cellStyleXfs count="25">
    <xf numFmtId="0" fontId="0" fillId="0" borderId="0"/>
    <xf numFmtId="0" fontId="5" fillId="0" borderId="0" applyNumberFormat="0" applyFill="0" applyBorder="0" applyAlignment="0" applyProtection="0">
      <alignment vertical="top"/>
      <protection locked="0"/>
    </xf>
    <xf numFmtId="0" fontId="25" fillId="0" borderId="0" applyNumberFormat="0" applyFill="0" applyBorder="0" applyAlignment="0" applyProtection="0"/>
    <xf numFmtId="9" fontId="31" fillId="0" borderId="0" applyFont="0" applyFill="0" applyBorder="0" applyAlignment="0" applyProtection="0"/>
    <xf numFmtId="0" fontId="39" fillId="4" borderId="0" applyNumberFormat="0" applyBorder="0" applyAlignment="0" applyProtection="0"/>
    <xf numFmtId="0" fontId="40" fillId="5" borderId="0" applyNumberFormat="0" applyBorder="0" applyAlignment="0" applyProtection="0"/>
    <xf numFmtId="0" fontId="41" fillId="6" borderId="0" applyNumberFormat="0" applyBorder="0" applyAlignment="0" applyProtection="0"/>
    <xf numFmtId="0" fontId="42" fillId="7" borderId="17" applyNumberFormat="0" applyAlignment="0" applyProtection="0"/>
    <xf numFmtId="0" fontId="43" fillId="8" borderId="35" applyNumberFormat="0" applyAlignment="0" applyProtection="0"/>
    <xf numFmtId="0" fontId="13" fillId="0" borderId="5">
      <alignment horizontal="right"/>
    </xf>
    <xf numFmtId="0" fontId="15" fillId="0" borderId="6">
      <alignment horizontal="right"/>
    </xf>
    <xf numFmtId="0" fontId="14" fillId="0" borderId="7">
      <alignment horizontal="right"/>
    </xf>
    <xf numFmtId="0" fontId="29" fillId="0" borderId="18">
      <alignment horizontal="right"/>
    </xf>
    <xf numFmtId="0" fontId="23" fillId="0" borderId="20">
      <alignment horizontal="right"/>
    </xf>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cellStyleXfs>
  <cellXfs count="283">
    <xf numFmtId="0" fontId="0" fillId="0" borderId="0" xfId="0"/>
    <xf numFmtId="0" fontId="1" fillId="0" borderId="0" xfId="0" applyFont="1"/>
    <xf numFmtId="0" fontId="6" fillId="0" borderId="0" xfId="0" applyFont="1"/>
    <xf numFmtId="0" fontId="3" fillId="0" borderId="0" xfId="0" applyFont="1"/>
    <xf numFmtId="0" fontId="3" fillId="0" borderId="0" xfId="0" applyFont="1" applyAlignment="1">
      <alignment horizontal="center"/>
    </xf>
    <xf numFmtId="0" fontId="3" fillId="0" borderId="0" xfId="0" applyFont="1" applyAlignment="1">
      <alignment horizontal="left"/>
    </xf>
    <xf numFmtId="1" fontId="0" fillId="0" borderId="0" xfId="0" applyNumberFormat="1"/>
    <xf numFmtId="164" fontId="6" fillId="0" borderId="0" xfId="0" applyNumberFormat="1" applyFont="1"/>
    <xf numFmtId="0" fontId="12" fillId="0" borderId="0" xfId="0" applyFont="1"/>
    <xf numFmtId="0" fontId="10" fillId="2" borderId="0" xfId="0" applyFont="1" applyFill="1"/>
    <xf numFmtId="0" fontId="3" fillId="2" borderId="0" xfId="0" applyFont="1" applyFill="1"/>
    <xf numFmtId="0" fontId="3" fillId="0" borderId="0" xfId="0" applyFont="1" applyAlignment="1">
      <alignment horizontal="right"/>
    </xf>
    <xf numFmtId="0" fontId="3" fillId="2" borderId="0" xfId="0" applyFont="1" applyFill="1" applyAlignment="1">
      <alignment horizontal="right"/>
    </xf>
    <xf numFmtId="0" fontId="13" fillId="0" borderId="5" xfId="0" applyFont="1" applyBorder="1" applyAlignment="1">
      <alignment horizontal="right"/>
    </xf>
    <xf numFmtId="0" fontId="15" fillId="0" borderId="6" xfId="0" applyFont="1" applyBorder="1" applyAlignment="1">
      <alignment horizontal="right"/>
    </xf>
    <xf numFmtId="0" fontId="14" fillId="0" borderId="7" xfId="0" applyFont="1" applyBorder="1" applyAlignment="1">
      <alignment horizontal="right"/>
    </xf>
    <xf numFmtId="0" fontId="16" fillId="0" borderId="0" xfId="0" applyFont="1" applyAlignment="1">
      <alignment horizontal="right"/>
    </xf>
    <xf numFmtId="1" fontId="13" fillId="0" borderId="5" xfId="0" applyNumberFormat="1" applyFont="1" applyBorder="1" applyAlignment="1">
      <alignment horizontal="right"/>
    </xf>
    <xf numFmtId="1" fontId="15" fillId="0" borderId="6" xfId="0" applyNumberFormat="1" applyFont="1" applyBorder="1" applyAlignment="1">
      <alignment horizontal="right"/>
    </xf>
    <xf numFmtId="1" fontId="14" fillId="0" borderId="7" xfId="0" applyNumberFormat="1" applyFont="1" applyBorder="1" applyAlignment="1">
      <alignment horizontal="right"/>
    </xf>
    <xf numFmtId="164" fontId="13" fillId="0" borderId="5" xfId="0" applyNumberFormat="1" applyFont="1" applyBorder="1" applyAlignment="1">
      <alignment horizontal="right"/>
    </xf>
    <xf numFmtId="164" fontId="15" fillId="0" borderId="6" xfId="0" applyNumberFormat="1" applyFont="1" applyBorder="1" applyAlignment="1">
      <alignment horizontal="right"/>
    </xf>
    <xf numFmtId="164" fontId="14" fillId="0" borderId="7" xfId="0" applyNumberFormat="1" applyFont="1" applyBorder="1" applyAlignment="1">
      <alignment horizontal="right"/>
    </xf>
    <xf numFmtId="0" fontId="10" fillId="2" borderId="0" xfId="0" applyFont="1" applyFill="1" applyAlignment="1">
      <alignment horizontal="left"/>
    </xf>
    <xf numFmtId="1" fontId="13" fillId="0" borderId="0" xfId="0" applyNumberFormat="1" applyFont="1" applyBorder="1" applyAlignment="1">
      <alignment horizontal="right"/>
    </xf>
    <xf numFmtId="1" fontId="15" fillId="0" borderId="0" xfId="0" applyNumberFormat="1" applyFont="1" applyBorder="1" applyAlignment="1">
      <alignment horizontal="right"/>
    </xf>
    <xf numFmtId="1" fontId="14" fillId="0" borderId="0" xfId="0" applyNumberFormat="1" applyFont="1" applyBorder="1" applyAlignment="1">
      <alignment horizontal="right"/>
    </xf>
    <xf numFmtId="0" fontId="3" fillId="0" borderId="0" xfId="0" applyFont="1" applyAlignment="1"/>
    <xf numFmtId="2" fontId="13" fillId="0" borderId="5" xfId="0" applyNumberFormat="1" applyFont="1" applyBorder="1" applyAlignment="1">
      <alignment horizontal="right"/>
    </xf>
    <xf numFmtId="2" fontId="15" fillId="0" borderId="6" xfId="0" applyNumberFormat="1" applyFont="1" applyBorder="1" applyAlignment="1">
      <alignment horizontal="right"/>
    </xf>
    <xf numFmtId="2" fontId="14" fillId="0" borderId="7" xfId="0" applyNumberFormat="1" applyFont="1" applyBorder="1" applyAlignment="1">
      <alignment horizontal="right"/>
    </xf>
    <xf numFmtId="0" fontId="13" fillId="0" borderId="0" xfId="0" applyFont="1" applyBorder="1" applyAlignment="1">
      <alignment horizontal="right"/>
    </xf>
    <xf numFmtId="0" fontId="17" fillId="0" borderId="8" xfId="0" applyFont="1" applyBorder="1" applyAlignment="1">
      <alignment horizontal="right"/>
    </xf>
    <xf numFmtId="0" fontId="19" fillId="0" borderId="10" xfId="0" applyFont="1" applyBorder="1" applyAlignment="1">
      <alignment horizontal="right"/>
    </xf>
    <xf numFmtId="0" fontId="18" fillId="0" borderId="0" xfId="0" applyFont="1" applyBorder="1" applyAlignment="1">
      <alignment horizontal="center"/>
    </xf>
    <xf numFmtId="0" fontId="17" fillId="0" borderId="0" xfId="0" applyFont="1" applyBorder="1" applyAlignment="1">
      <alignment horizontal="right"/>
    </xf>
    <xf numFmtId="166" fontId="19" fillId="0" borderId="10" xfId="0" applyNumberFormat="1" applyFont="1" applyBorder="1" applyAlignment="1">
      <alignment horizontal="right"/>
    </xf>
    <xf numFmtId="165" fontId="19" fillId="0" borderId="10" xfId="0" applyNumberFormat="1" applyFont="1" applyBorder="1" applyAlignment="1">
      <alignment horizontal="right"/>
    </xf>
    <xf numFmtId="2" fontId="19" fillId="0" borderId="10" xfId="0" applyNumberFormat="1" applyFont="1" applyBorder="1" applyAlignment="1">
      <alignment horizontal="right"/>
    </xf>
    <xf numFmtId="164" fontId="19" fillId="0" borderId="10" xfId="0" applyNumberFormat="1" applyFont="1" applyBorder="1" applyAlignment="1">
      <alignment horizontal="right"/>
    </xf>
    <xf numFmtId="2" fontId="19" fillId="0" borderId="0" xfId="0" applyNumberFormat="1" applyFont="1" applyBorder="1" applyAlignment="1">
      <alignment horizontal="right"/>
    </xf>
    <xf numFmtId="1" fontId="17" fillId="0" borderId="8" xfId="0" applyNumberFormat="1" applyFont="1" applyBorder="1" applyAlignment="1">
      <alignment horizontal="right"/>
    </xf>
    <xf numFmtId="164" fontId="17" fillId="0" borderId="8" xfId="0" applyNumberFormat="1" applyFont="1" applyBorder="1" applyAlignment="1">
      <alignment horizontal="right"/>
    </xf>
    <xf numFmtId="2" fontId="17" fillId="0" borderId="8" xfId="0" applyNumberFormat="1" applyFont="1" applyBorder="1" applyAlignment="1">
      <alignment horizontal="right"/>
    </xf>
    <xf numFmtId="164" fontId="17" fillId="0" borderId="0" xfId="0" applyNumberFormat="1" applyFont="1" applyBorder="1" applyAlignment="1">
      <alignment horizontal="right"/>
    </xf>
    <xf numFmtId="2" fontId="17" fillId="0" borderId="0" xfId="0" applyNumberFormat="1" applyFont="1" applyBorder="1" applyAlignment="1">
      <alignment horizontal="right"/>
    </xf>
    <xf numFmtId="1" fontId="19" fillId="0" borderId="10" xfId="0" applyNumberFormat="1" applyFont="1" applyBorder="1" applyAlignment="1">
      <alignment horizontal="right"/>
    </xf>
    <xf numFmtId="1" fontId="19" fillId="0" borderId="0" xfId="0" applyNumberFormat="1" applyFont="1" applyBorder="1" applyAlignment="1">
      <alignment horizontal="right"/>
    </xf>
    <xf numFmtId="164" fontId="3" fillId="0" borderId="0" xfId="0" applyNumberFormat="1" applyFont="1" applyAlignment="1">
      <alignment horizontal="right"/>
    </xf>
    <xf numFmtId="0" fontId="23" fillId="0" borderId="0" xfId="0" applyFont="1" applyAlignment="1">
      <alignment horizontal="right"/>
    </xf>
    <xf numFmtId="0" fontId="13" fillId="0" borderId="0" xfId="0" applyFont="1" applyAlignment="1">
      <alignment horizontal="right"/>
    </xf>
    <xf numFmtId="0" fontId="15" fillId="0" borderId="0" xfId="0" applyFont="1" applyAlignment="1">
      <alignment horizontal="right"/>
    </xf>
    <xf numFmtId="0" fontId="14" fillId="0" borderId="0" xfId="0" applyFont="1" applyAlignment="1">
      <alignment horizontal="right"/>
    </xf>
    <xf numFmtId="0" fontId="24" fillId="0" borderId="0" xfId="0" applyFont="1" applyAlignment="1">
      <alignment horizontal="right"/>
    </xf>
    <xf numFmtId="1" fontId="21" fillId="0" borderId="0" xfId="0" applyNumberFormat="1" applyFont="1" applyAlignment="1">
      <alignment horizontal="right"/>
    </xf>
    <xf numFmtId="1" fontId="16" fillId="0" borderId="0" xfId="0" applyNumberFormat="1" applyFont="1" applyAlignment="1">
      <alignment horizontal="right"/>
    </xf>
    <xf numFmtId="1" fontId="22" fillId="0" borderId="0" xfId="0" applyNumberFormat="1" applyFont="1" applyAlignment="1">
      <alignment horizontal="right"/>
    </xf>
    <xf numFmtId="0" fontId="24" fillId="0" borderId="0" xfId="0" applyFont="1" applyBorder="1" applyAlignment="1">
      <alignment horizontal="right"/>
    </xf>
    <xf numFmtId="1" fontId="21" fillId="0" borderId="0" xfId="0" applyNumberFormat="1" applyFont="1" applyBorder="1" applyAlignment="1">
      <alignment horizontal="right"/>
    </xf>
    <xf numFmtId="1" fontId="16" fillId="0" borderId="0" xfId="0" applyNumberFormat="1" applyFont="1" applyBorder="1" applyAlignment="1">
      <alignment horizontal="right"/>
    </xf>
    <xf numFmtId="1" fontId="22" fillId="0" borderId="0" xfId="0" applyNumberFormat="1" applyFont="1" applyBorder="1" applyAlignment="1">
      <alignment horizontal="right"/>
    </xf>
    <xf numFmtId="1" fontId="24" fillId="0" borderId="0" xfId="0" applyNumberFormat="1" applyFont="1" applyAlignment="1">
      <alignment horizontal="right"/>
    </xf>
    <xf numFmtId="1" fontId="23" fillId="0" borderId="12" xfId="0" applyNumberFormat="1" applyFont="1" applyBorder="1"/>
    <xf numFmtId="1" fontId="13" fillId="0" borderId="12" xfId="0" applyNumberFormat="1" applyFont="1" applyBorder="1" applyAlignment="1">
      <alignment horizontal="right"/>
    </xf>
    <xf numFmtId="1" fontId="15" fillId="0" borderId="12" xfId="0" applyNumberFormat="1" applyFont="1" applyBorder="1" applyAlignment="1">
      <alignment horizontal="right"/>
    </xf>
    <xf numFmtId="1" fontId="14" fillId="0" borderId="12" xfId="0" applyNumberFormat="1" applyFont="1" applyBorder="1" applyAlignment="1">
      <alignment horizontal="right"/>
    </xf>
    <xf numFmtId="0" fontId="24" fillId="0" borderId="12" xfId="0" applyFont="1" applyBorder="1" applyAlignment="1">
      <alignment horizontal="right"/>
    </xf>
    <xf numFmtId="1" fontId="21" fillId="0" borderId="12" xfId="0" applyNumberFormat="1" applyFont="1" applyBorder="1" applyAlignment="1">
      <alignment horizontal="right"/>
    </xf>
    <xf numFmtId="1" fontId="16" fillId="0" borderId="12" xfId="0" applyNumberFormat="1" applyFont="1" applyBorder="1" applyAlignment="1">
      <alignment horizontal="right"/>
    </xf>
    <xf numFmtId="1" fontId="22" fillId="0" borderId="12" xfId="0" applyNumberFormat="1" applyFont="1" applyBorder="1" applyAlignment="1">
      <alignment horizontal="right"/>
    </xf>
    <xf numFmtId="0" fontId="1" fillId="0" borderId="13" xfId="0" applyFont="1" applyBorder="1"/>
    <xf numFmtId="0" fontId="1" fillId="0" borderId="14" xfId="0" applyFont="1" applyBorder="1"/>
    <xf numFmtId="1" fontId="3" fillId="0" borderId="0" xfId="0" applyNumberFormat="1" applyFont="1"/>
    <xf numFmtId="0" fontId="1" fillId="0" borderId="16" xfId="0" applyFont="1" applyBorder="1"/>
    <xf numFmtId="0" fontId="13" fillId="0" borderId="15" xfId="0" applyFont="1" applyBorder="1" applyAlignment="1">
      <alignment horizontal="right"/>
    </xf>
    <xf numFmtId="0" fontId="15" fillId="0" borderId="15" xfId="0" applyFont="1" applyBorder="1" applyAlignment="1">
      <alignment horizontal="right"/>
    </xf>
    <xf numFmtId="0" fontId="14" fillId="0" borderId="15" xfId="0" applyFont="1" applyBorder="1" applyAlignment="1">
      <alignment horizontal="right"/>
    </xf>
    <xf numFmtId="0" fontId="26" fillId="0" borderId="0" xfId="0" applyFont="1"/>
    <xf numFmtId="0" fontId="26" fillId="0" borderId="0" xfId="0" applyFont="1" applyAlignment="1">
      <alignment horizontal="left"/>
    </xf>
    <xf numFmtId="0" fontId="3" fillId="0" borderId="0" xfId="0" applyFont="1" applyAlignment="1">
      <alignment horizontal="center"/>
    </xf>
    <xf numFmtId="0" fontId="29" fillId="0" borderId="18" xfId="0" applyFont="1" applyBorder="1" applyAlignment="1">
      <alignment horizontal="right"/>
    </xf>
    <xf numFmtId="1" fontId="29" fillId="0" borderId="18" xfId="0" applyNumberFormat="1" applyFont="1" applyBorder="1" applyAlignment="1">
      <alignment horizontal="right"/>
    </xf>
    <xf numFmtId="2" fontId="29" fillId="0" borderId="18" xfId="0" applyNumberFormat="1" applyFont="1" applyBorder="1" applyAlignment="1">
      <alignment horizontal="right"/>
    </xf>
    <xf numFmtId="164" fontId="29" fillId="0" borderId="18" xfId="0" applyNumberFormat="1" applyFont="1" applyBorder="1" applyAlignment="1">
      <alignment horizontal="right"/>
    </xf>
    <xf numFmtId="0" fontId="23" fillId="0" borderId="20" xfId="0" applyFont="1" applyBorder="1" applyAlignment="1">
      <alignment horizontal="right"/>
    </xf>
    <xf numFmtId="164" fontId="23" fillId="0" borderId="20" xfId="0" applyNumberFormat="1" applyFont="1" applyBorder="1" applyAlignment="1">
      <alignment horizontal="right"/>
    </xf>
    <xf numFmtId="2" fontId="23" fillId="0" borderId="20" xfId="0" applyNumberFormat="1" applyFont="1" applyBorder="1" applyAlignment="1">
      <alignment horizontal="right"/>
    </xf>
    <xf numFmtId="1" fontId="23" fillId="0" borderId="20" xfId="0" applyNumberFormat="1" applyFont="1" applyBorder="1" applyAlignment="1">
      <alignment horizontal="right"/>
    </xf>
    <xf numFmtId="0" fontId="29" fillId="0" borderId="0" xfId="0" applyFont="1" applyAlignment="1">
      <alignment horizontal="right"/>
    </xf>
    <xf numFmtId="1" fontId="30" fillId="0" borderId="12" xfId="0" applyNumberFormat="1" applyFont="1" applyBorder="1" applyAlignment="1">
      <alignment horizontal="right"/>
    </xf>
    <xf numFmtId="1" fontId="30" fillId="0" borderId="0" xfId="0" applyNumberFormat="1" applyFont="1" applyAlignment="1">
      <alignment horizontal="right"/>
    </xf>
    <xf numFmtId="1" fontId="30" fillId="0" borderId="0" xfId="0" applyNumberFormat="1" applyFont="1" applyBorder="1" applyAlignment="1">
      <alignment horizontal="right"/>
    </xf>
    <xf numFmtId="1" fontId="29" fillId="0" borderId="12" xfId="0" applyNumberFormat="1" applyFont="1" applyBorder="1" applyAlignment="1">
      <alignment horizontal="right"/>
    </xf>
    <xf numFmtId="1" fontId="24" fillId="0" borderId="12" xfId="0" applyNumberFormat="1" applyFont="1" applyBorder="1" applyAlignment="1">
      <alignment horizontal="right"/>
    </xf>
    <xf numFmtId="1" fontId="24" fillId="0" borderId="0" xfId="0" applyNumberFormat="1" applyFont="1" applyBorder="1" applyAlignment="1">
      <alignment horizontal="right"/>
    </xf>
    <xf numFmtId="0" fontId="23" fillId="0" borderId="15" xfId="0" applyFont="1" applyBorder="1" applyAlignment="1">
      <alignment horizontal="right"/>
    </xf>
    <xf numFmtId="0" fontId="29" fillId="0" borderId="15" xfId="0" applyFont="1" applyBorder="1" applyAlignment="1">
      <alignment horizontal="right"/>
    </xf>
    <xf numFmtId="1" fontId="23" fillId="0" borderId="0" xfId="0" applyNumberFormat="1" applyFont="1" applyBorder="1" applyAlignment="1">
      <alignment horizontal="right"/>
    </xf>
    <xf numFmtId="1" fontId="13" fillId="0" borderId="5" xfId="0" applyNumberFormat="1" applyFont="1" applyBorder="1" applyAlignment="1">
      <alignment horizontal="left"/>
    </xf>
    <xf numFmtId="2" fontId="13" fillId="0" borderId="0" xfId="0" applyNumberFormat="1" applyFont="1" applyBorder="1" applyAlignment="1">
      <alignment horizontal="right"/>
    </xf>
    <xf numFmtId="0" fontId="29" fillId="0" borderId="0" xfId="0" applyFont="1" applyBorder="1" applyAlignment="1">
      <alignment horizontal="right"/>
    </xf>
    <xf numFmtId="0" fontId="23" fillId="0" borderId="0" xfId="0" applyFont="1" applyBorder="1" applyAlignment="1">
      <alignment horizontal="right"/>
    </xf>
    <xf numFmtId="9" fontId="13" fillId="0" borderId="5" xfId="3" applyFont="1" applyBorder="1" applyAlignment="1">
      <alignment horizontal="right"/>
    </xf>
    <xf numFmtId="2" fontId="37" fillId="3" borderId="0" xfId="2" applyNumberFormat="1" applyFont="1" applyFill="1" applyBorder="1" applyAlignment="1">
      <alignment horizontal="right"/>
    </xf>
    <xf numFmtId="2" fontId="28" fillId="3" borderId="0" xfId="2" applyNumberFormat="1" applyFont="1" applyFill="1" applyBorder="1" applyAlignment="1">
      <alignment horizontal="right"/>
    </xf>
    <xf numFmtId="0" fontId="38" fillId="0" borderId="0" xfId="0" applyFont="1" applyAlignment="1">
      <alignment horizontal="left"/>
    </xf>
    <xf numFmtId="0" fontId="11" fillId="0" borderId="1" xfId="0" applyFont="1" applyBorder="1" applyAlignment="1"/>
    <xf numFmtId="0" fontId="3" fillId="0" borderId="0" xfId="0" applyFont="1"/>
    <xf numFmtId="0" fontId="13" fillId="0" borderId="5" xfId="9">
      <alignment horizontal="right"/>
    </xf>
    <xf numFmtId="0" fontId="29" fillId="0" borderId="18" xfId="12">
      <alignment horizontal="right"/>
    </xf>
    <xf numFmtId="0" fontId="14" fillId="0" borderId="7" xfId="11">
      <alignment horizontal="right"/>
    </xf>
    <xf numFmtId="0" fontId="23" fillId="0" borderId="20" xfId="13">
      <alignment horizontal="right"/>
    </xf>
    <xf numFmtId="0" fontId="3"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9" fontId="23" fillId="0" borderId="20" xfId="3" applyFont="1" applyBorder="1" applyAlignment="1">
      <alignment horizontal="right"/>
    </xf>
    <xf numFmtId="9" fontId="29" fillId="0" borderId="18" xfId="3" applyFont="1" applyBorder="1" applyAlignment="1">
      <alignment horizontal="right"/>
    </xf>
    <xf numFmtId="9" fontId="15" fillId="0" borderId="6" xfId="3" applyFont="1" applyBorder="1" applyAlignment="1">
      <alignment horizontal="right"/>
    </xf>
    <xf numFmtId="9" fontId="14" fillId="0" borderId="7" xfId="3" applyFont="1" applyBorder="1" applyAlignment="1">
      <alignment horizontal="right"/>
    </xf>
    <xf numFmtId="164" fontId="19" fillId="0" borderId="0" xfId="0" applyNumberFormat="1" applyFont="1" applyBorder="1" applyAlignment="1">
      <alignment horizontal="right"/>
    </xf>
    <xf numFmtId="166" fontId="19" fillId="0" borderId="0" xfId="0" applyNumberFormat="1" applyFont="1" applyBorder="1" applyAlignment="1">
      <alignment horizontal="right"/>
    </xf>
    <xf numFmtId="9" fontId="17" fillId="0" borderId="8" xfId="3" applyFont="1" applyBorder="1" applyAlignment="1">
      <alignment horizontal="right"/>
    </xf>
    <xf numFmtId="2" fontId="17" fillId="0" borderId="8" xfId="3" applyNumberFormat="1" applyFont="1" applyBorder="1" applyAlignment="1">
      <alignment horizontal="right"/>
    </xf>
    <xf numFmtId="0" fontId="17" fillId="0" borderId="8" xfId="0" applyNumberFormat="1" applyFont="1" applyBorder="1" applyAlignment="1">
      <alignment horizontal="right"/>
    </xf>
    <xf numFmtId="1" fontId="17" fillId="0" borderId="0" xfId="0" applyNumberFormat="1" applyFont="1" applyBorder="1" applyAlignment="1">
      <alignment horizontal="right"/>
    </xf>
    <xf numFmtId="2" fontId="15" fillId="0" borderId="6" xfId="10" applyNumberFormat="1">
      <alignment horizontal="right"/>
    </xf>
    <xf numFmtId="2" fontId="14" fillId="0" borderId="7" xfId="11" applyNumberFormat="1">
      <alignment horizontal="right"/>
    </xf>
    <xf numFmtId="2" fontId="29" fillId="0" borderId="18" xfId="12" applyNumberFormat="1">
      <alignment horizontal="right"/>
    </xf>
    <xf numFmtId="2" fontId="23" fillId="0" borderId="20" xfId="13" applyNumberFormat="1">
      <alignment horizontal="right"/>
    </xf>
    <xf numFmtId="0" fontId="3" fillId="0" borderId="0" xfId="0" applyFont="1" applyAlignment="1">
      <alignment vertical="top"/>
    </xf>
    <xf numFmtId="1" fontId="23" fillId="0" borderId="12" xfId="0" applyNumberFormat="1" applyFont="1" applyBorder="1" applyAlignment="1">
      <alignment horizontal="right"/>
    </xf>
    <xf numFmtId="164" fontId="21" fillId="0" borderId="12" xfId="0" applyNumberFormat="1" applyFont="1" applyBorder="1" applyAlignment="1">
      <alignment horizontal="right"/>
    </xf>
    <xf numFmtId="164" fontId="16" fillId="0" borderId="12" xfId="0" applyNumberFormat="1" applyFont="1" applyBorder="1" applyAlignment="1">
      <alignment horizontal="right"/>
    </xf>
    <xf numFmtId="164" fontId="22" fillId="0" borderId="12" xfId="0" applyNumberFormat="1" applyFont="1" applyBorder="1" applyAlignment="1">
      <alignment horizontal="right"/>
    </xf>
    <xf numFmtId="164" fontId="30" fillId="0" borderId="12" xfId="0" applyNumberFormat="1" applyFont="1" applyBorder="1" applyAlignment="1">
      <alignment horizontal="right"/>
    </xf>
    <xf numFmtId="164" fontId="24" fillId="0" borderId="12" xfId="0" applyNumberFormat="1" applyFont="1" applyBorder="1" applyAlignment="1">
      <alignment horizontal="right"/>
    </xf>
    <xf numFmtId="164" fontId="21" fillId="0" borderId="0" xfId="0" applyNumberFormat="1" applyFont="1" applyAlignment="1">
      <alignment horizontal="right"/>
    </xf>
    <xf numFmtId="164" fontId="16" fillId="0" borderId="0" xfId="0" applyNumberFormat="1" applyFont="1" applyAlignment="1">
      <alignment horizontal="right"/>
    </xf>
    <xf numFmtId="164" fontId="22" fillId="0" borderId="0" xfId="0" applyNumberFormat="1" applyFont="1" applyAlignment="1">
      <alignment horizontal="right"/>
    </xf>
    <xf numFmtId="164" fontId="30" fillId="0" borderId="0" xfId="0" applyNumberFormat="1" applyFont="1" applyAlignment="1">
      <alignment horizontal="right"/>
    </xf>
    <xf numFmtId="164" fontId="24" fillId="0" borderId="0" xfId="0" applyNumberFormat="1" applyFont="1" applyAlignment="1">
      <alignment horizontal="right"/>
    </xf>
    <xf numFmtId="164" fontId="21" fillId="0" borderId="0" xfId="0" applyNumberFormat="1" applyFont="1" applyBorder="1" applyAlignment="1">
      <alignment horizontal="right"/>
    </xf>
    <xf numFmtId="164" fontId="16" fillId="0" borderId="0" xfId="0" applyNumberFormat="1" applyFont="1" applyBorder="1" applyAlignment="1">
      <alignment horizontal="right"/>
    </xf>
    <xf numFmtId="164" fontId="22" fillId="0" borderId="0" xfId="0" applyNumberFormat="1" applyFont="1" applyBorder="1" applyAlignment="1">
      <alignment horizontal="right"/>
    </xf>
    <xf numFmtId="164" fontId="30" fillId="0" borderId="0" xfId="0" applyNumberFormat="1" applyFont="1" applyBorder="1" applyAlignment="1">
      <alignment horizontal="right"/>
    </xf>
    <xf numFmtId="164" fontId="24" fillId="0" borderId="0" xfId="0" applyNumberFormat="1" applyFont="1" applyBorder="1" applyAlignment="1">
      <alignment horizontal="right"/>
    </xf>
    <xf numFmtId="164" fontId="23" fillId="0" borderId="12" xfId="0" applyNumberFormat="1" applyFont="1" applyBorder="1"/>
    <xf numFmtId="164" fontId="13" fillId="0" borderId="12" xfId="0" applyNumberFormat="1" applyFont="1" applyBorder="1" applyAlignment="1">
      <alignment horizontal="right"/>
    </xf>
    <xf numFmtId="164" fontId="15" fillId="0" borderId="12" xfId="0" applyNumberFormat="1" applyFont="1" applyBorder="1" applyAlignment="1">
      <alignment horizontal="right"/>
    </xf>
    <xf numFmtId="164" fontId="14" fillId="0" borderId="12" xfId="0" applyNumberFormat="1" applyFont="1" applyBorder="1" applyAlignment="1">
      <alignment horizontal="right"/>
    </xf>
    <xf numFmtId="164" fontId="29" fillId="0" borderId="12" xfId="0" applyNumberFormat="1" applyFont="1" applyBorder="1" applyAlignment="1">
      <alignment horizontal="right"/>
    </xf>
    <xf numFmtId="164" fontId="23" fillId="0" borderId="12" xfId="0" applyNumberFormat="1" applyFont="1" applyBorder="1" applyAlignment="1">
      <alignment horizontal="right"/>
    </xf>
    <xf numFmtId="0" fontId="26" fillId="0" borderId="13" xfId="0" applyFont="1" applyBorder="1"/>
    <xf numFmtId="0" fontId="23" fillId="0" borderId="12" xfId="0" applyFont="1" applyBorder="1" applyAlignment="1">
      <alignment horizontal="right"/>
    </xf>
    <xf numFmtId="1" fontId="13" fillId="0" borderId="0" xfId="0" applyNumberFormat="1" applyFont="1" applyAlignment="1">
      <alignment horizontal="right"/>
    </xf>
    <xf numFmtId="1" fontId="15" fillId="0" borderId="0" xfId="0" applyNumberFormat="1" applyFont="1" applyAlignment="1">
      <alignment horizontal="right"/>
    </xf>
    <xf numFmtId="1" fontId="29" fillId="0" borderId="0" xfId="0" applyNumberFormat="1" applyFont="1" applyBorder="1" applyAlignment="1">
      <alignment horizontal="right"/>
    </xf>
    <xf numFmtId="1" fontId="23" fillId="0" borderId="0" xfId="0" applyNumberFormat="1" applyFont="1" applyAlignment="1">
      <alignment horizontal="right"/>
    </xf>
    <xf numFmtId="164" fontId="23" fillId="0" borderId="0" xfId="0" applyNumberFormat="1" applyFont="1" applyAlignment="1">
      <alignment horizontal="right"/>
    </xf>
    <xf numFmtId="164" fontId="13" fillId="0" borderId="0" xfId="0" applyNumberFormat="1" applyFont="1" applyAlignment="1">
      <alignment horizontal="right"/>
    </xf>
    <xf numFmtId="164" fontId="15" fillId="0" borderId="0" xfId="0" applyNumberFormat="1" applyFont="1" applyAlignment="1">
      <alignment horizontal="right"/>
    </xf>
    <xf numFmtId="164" fontId="14" fillId="0" borderId="0" xfId="0" applyNumberFormat="1" applyFont="1" applyAlignment="1">
      <alignment horizontal="right"/>
    </xf>
    <xf numFmtId="164" fontId="29" fillId="0" borderId="0" xfId="0" applyNumberFormat="1" applyFont="1" applyAlignment="1">
      <alignment horizontal="right"/>
    </xf>
    <xf numFmtId="164" fontId="15" fillId="0" borderId="6" xfId="10" applyNumberFormat="1">
      <alignment horizontal="right"/>
    </xf>
    <xf numFmtId="164" fontId="21" fillId="0" borderId="15" xfId="0" applyNumberFormat="1" applyFont="1" applyBorder="1" applyAlignment="1">
      <alignment horizontal="right"/>
    </xf>
    <xf numFmtId="164" fontId="16" fillId="0" borderId="15" xfId="0" applyNumberFormat="1" applyFont="1" applyBorder="1" applyAlignment="1">
      <alignment horizontal="right"/>
    </xf>
    <xf numFmtId="164" fontId="22" fillId="0" borderId="15" xfId="0" applyNumberFormat="1" applyFont="1" applyBorder="1" applyAlignment="1">
      <alignment horizontal="right"/>
    </xf>
    <xf numFmtId="164" fontId="30" fillId="0" borderId="15" xfId="0" applyNumberFormat="1" applyFont="1" applyBorder="1" applyAlignment="1">
      <alignment horizontal="right"/>
    </xf>
    <xf numFmtId="164" fontId="24" fillId="0" borderId="15" xfId="0" applyNumberFormat="1" applyFont="1" applyBorder="1" applyAlignment="1">
      <alignment horizontal="right"/>
    </xf>
    <xf numFmtId="0" fontId="3" fillId="0" borderId="0" xfId="0" applyFont="1" applyAlignment="1">
      <alignment horizontal="center"/>
    </xf>
    <xf numFmtId="1" fontId="14" fillId="0" borderId="0" xfId="0" applyNumberFormat="1" applyFont="1" applyAlignment="1">
      <alignment horizontal="right"/>
    </xf>
    <xf numFmtId="1" fontId="29" fillId="0" borderId="0" xfId="0" applyNumberFormat="1" applyFont="1" applyAlignment="1">
      <alignment horizontal="right"/>
    </xf>
    <xf numFmtId="0" fontId="0" fillId="3" borderId="0" xfId="0" applyFill="1"/>
    <xf numFmtId="0" fontId="3" fillId="0" borderId="0" xfId="0" applyFont="1" applyAlignment="1">
      <alignment horizontal="left" wrapText="1"/>
    </xf>
    <xf numFmtId="1" fontId="1" fillId="0" borderId="0" xfId="0" applyNumberFormat="1" applyFont="1" applyAlignment="1">
      <alignment horizontal="left"/>
    </xf>
    <xf numFmtId="0" fontId="1" fillId="0" borderId="0" xfId="0" applyFont="1" applyAlignment="1">
      <alignment horizontal="left"/>
    </xf>
    <xf numFmtId="0" fontId="3" fillId="0" borderId="0" xfId="0" applyFont="1" applyAlignment="1">
      <alignment horizontal="left"/>
    </xf>
    <xf numFmtId="0" fontId="3" fillId="0" borderId="0" xfId="0" applyFont="1" applyAlignment="1">
      <alignment horizontal="left"/>
    </xf>
    <xf numFmtId="0" fontId="3" fillId="0" borderId="0" xfId="0" applyFont="1" applyFill="1" applyAlignment="1">
      <alignment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right" wrapText="1"/>
    </xf>
    <xf numFmtId="0" fontId="1" fillId="0" borderId="0" xfId="0" applyFont="1" applyAlignment="1">
      <alignment wrapText="1"/>
    </xf>
    <xf numFmtId="1" fontId="3" fillId="0" borderId="0" xfId="0" applyNumberFormat="1" applyFont="1" applyAlignment="1"/>
    <xf numFmtId="2" fontId="3" fillId="0" borderId="0" xfId="0" applyNumberFormat="1" applyFont="1" applyAlignment="1"/>
    <xf numFmtId="1" fontId="1" fillId="0" borderId="0" xfId="0" applyNumberFormat="1" applyFont="1" applyAlignment="1"/>
    <xf numFmtId="1" fontId="15" fillId="0" borderId="6" xfId="10" applyNumberFormat="1">
      <alignment horizontal="right"/>
    </xf>
    <xf numFmtId="1" fontId="14" fillId="0" borderId="7" xfId="11" applyNumberFormat="1">
      <alignment horizontal="right"/>
    </xf>
    <xf numFmtId="1" fontId="29" fillId="0" borderId="18" xfId="12" applyNumberFormat="1">
      <alignment horizontal="right"/>
    </xf>
    <xf numFmtId="1" fontId="23" fillId="0" borderId="20" xfId="13" applyNumberFormat="1">
      <alignment horizontal="right"/>
    </xf>
    <xf numFmtId="0" fontId="0" fillId="0" borderId="0" xfId="0" applyFont="1"/>
    <xf numFmtId="0" fontId="44" fillId="0" borderId="0" xfId="0" applyFont="1"/>
    <xf numFmtId="0" fontId="44" fillId="0" borderId="0" xfId="0" applyFont="1" applyAlignment="1">
      <alignment horizontal="left"/>
    </xf>
    <xf numFmtId="0" fontId="3" fillId="2" borderId="0" xfId="0" applyFont="1" applyFill="1" applyAlignment="1">
      <alignment horizontal="left"/>
    </xf>
    <xf numFmtId="0" fontId="1" fillId="2" borderId="0" xfId="0" applyFont="1" applyFill="1" applyAlignment="1">
      <alignment horizontal="left"/>
    </xf>
    <xf numFmtId="0" fontId="3" fillId="2" borderId="0" xfId="0" applyFont="1" applyFill="1" applyAlignment="1">
      <alignment horizontal="center"/>
    </xf>
    <xf numFmtId="164" fontId="3" fillId="2" borderId="0" xfId="0" applyNumberFormat="1" applyFont="1" applyFill="1" applyAlignment="1">
      <alignment horizontal="center"/>
    </xf>
    <xf numFmtId="0" fontId="26" fillId="2" borderId="0" xfId="0" applyFont="1" applyFill="1" applyAlignment="1">
      <alignment horizontal="center"/>
    </xf>
    <xf numFmtId="0" fontId="26" fillId="2" borderId="0" xfId="0" applyFont="1" applyFill="1" applyAlignment="1">
      <alignment horizontal="left"/>
    </xf>
    <xf numFmtId="0" fontId="46" fillId="2" borderId="0" xfId="0" applyFont="1" applyFill="1" applyAlignment="1">
      <alignment horizontal="left"/>
    </xf>
    <xf numFmtId="164" fontId="6" fillId="0" borderId="0" xfId="0" applyNumberFormat="1" applyFont="1" applyAlignment="1">
      <alignment horizontal="center"/>
    </xf>
    <xf numFmtId="0" fontId="6" fillId="0" borderId="0" xfId="0" applyFont="1" applyAlignment="1">
      <alignment horizontal="center"/>
    </xf>
    <xf numFmtId="2" fontId="3" fillId="0" borderId="0" xfId="0" applyNumberFormat="1" applyFont="1"/>
    <xf numFmtId="9" fontId="3" fillId="0" borderId="0" xfId="3" applyFont="1"/>
    <xf numFmtId="0" fontId="3" fillId="0" borderId="0" xfId="0" applyFont="1" applyAlignment="1">
      <alignment horizontal="left"/>
    </xf>
    <xf numFmtId="1" fontId="37" fillId="3" borderId="0" xfId="2" applyNumberFormat="1" applyFont="1" applyFill="1" applyBorder="1" applyAlignment="1">
      <alignment horizontal="right"/>
    </xf>
    <xf numFmtId="1" fontId="3" fillId="0" borderId="0" xfId="0" applyNumberFormat="1" applyFont="1" applyAlignment="1">
      <alignment horizontal="left"/>
    </xf>
    <xf numFmtId="0" fontId="3" fillId="3" borderId="0" xfId="0" applyFont="1" applyFill="1"/>
    <xf numFmtId="0" fontId="26" fillId="0" borderId="0" xfId="0" applyFont="1" applyFill="1" applyBorder="1"/>
    <xf numFmtId="9" fontId="3" fillId="2" borderId="0" xfId="3" applyFont="1" applyFill="1" applyAlignment="1">
      <alignment horizontal="center"/>
    </xf>
    <xf numFmtId="0" fontId="48" fillId="3" borderId="0" xfId="0" applyFont="1" applyFill="1"/>
    <xf numFmtId="0" fontId="48" fillId="3" borderId="0" xfId="0" applyFont="1" applyFill="1" applyBorder="1"/>
    <xf numFmtId="0" fontId="48" fillId="3" borderId="0" xfId="0" applyFont="1" applyFill="1" applyBorder="1" applyAlignment="1">
      <alignment horizontal="right"/>
    </xf>
    <xf numFmtId="15" fontId="48" fillId="3" borderId="0" xfId="0" applyNumberFormat="1" applyFont="1" applyFill="1" applyBorder="1" applyAlignment="1">
      <alignment horizontal="right"/>
    </xf>
    <xf numFmtId="0" fontId="3" fillId="0" borderId="0" xfId="0" applyFont="1" applyAlignment="1">
      <alignment horizontal="left" vertical="center"/>
    </xf>
    <xf numFmtId="1" fontId="19" fillId="3" borderId="10" xfId="0" applyNumberFormat="1" applyFont="1" applyFill="1" applyBorder="1" applyAlignment="1">
      <alignment horizontal="right"/>
    </xf>
    <xf numFmtId="0" fontId="0" fillId="2" borderId="0" xfId="0" applyFill="1"/>
    <xf numFmtId="2" fontId="37" fillId="11" borderId="17" xfId="2" applyNumberFormat="1" applyFont="1" applyFill="1" applyBorder="1" applyAlignment="1">
      <alignment horizontal="right"/>
    </xf>
    <xf numFmtId="2" fontId="28" fillId="11" borderId="17" xfId="2" applyNumberFormat="1" applyFont="1" applyFill="1" applyBorder="1" applyAlignment="1">
      <alignment horizontal="right"/>
    </xf>
    <xf numFmtId="1" fontId="37" fillId="11" borderId="17" xfId="2" applyNumberFormat="1" applyFont="1" applyFill="1" applyBorder="1" applyAlignment="1">
      <alignment horizontal="right"/>
    </xf>
    <xf numFmtId="9" fontId="37" fillId="11" borderId="17" xfId="3" applyFont="1" applyFill="1" applyBorder="1" applyAlignment="1">
      <alignment horizontal="right"/>
    </xf>
    <xf numFmtId="0" fontId="13" fillId="0" borderId="5" xfId="9" applyFont="1">
      <alignment horizontal="right"/>
    </xf>
    <xf numFmtId="164" fontId="14" fillId="0" borderId="7" xfId="11" applyNumberFormat="1" applyFont="1">
      <alignment horizontal="right"/>
    </xf>
    <xf numFmtId="164" fontId="29" fillId="0" borderId="18" xfId="12" applyNumberFormat="1" applyFont="1">
      <alignment horizontal="right"/>
    </xf>
    <xf numFmtId="164" fontId="23" fillId="0" borderId="20" xfId="13" applyNumberFormat="1" applyFont="1">
      <alignment horizontal="right"/>
    </xf>
    <xf numFmtId="0" fontId="49" fillId="3" borderId="0" xfId="0" applyFont="1" applyFill="1" applyAlignment="1">
      <alignment horizontal="right"/>
    </xf>
    <xf numFmtId="0" fontId="0" fillId="0" borderId="0" xfId="0" applyFont="1" applyAlignment="1">
      <alignment horizontal="right"/>
    </xf>
    <xf numFmtId="1" fontId="23" fillId="12" borderId="0" xfId="0" applyNumberFormat="1" applyFont="1" applyFill="1" applyAlignment="1">
      <alignment horizontal="right"/>
    </xf>
    <xf numFmtId="1" fontId="13" fillId="12" borderId="0" xfId="0" applyNumberFormat="1" applyFont="1" applyFill="1" applyAlignment="1">
      <alignment horizontal="right"/>
    </xf>
    <xf numFmtId="1" fontId="23" fillId="12" borderId="12" xfId="0" applyNumberFormat="1" applyFont="1" applyFill="1" applyBorder="1" applyAlignment="1">
      <alignment horizontal="right"/>
    </xf>
    <xf numFmtId="1" fontId="13" fillId="12" borderId="12" xfId="0" applyNumberFormat="1" applyFont="1" applyFill="1" applyBorder="1" applyAlignment="1">
      <alignment horizontal="right"/>
    </xf>
    <xf numFmtId="0" fontId="0" fillId="0" borderId="0" xfId="0" applyFont="1" applyAlignment="1">
      <alignment vertical="top"/>
    </xf>
    <xf numFmtId="0" fontId="13" fillId="0" borderId="5" xfId="0" applyNumberFormat="1" applyFont="1" applyBorder="1" applyAlignment="1">
      <alignment horizontal="right"/>
    </xf>
    <xf numFmtId="0" fontId="15" fillId="0" borderId="6" xfId="0" applyNumberFormat="1" applyFont="1" applyBorder="1" applyAlignment="1">
      <alignment horizontal="right"/>
    </xf>
    <xf numFmtId="0" fontId="14" fillId="0" borderId="7" xfId="11" applyNumberFormat="1">
      <alignment horizontal="right"/>
    </xf>
    <xf numFmtId="0" fontId="29" fillId="0" borderId="18" xfId="12" applyNumberFormat="1">
      <alignment horizontal="right"/>
    </xf>
    <xf numFmtId="0" fontId="23" fillId="0" borderId="20" xfId="13" applyNumberFormat="1">
      <alignment horizontal="right"/>
    </xf>
    <xf numFmtId="0" fontId="50" fillId="0" borderId="0" xfId="0" applyFont="1"/>
    <xf numFmtId="0" fontId="51" fillId="0" borderId="0" xfId="0" applyFont="1"/>
    <xf numFmtId="0" fontId="52" fillId="0" borderId="0" xfId="1" applyFont="1" applyAlignment="1" applyProtection="1"/>
    <xf numFmtId="0" fontId="53" fillId="0" borderId="0" xfId="0" applyFont="1"/>
    <xf numFmtId="14" fontId="51" fillId="0" borderId="0" xfId="0" applyNumberFormat="1" applyFont="1"/>
    <xf numFmtId="164" fontId="51" fillId="0" borderId="0" xfId="0" applyNumberFormat="1" applyFont="1"/>
    <xf numFmtId="1" fontId="51" fillId="0" borderId="0" xfId="0" applyNumberFormat="1" applyFont="1"/>
    <xf numFmtId="0" fontId="47" fillId="3" borderId="0" xfId="0" applyFont="1" applyFill="1" applyAlignment="1">
      <alignment horizontal="center"/>
    </xf>
    <xf numFmtId="0" fontId="36" fillId="0" borderId="30" xfId="0" applyFont="1" applyBorder="1" applyAlignment="1">
      <alignment horizontal="center"/>
    </xf>
    <xf numFmtId="0" fontId="36" fillId="0" borderId="21" xfId="0" applyFont="1" applyBorder="1" applyAlignment="1">
      <alignment horizontal="center"/>
    </xf>
    <xf numFmtId="0" fontId="36" fillId="0" borderId="31" xfId="0" applyFont="1" applyBorder="1" applyAlignment="1">
      <alignment horizontal="center"/>
    </xf>
    <xf numFmtId="0" fontId="32" fillId="0" borderId="22" xfId="0" applyFont="1" applyBorder="1" applyAlignment="1">
      <alignment horizontal="center"/>
    </xf>
    <xf numFmtId="0" fontId="32" fillId="0" borderId="2" xfId="0" applyFont="1" applyBorder="1" applyAlignment="1">
      <alignment horizontal="center"/>
    </xf>
    <xf numFmtId="0" fontId="32" fillId="0" borderId="23" xfId="0" applyFont="1" applyBorder="1" applyAlignment="1">
      <alignment horizontal="center"/>
    </xf>
    <xf numFmtId="0" fontId="33" fillId="0" borderId="24" xfId="0" applyFont="1" applyBorder="1" applyAlignment="1">
      <alignment horizontal="center"/>
    </xf>
    <xf numFmtId="0" fontId="33" fillId="0" borderId="3" xfId="0" applyFont="1" applyBorder="1" applyAlignment="1">
      <alignment horizontal="center"/>
    </xf>
    <xf numFmtId="0" fontId="33" fillId="0" borderId="25" xfId="0" applyFont="1" applyBorder="1" applyAlignment="1">
      <alignment horizontal="center"/>
    </xf>
    <xf numFmtId="0" fontId="34" fillId="0" borderId="32" xfId="0" applyFont="1" applyBorder="1" applyAlignment="1">
      <alignment horizontal="center"/>
    </xf>
    <xf numFmtId="0" fontId="34" fillId="0" borderId="33" xfId="0" applyFont="1" applyBorder="1" applyAlignment="1">
      <alignment horizontal="center"/>
    </xf>
    <xf numFmtId="0" fontId="34" fillId="0" borderId="34" xfId="0" applyFont="1" applyBorder="1" applyAlignment="1">
      <alignment horizontal="center"/>
    </xf>
    <xf numFmtId="0" fontId="11" fillId="0" borderId="1" xfId="0" applyFont="1" applyBorder="1" applyAlignment="1">
      <alignment horizontal="center"/>
    </xf>
    <xf numFmtId="0" fontId="35" fillId="0" borderId="28" xfId="0" applyFont="1" applyBorder="1" applyAlignment="1">
      <alignment horizontal="center"/>
    </xf>
    <xf numFmtId="0" fontId="35" fillId="0" borderId="19" xfId="0" applyFont="1" applyBorder="1" applyAlignment="1">
      <alignment horizontal="center"/>
    </xf>
    <xf numFmtId="0" fontId="35" fillId="0" borderId="29" xfId="0" applyFont="1" applyBorder="1" applyAlignment="1">
      <alignment horizontal="center"/>
    </xf>
    <xf numFmtId="0" fontId="23" fillId="0" borderId="30" xfId="0" applyFont="1" applyBorder="1" applyAlignment="1">
      <alignment vertical="top" wrapText="1"/>
    </xf>
    <xf numFmtId="0" fontId="23" fillId="0" borderId="21" xfId="0" applyFont="1" applyBorder="1" applyAlignment="1">
      <alignment vertical="top" wrapText="1"/>
    </xf>
    <xf numFmtId="0" fontId="23" fillId="0" borderId="31" xfId="0" applyFont="1" applyBorder="1" applyAlignment="1">
      <alignment vertical="top" wrapText="1"/>
    </xf>
    <xf numFmtId="0" fontId="13" fillId="0" borderId="22" xfId="0" applyFont="1" applyBorder="1" applyAlignment="1">
      <alignment vertical="top" wrapText="1"/>
    </xf>
    <xf numFmtId="0" fontId="13" fillId="0" borderId="2" xfId="0" applyFont="1" applyBorder="1" applyAlignment="1">
      <alignment vertical="top" wrapText="1"/>
    </xf>
    <xf numFmtId="0" fontId="13" fillId="0" borderId="23" xfId="0" applyFont="1" applyBorder="1" applyAlignment="1">
      <alignment vertical="top" wrapText="1"/>
    </xf>
    <xf numFmtId="0" fontId="15" fillId="0" borderId="24" xfId="0" applyFont="1" applyBorder="1" applyAlignment="1">
      <alignment horizontal="left" vertical="top" wrapText="1"/>
    </xf>
    <xf numFmtId="0" fontId="15" fillId="0" borderId="3" xfId="0" applyFont="1" applyBorder="1" applyAlignment="1">
      <alignment horizontal="left" vertical="top" wrapText="1"/>
    </xf>
    <xf numFmtId="0" fontId="15" fillId="0" borderId="25" xfId="0" applyFont="1" applyBorder="1" applyAlignment="1">
      <alignment horizontal="left" vertical="top" wrapText="1"/>
    </xf>
    <xf numFmtId="0" fontId="14" fillId="0" borderId="26" xfId="0" applyFont="1" applyBorder="1" applyAlignment="1">
      <alignment vertical="top" wrapText="1"/>
    </xf>
    <xf numFmtId="0" fontId="14" fillId="0" borderId="4" xfId="0" applyFont="1" applyBorder="1" applyAlignment="1">
      <alignment vertical="top" wrapText="1"/>
    </xf>
    <xf numFmtId="0" fontId="14" fillId="0" borderId="27" xfId="0" applyFont="1" applyBorder="1" applyAlignment="1">
      <alignment vertical="top" wrapText="1"/>
    </xf>
    <xf numFmtId="0" fontId="29" fillId="0" borderId="28" xfId="0" applyFont="1" applyBorder="1" applyAlignment="1">
      <alignment vertical="top" wrapText="1"/>
    </xf>
    <xf numFmtId="0" fontId="29" fillId="0" borderId="19" xfId="0" applyFont="1" applyBorder="1" applyAlignment="1">
      <alignment vertical="top" wrapText="1"/>
    </xf>
    <xf numFmtId="0" fontId="29" fillId="0" borderId="29" xfId="0" applyFont="1" applyBorder="1" applyAlignment="1">
      <alignment vertical="top" wrapText="1"/>
    </xf>
    <xf numFmtId="0" fontId="10" fillId="0" borderId="0" xfId="0" applyFont="1" applyAlignment="1">
      <alignment horizontal="center" vertical="center"/>
    </xf>
    <xf numFmtId="0" fontId="3" fillId="9" borderId="0" xfId="0" applyFont="1" applyFill="1" applyAlignment="1">
      <alignment horizontal="center"/>
    </xf>
    <xf numFmtId="0" fontId="3" fillId="10" borderId="0" xfId="0" applyFont="1" applyFill="1" applyAlignment="1">
      <alignment horizontal="center"/>
    </xf>
    <xf numFmtId="0" fontId="18" fillId="0" borderId="9" xfId="0" applyFont="1" applyBorder="1" applyAlignment="1">
      <alignment horizontal="center"/>
    </xf>
    <xf numFmtId="0" fontId="20" fillId="0" borderId="11" xfId="0" applyFont="1" applyBorder="1" applyAlignment="1">
      <alignment horizontal="center"/>
    </xf>
    <xf numFmtId="0" fontId="3" fillId="0" borderId="0" xfId="0" applyFont="1" applyAlignment="1">
      <alignment horizontal="left" wrapText="1"/>
    </xf>
    <xf numFmtId="0" fontId="3" fillId="0" borderId="0" xfId="0" applyFont="1" applyAlignment="1">
      <alignment horizontal="left"/>
    </xf>
  </cellXfs>
  <cellStyles count="25">
    <cellStyle name="Berekening" xfId="7" builtinId="22" hidden="1"/>
    <cellStyle name="Concept 1" xfId="10" xr:uid="{00000000-0005-0000-0000-000001000000}"/>
    <cellStyle name="Concept 2" xfId="11" xr:uid="{00000000-0005-0000-0000-000002000000}"/>
    <cellStyle name="Concept 3" xfId="12" xr:uid="{00000000-0005-0000-0000-000003000000}"/>
    <cellStyle name="Concept 4" xfId="13" xr:uid="{00000000-0005-0000-0000-000004000000}"/>
    <cellStyle name="Controlecel" xfId="8" builtinId="23" hidden="1"/>
    <cellStyle name="Gevolgde hyperlink" xfId="24" builtinId="9" hidden="1"/>
    <cellStyle name="Gevolgde hyperlink" xfId="18" builtinId="9" hidden="1"/>
    <cellStyle name="Gevolgde hyperlink" xfId="19" builtinId="9" hidden="1"/>
    <cellStyle name="Gevolgde hyperlink" xfId="21" builtinId="9" hidden="1"/>
    <cellStyle name="Gevolgde hyperlink" xfId="22" builtinId="9" hidden="1"/>
    <cellStyle name="Gevolgde hyperlink" xfId="23" builtinId="9" hidden="1"/>
    <cellStyle name="Gevolgde hyperlink" xfId="20" builtinId="9" hidden="1"/>
    <cellStyle name="Gevolgde hyperlink" xfId="16" builtinId="9" hidden="1"/>
    <cellStyle name="Gevolgde hyperlink" xfId="17" builtinId="9" hidden="1"/>
    <cellStyle name="Gevolgde hyperlink" xfId="15" builtinId="9" hidden="1"/>
    <cellStyle name="Gevolgde hyperlink" xfId="14" builtinId="9" hidden="1"/>
    <cellStyle name="Goed" xfId="4" builtinId="26" hidden="1"/>
    <cellStyle name="Huidig" xfId="9" xr:uid="{00000000-0005-0000-0000-000012000000}"/>
    <cellStyle name="Hyperlink" xfId="1" builtinId="8"/>
    <cellStyle name="Neutraal" xfId="6" builtinId="28" hidden="1"/>
    <cellStyle name="Ongeldig" xfId="5" builtinId="27" hidden="1"/>
    <cellStyle name="Procent" xfId="3" builtinId="5"/>
    <cellStyle name="Standaard" xfId="0" builtinId="0"/>
    <cellStyle name="Verklarende tekst" xfId="2" builtinId="53"/>
  </cellStyles>
  <dxfs count="0"/>
  <tableStyles count="0" defaultTableStyle="TableStyleMedium9" defaultPivotStyle="PivotStyleLight16"/>
  <colors>
    <mruColors>
      <color rgb="FF71D80A"/>
      <color rgb="FF17BB42"/>
      <color rgb="FFD80A0A"/>
      <color rgb="FFD80A8E"/>
      <color rgb="FFD8670A"/>
      <color rgb="FF005392"/>
      <color rgb="FF847638"/>
      <color rgb="FFA29044"/>
      <color rgb="FF0089E6"/>
      <color rgb="FF3AE6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energiegebruik in kWh/m2/jaar</a:t>
            </a:r>
          </a:p>
        </c:rich>
      </c:tx>
      <c:overlay val="0"/>
    </c:title>
    <c:autoTitleDeleted val="0"/>
    <c:plotArea>
      <c:layout/>
      <c:barChart>
        <c:barDir val="col"/>
        <c:grouping val="stacked"/>
        <c:varyColors val="0"/>
        <c:ser>
          <c:idx val="4"/>
          <c:order val="0"/>
          <c:tx>
            <c:strRef>
              <c:f>Resultaten!$O$10</c:f>
              <c:strCache>
                <c:ptCount val="1"/>
                <c:pt idx="0">
                  <c:v>Zonnepanelen</c:v>
                </c:pt>
              </c:strCache>
            </c:strRef>
          </c:tx>
          <c:spPr>
            <a:pattFill prst="lgGrid">
              <a:fgClr>
                <a:schemeClr val="accent1"/>
              </a:fgClr>
              <a:bgClr>
                <a:schemeClr val="tx2"/>
              </a:bgClr>
            </a:pattFill>
          </c:spPr>
          <c:invertIfNegative val="0"/>
          <c:cat>
            <c:strRef>
              <c:f>Resultaten!$P$3:$U$3</c:f>
              <c:strCache>
                <c:ptCount val="6"/>
                <c:pt idx="0">
                  <c:v>Meterstand</c:v>
                </c:pt>
                <c:pt idx="1">
                  <c:v>Schetsontwerp Camper</c:v>
                </c:pt>
                <c:pt idx="2">
                  <c:v>1e verbeterslag</c:v>
                </c:pt>
                <c:pt idx="3">
                  <c:v>2e verbeterslag</c:v>
                </c:pt>
                <c:pt idx="4">
                  <c:v>3e verbeterslag</c:v>
                </c:pt>
                <c:pt idx="5">
                  <c:v>4e verbetering</c:v>
                </c:pt>
              </c:strCache>
            </c:strRef>
          </c:cat>
          <c:val>
            <c:numRef>
              <c:f>Resultaten!$P$10:$U$10</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FD3-47D3-9378-4D48481BD561}"/>
            </c:ext>
          </c:extLst>
        </c:ser>
        <c:ser>
          <c:idx val="0"/>
          <c:order val="1"/>
          <c:tx>
            <c:strRef>
              <c:f>Resultaten!$O$4</c:f>
              <c:strCache>
                <c:ptCount val="1"/>
                <c:pt idx="0">
                  <c:v>Verwarming</c:v>
                </c:pt>
              </c:strCache>
            </c:strRef>
          </c:tx>
          <c:spPr>
            <a:solidFill>
              <a:srgbClr val="FF0000"/>
            </a:solidFill>
          </c:spPr>
          <c:invertIfNegative val="0"/>
          <c:cat>
            <c:strRef>
              <c:f>Resultaten!$P$3:$U$3</c:f>
              <c:strCache>
                <c:ptCount val="6"/>
                <c:pt idx="0">
                  <c:v>Meterstand</c:v>
                </c:pt>
                <c:pt idx="1">
                  <c:v>Schetsontwerp Camper</c:v>
                </c:pt>
                <c:pt idx="2">
                  <c:v>1e verbeterslag</c:v>
                </c:pt>
                <c:pt idx="3">
                  <c:v>2e verbeterslag</c:v>
                </c:pt>
                <c:pt idx="4">
                  <c:v>3e verbeterslag</c:v>
                </c:pt>
                <c:pt idx="5">
                  <c:v>4e verbetering</c:v>
                </c:pt>
              </c:strCache>
            </c:strRef>
          </c:cat>
          <c:val>
            <c:numRef>
              <c:f>Resultaten!$P$4:$U$4</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FD3-47D3-9378-4D48481BD561}"/>
            </c:ext>
          </c:extLst>
        </c:ser>
        <c:ser>
          <c:idx val="6"/>
          <c:order val="2"/>
          <c:tx>
            <c:strRef>
              <c:f>Resultaten!$O$7</c:f>
              <c:strCache>
                <c:ptCount val="1"/>
              </c:strCache>
            </c:strRef>
          </c:tx>
          <c:invertIfNegative val="0"/>
          <c:cat>
            <c:strRef>
              <c:f>Resultaten!$P$3:$U$3</c:f>
              <c:strCache>
                <c:ptCount val="6"/>
                <c:pt idx="0">
                  <c:v>Meterstand</c:v>
                </c:pt>
                <c:pt idx="1">
                  <c:v>Schetsontwerp Camper</c:v>
                </c:pt>
                <c:pt idx="2">
                  <c:v>1e verbeterslag</c:v>
                </c:pt>
                <c:pt idx="3">
                  <c:v>2e verbeterslag</c:v>
                </c:pt>
                <c:pt idx="4">
                  <c:v>3e verbeterslag</c:v>
                </c:pt>
                <c:pt idx="5">
                  <c:v>4e verbetering</c:v>
                </c:pt>
              </c:strCache>
            </c:strRef>
          </c:cat>
          <c:val>
            <c:numRef>
              <c:f>Resultaten!$P$7:$U$7</c:f>
              <c:numCache>
                <c:formatCode>0.0</c:formatCode>
                <c:ptCount val="6"/>
              </c:numCache>
            </c:numRef>
          </c:val>
          <c:extLst>
            <c:ext xmlns:c16="http://schemas.microsoft.com/office/drawing/2014/chart" uri="{C3380CC4-5D6E-409C-BE32-E72D297353CC}">
              <c16:uniqueId val="{00000002-3FD3-47D3-9378-4D48481BD561}"/>
            </c:ext>
          </c:extLst>
        </c:ser>
        <c:ser>
          <c:idx val="1"/>
          <c:order val="3"/>
          <c:tx>
            <c:strRef>
              <c:f>Resultaten!$O$5</c:f>
              <c:strCache>
                <c:ptCount val="1"/>
                <c:pt idx="0">
                  <c:v>Tapwater</c:v>
                </c:pt>
              </c:strCache>
            </c:strRef>
          </c:tx>
          <c:spPr>
            <a:solidFill>
              <a:srgbClr val="0070C0"/>
            </a:solidFill>
          </c:spPr>
          <c:invertIfNegative val="0"/>
          <c:cat>
            <c:strRef>
              <c:f>Resultaten!$P$3:$U$3</c:f>
              <c:strCache>
                <c:ptCount val="6"/>
                <c:pt idx="0">
                  <c:v>Meterstand</c:v>
                </c:pt>
                <c:pt idx="1">
                  <c:v>Schetsontwerp Camper</c:v>
                </c:pt>
                <c:pt idx="2">
                  <c:v>1e verbeterslag</c:v>
                </c:pt>
                <c:pt idx="3">
                  <c:v>2e verbeterslag</c:v>
                </c:pt>
                <c:pt idx="4">
                  <c:v>3e verbeterslag</c:v>
                </c:pt>
                <c:pt idx="5">
                  <c:v>4e verbetering</c:v>
                </c:pt>
              </c:strCache>
            </c:strRef>
          </c:cat>
          <c:val>
            <c:numRef>
              <c:f>Resultaten!$P$5:$U$5</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3FD3-47D3-9378-4D48481BD561}"/>
            </c:ext>
          </c:extLst>
        </c:ser>
        <c:ser>
          <c:idx val="5"/>
          <c:order val="4"/>
          <c:tx>
            <c:strRef>
              <c:f>Resultaten!$O$6</c:f>
              <c:strCache>
                <c:ptCount val="1"/>
                <c:pt idx="0">
                  <c:v>Ventilatie</c:v>
                </c:pt>
              </c:strCache>
            </c:strRef>
          </c:tx>
          <c:spPr>
            <a:solidFill>
              <a:srgbClr val="00B050"/>
            </a:solidFill>
          </c:spPr>
          <c:invertIfNegative val="0"/>
          <c:cat>
            <c:strRef>
              <c:f>Resultaten!$P$3:$U$3</c:f>
              <c:strCache>
                <c:ptCount val="6"/>
                <c:pt idx="0">
                  <c:v>Meterstand</c:v>
                </c:pt>
                <c:pt idx="1">
                  <c:v>Schetsontwerp Camper</c:v>
                </c:pt>
                <c:pt idx="2">
                  <c:v>1e verbeterslag</c:v>
                </c:pt>
                <c:pt idx="3">
                  <c:v>2e verbeterslag</c:v>
                </c:pt>
                <c:pt idx="4">
                  <c:v>3e verbeterslag</c:v>
                </c:pt>
                <c:pt idx="5">
                  <c:v>4e verbetering</c:v>
                </c:pt>
              </c:strCache>
            </c:strRef>
          </c:cat>
          <c:val>
            <c:numRef>
              <c:f>Resultaten!$P$6:$U$6</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3FD3-47D3-9378-4D48481BD561}"/>
            </c:ext>
          </c:extLst>
        </c:ser>
        <c:ser>
          <c:idx val="2"/>
          <c:order val="5"/>
          <c:tx>
            <c:strRef>
              <c:f>Resultaten!$O$8</c:f>
              <c:strCache>
                <c:ptCount val="1"/>
                <c:pt idx="0">
                  <c:v>Koken</c:v>
                </c:pt>
              </c:strCache>
            </c:strRef>
          </c:tx>
          <c:spPr>
            <a:solidFill>
              <a:srgbClr val="FFFF00"/>
            </a:solidFill>
          </c:spPr>
          <c:invertIfNegative val="0"/>
          <c:cat>
            <c:strRef>
              <c:f>Resultaten!$P$3:$U$3</c:f>
              <c:strCache>
                <c:ptCount val="6"/>
                <c:pt idx="0">
                  <c:v>Meterstand</c:v>
                </c:pt>
                <c:pt idx="1">
                  <c:v>Schetsontwerp Camper</c:v>
                </c:pt>
                <c:pt idx="2">
                  <c:v>1e verbeterslag</c:v>
                </c:pt>
                <c:pt idx="3">
                  <c:v>2e verbeterslag</c:v>
                </c:pt>
                <c:pt idx="4">
                  <c:v>3e verbeterslag</c:v>
                </c:pt>
                <c:pt idx="5">
                  <c:v>4e verbetering</c:v>
                </c:pt>
              </c:strCache>
            </c:strRef>
          </c:cat>
          <c:val>
            <c:numRef>
              <c:f>Resultaten!$P$8:$U$8</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3FD3-47D3-9378-4D48481BD561}"/>
            </c:ext>
          </c:extLst>
        </c:ser>
        <c:ser>
          <c:idx val="3"/>
          <c:order val="6"/>
          <c:tx>
            <c:strRef>
              <c:f>Resultaten!$O$9</c:f>
              <c:strCache>
                <c:ptCount val="1"/>
                <c:pt idx="0">
                  <c:v>Apparaten</c:v>
                </c:pt>
              </c:strCache>
            </c:strRef>
          </c:tx>
          <c:spPr>
            <a:solidFill>
              <a:srgbClr val="00B0F0"/>
            </a:solidFill>
          </c:spPr>
          <c:invertIfNegative val="0"/>
          <c:cat>
            <c:strRef>
              <c:f>Resultaten!$P$3:$U$3</c:f>
              <c:strCache>
                <c:ptCount val="6"/>
                <c:pt idx="0">
                  <c:v>Meterstand</c:v>
                </c:pt>
                <c:pt idx="1">
                  <c:v>Schetsontwerp Camper</c:v>
                </c:pt>
                <c:pt idx="2">
                  <c:v>1e verbeterslag</c:v>
                </c:pt>
                <c:pt idx="3">
                  <c:v>2e verbeterslag</c:v>
                </c:pt>
                <c:pt idx="4">
                  <c:v>3e verbeterslag</c:v>
                </c:pt>
                <c:pt idx="5">
                  <c:v>4e verbetering</c:v>
                </c:pt>
              </c:strCache>
            </c:strRef>
          </c:cat>
          <c:val>
            <c:numRef>
              <c:f>Resultaten!$P$9:$U$9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6-3FD3-47D3-9378-4D48481BD561}"/>
            </c:ext>
          </c:extLst>
        </c:ser>
        <c:ser>
          <c:idx val="7"/>
          <c:order val="7"/>
          <c:tx>
            <c:v>Gemeten</c:v>
          </c:tx>
          <c:spPr>
            <a:solidFill>
              <a:schemeClr val="bg1">
                <a:lumMod val="65000"/>
              </a:schemeClr>
            </a:solidFill>
          </c:spPr>
          <c:invertIfNegative val="0"/>
          <c:cat>
            <c:strRef>
              <c:f>Resultaten!$P$3:$U$3</c:f>
              <c:strCache>
                <c:ptCount val="6"/>
                <c:pt idx="0">
                  <c:v>Meterstand</c:v>
                </c:pt>
                <c:pt idx="1">
                  <c:v>Schetsontwerp Camper</c:v>
                </c:pt>
                <c:pt idx="2">
                  <c:v>1e verbeterslag</c:v>
                </c:pt>
                <c:pt idx="3">
                  <c:v>2e verbeterslag</c:v>
                </c:pt>
                <c:pt idx="4">
                  <c:v>3e verbeterslag</c:v>
                </c:pt>
                <c:pt idx="5">
                  <c:v>4e verbetering</c:v>
                </c:pt>
              </c:strCache>
            </c:strRef>
          </c:cat>
          <c:val>
            <c:numRef>
              <c:f>Resultaten!$P$11:$U$11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7-3FD3-47D3-9378-4D48481BD561}"/>
            </c:ext>
          </c:extLst>
        </c:ser>
        <c:dLbls>
          <c:showLegendKey val="0"/>
          <c:showVal val="0"/>
          <c:showCatName val="0"/>
          <c:showSerName val="0"/>
          <c:showPercent val="0"/>
          <c:showBubbleSize val="0"/>
        </c:dLbls>
        <c:gapWidth val="55"/>
        <c:overlap val="100"/>
        <c:axId val="134550528"/>
        <c:axId val="133871808"/>
      </c:barChart>
      <c:catAx>
        <c:axId val="134550528"/>
        <c:scaling>
          <c:orientation val="minMax"/>
        </c:scaling>
        <c:delete val="0"/>
        <c:axPos val="b"/>
        <c:numFmt formatCode="General" sourceLinked="0"/>
        <c:majorTickMark val="none"/>
        <c:minorTickMark val="none"/>
        <c:tickLblPos val="high"/>
        <c:crossAx val="133871808"/>
        <c:crosses val="autoZero"/>
        <c:auto val="1"/>
        <c:lblAlgn val="ctr"/>
        <c:lblOffset val="100"/>
        <c:noMultiLvlLbl val="0"/>
      </c:catAx>
      <c:valAx>
        <c:axId val="133871808"/>
        <c:scaling>
          <c:orientation val="minMax"/>
        </c:scaling>
        <c:delete val="0"/>
        <c:axPos val="l"/>
        <c:majorGridlines/>
        <c:numFmt formatCode="0.0" sourceLinked="1"/>
        <c:majorTickMark val="none"/>
        <c:minorTickMark val="none"/>
        <c:tickLblPos val="nextTo"/>
        <c:crossAx val="134550528"/>
        <c:crosses val="autoZero"/>
        <c:crossBetween val="between"/>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Warmtewinst (Var 2)</a:t>
            </a:r>
          </a:p>
        </c:rich>
      </c:tx>
      <c:overlay val="0"/>
    </c:title>
    <c:autoTitleDeleted val="0"/>
    <c:plotArea>
      <c:layout/>
      <c:pieChart>
        <c:varyColors val="1"/>
        <c:ser>
          <c:idx val="0"/>
          <c:order val="0"/>
          <c:dPt>
            <c:idx val="0"/>
            <c:bubble3D val="0"/>
            <c:spPr>
              <a:solidFill>
                <a:schemeClr val="accent2">
                  <a:lumMod val="60000"/>
                  <a:lumOff val="40000"/>
                </a:schemeClr>
              </a:solidFill>
            </c:spPr>
            <c:extLst>
              <c:ext xmlns:c16="http://schemas.microsoft.com/office/drawing/2014/chart" uri="{C3380CC4-5D6E-409C-BE32-E72D297353CC}">
                <c16:uniqueId val="{00000001-9A62-4146-8395-B6C3F93D6099}"/>
              </c:ext>
            </c:extLst>
          </c:dPt>
          <c:dPt>
            <c:idx val="1"/>
            <c:bubble3D val="0"/>
            <c:spPr>
              <a:solidFill>
                <a:schemeClr val="accent3">
                  <a:lumMod val="60000"/>
                  <a:lumOff val="40000"/>
                </a:schemeClr>
              </a:solidFill>
            </c:spPr>
            <c:extLst>
              <c:ext xmlns:c16="http://schemas.microsoft.com/office/drawing/2014/chart" uri="{C3380CC4-5D6E-409C-BE32-E72D297353CC}">
                <c16:uniqueId val="{00000003-9A62-4146-8395-B6C3F93D6099}"/>
              </c:ext>
            </c:extLst>
          </c:dPt>
          <c:dPt>
            <c:idx val="2"/>
            <c:bubble3D val="0"/>
            <c:spPr>
              <a:solidFill>
                <a:schemeClr val="accent4">
                  <a:lumMod val="60000"/>
                  <a:lumOff val="40000"/>
                </a:schemeClr>
              </a:solidFill>
            </c:spPr>
            <c:extLst>
              <c:ext xmlns:c16="http://schemas.microsoft.com/office/drawing/2014/chart" uri="{C3380CC4-5D6E-409C-BE32-E72D297353CC}">
                <c16:uniqueId val="{00000005-9A62-4146-8395-B6C3F93D6099}"/>
              </c:ext>
            </c:extLst>
          </c:dPt>
          <c:cat>
            <c:strRef>
              <c:f>Resultaat_verzameling!$B$56:$B$58</c:f>
              <c:strCache>
                <c:ptCount val="3"/>
                <c:pt idx="0">
                  <c:v>Zoninstraling</c:v>
                </c:pt>
                <c:pt idx="1">
                  <c:v>Interne warmtelast</c:v>
                </c:pt>
                <c:pt idx="2">
                  <c:v>Netto warmtevraag</c:v>
                </c:pt>
              </c:strCache>
            </c:strRef>
          </c:cat>
          <c:val>
            <c:numRef>
              <c:f>Resultaat_verzameling!$G$56:$G$58</c:f>
              <c:numCache>
                <c:formatCode>0</c:formatCode>
                <c:ptCount val="3"/>
                <c:pt idx="0">
                  <c:v>0</c:v>
                </c:pt>
                <c:pt idx="1">
                  <c:v>0</c:v>
                </c:pt>
                <c:pt idx="2">
                  <c:v>0</c:v>
                </c:pt>
              </c:numCache>
            </c:numRef>
          </c:val>
          <c:extLst>
            <c:ext xmlns:c16="http://schemas.microsoft.com/office/drawing/2014/chart" uri="{C3380CC4-5D6E-409C-BE32-E72D297353CC}">
              <c16:uniqueId val="{00000006-9A62-4146-8395-B6C3F93D6099}"/>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nl-NL"/>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Warmteverlies (Var 3)</a:t>
            </a:r>
          </a:p>
        </c:rich>
      </c:tx>
      <c:overlay val="0"/>
    </c:title>
    <c:autoTitleDeleted val="0"/>
    <c:plotArea>
      <c:layout/>
      <c:pieChart>
        <c:varyColors val="1"/>
        <c:ser>
          <c:idx val="0"/>
          <c:order val="0"/>
          <c:cat>
            <c:strRef>
              <c:f>Resultaat_verzameling!$B$49:$B$55</c:f>
              <c:strCache>
                <c:ptCount val="7"/>
                <c:pt idx="0">
                  <c:v>Transmissie (buitengevels)</c:v>
                </c:pt>
                <c:pt idx="1">
                  <c:v>Transmissie (dak)</c:v>
                </c:pt>
                <c:pt idx="2">
                  <c:v>Transmissie (vloer)</c:v>
                </c:pt>
                <c:pt idx="3">
                  <c:v>Transmissie (ramen)</c:v>
                </c:pt>
                <c:pt idx="4">
                  <c:v>Transmissie (overige)</c:v>
                </c:pt>
                <c:pt idx="5">
                  <c:v>Infiltratie</c:v>
                </c:pt>
                <c:pt idx="6">
                  <c:v>Ventilatie</c:v>
                </c:pt>
              </c:strCache>
            </c:strRef>
          </c:cat>
          <c:val>
            <c:numRef>
              <c:f>Resultaat_verzameling!$H$49:$H$55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FA7-46E0-B160-D0A3812C6566}"/>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8904722222517503"/>
          <c:y val="0.207603341219464"/>
          <c:w val="0.39070420394406102"/>
          <c:h val="0.73592656140385904"/>
        </c:manualLayout>
      </c:layout>
      <c:overlay val="0"/>
      <c:txPr>
        <a:bodyPr/>
        <a:lstStyle/>
        <a:p>
          <a:pPr rtl="0">
            <a:defRPr/>
          </a:pPr>
          <a:endParaRPr lang="nl-NL"/>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Warmtewinst (Concept 4)</a:t>
            </a:r>
          </a:p>
        </c:rich>
      </c:tx>
      <c:overlay val="0"/>
    </c:title>
    <c:autoTitleDeleted val="0"/>
    <c:plotArea>
      <c:layout/>
      <c:pieChart>
        <c:varyColors val="1"/>
        <c:ser>
          <c:idx val="0"/>
          <c:order val="0"/>
          <c:dPt>
            <c:idx val="0"/>
            <c:bubble3D val="0"/>
            <c:spPr>
              <a:solidFill>
                <a:schemeClr val="accent2">
                  <a:lumMod val="60000"/>
                  <a:lumOff val="40000"/>
                </a:schemeClr>
              </a:solidFill>
            </c:spPr>
            <c:extLst>
              <c:ext xmlns:c16="http://schemas.microsoft.com/office/drawing/2014/chart" uri="{C3380CC4-5D6E-409C-BE32-E72D297353CC}">
                <c16:uniqueId val="{00000001-771B-4855-876D-D561DFC2435B}"/>
              </c:ext>
            </c:extLst>
          </c:dPt>
          <c:dPt>
            <c:idx val="1"/>
            <c:bubble3D val="0"/>
            <c:spPr>
              <a:solidFill>
                <a:schemeClr val="accent3">
                  <a:lumMod val="60000"/>
                  <a:lumOff val="40000"/>
                </a:schemeClr>
              </a:solidFill>
            </c:spPr>
            <c:extLst>
              <c:ext xmlns:c16="http://schemas.microsoft.com/office/drawing/2014/chart" uri="{C3380CC4-5D6E-409C-BE32-E72D297353CC}">
                <c16:uniqueId val="{00000003-771B-4855-876D-D561DFC2435B}"/>
              </c:ext>
            </c:extLst>
          </c:dPt>
          <c:dPt>
            <c:idx val="2"/>
            <c:bubble3D val="0"/>
            <c:spPr>
              <a:solidFill>
                <a:schemeClr val="accent4">
                  <a:lumMod val="60000"/>
                  <a:lumOff val="40000"/>
                </a:schemeClr>
              </a:solidFill>
            </c:spPr>
            <c:extLst>
              <c:ext xmlns:c16="http://schemas.microsoft.com/office/drawing/2014/chart" uri="{C3380CC4-5D6E-409C-BE32-E72D297353CC}">
                <c16:uniqueId val="{00000005-771B-4855-876D-D561DFC2435B}"/>
              </c:ext>
            </c:extLst>
          </c:dPt>
          <c:cat>
            <c:strRef>
              <c:f>Resultaat_verzameling!$B$56:$B$58</c:f>
              <c:strCache>
                <c:ptCount val="3"/>
                <c:pt idx="0">
                  <c:v>Zoninstraling</c:v>
                </c:pt>
                <c:pt idx="1">
                  <c:v>Interne warmtelast</c:v>
                </c:pt>
                <c:pt idx="2">
                  <c:v>Netto warmtevraag</c:v>
                </c:pt>
              </c:strCache>
            </c:strRef>
          </c:cat>
          <c:val>
            <c:numRef>
              <c:f>Resultaat_verzameling!$H$56:$H$58</c:f>
              <c:numCache>
                <c:formatCode>0</c:formatCode>
                <c:ptCount val="3"/>
                <c:pt idx="0">
                  <c:v>0</c:v>
                </c:pt>
                <c:pt idx="1">
                  <c:v>0</c:v>
                </c:pt>
                <c:pt idx="2">
                  <c:v>0</c:v>
                </c:pt>
              </c:numCache>
            </c:numRef>
          </c:val>
          <c:extLst>
            <c:ext xmlns:c16="http://schemas.microsoft.com/office/drawing/2014/chart" uri="{C3380CC4-5D6E-409C-BE32-E72D297353CC}">
              <c16:uniqueId val="{00000006-771B-4855-876D-D561DFC2435B}"/>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nl-NL"/>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Warmtebalans in</a:t>
            </a:r>
            <a:r>
              <a:rPr lang="en-US" baseline="0"/>
              <a:t> kWh/m2</a:t>
            </a:r>
            <a:endParaRPr lang="en-US"/>
          </a:p>
        </c:rich>
      </c:tx>
      <c:overlay val="0"/>
    </c:title>
    <c:autoTitleDeleted val="0"/>
    <c:plotArea>
      <c:layout/>
      <c:barChart>
        <c:barDir val="col"/>
        <c:grouping val="stacked"/>
        <c:varyColors val="0"/>
        <c:ser>
          <c:idx val="9"/>
          <c:order val="0"/>
          <c:tx>
            <c:strRef>
              <c:f>Resultaten!$O$51</c:f>
              <c:strCache>
                <c:ptCount val="1"/>
                <c:pt idx="0">
                  <c:v>Netto warmtevraag</c:v>
                </c:pt>
              </c:strCache>
            </c:strRef>
          </c:tx>
          <c:invertIfNegative val="0"/>
          <c:cat>
            <c:strRef>
              <c:f>Resultaten!$Q$41:$U$41</c:f>
              <c:strCache>
                <c:ptCount val="5"/>
                <c:pt idx="0">
                  <c:v>Schetsontwerp Camper</c:v>
                </c:pt>
                <c:pt idx="1">
                  <c:v>1e verbeterslag</c:v>
                </c:pt>
                <c:pt idx="2">
                  <c:v>2e verbeterslag</c:v>
                </c:pt>
                <c:pt idx="3">
                  <c:v>3e verbeterslag</c:v>
                </c:pt>
                <c:pt idx="4">
                  <c:v>4e verbetering</c:v>
                </c:pt>
              </c:strCache>
            </c:strRef>
          </c:cat>
          <c:val>
            <c:numRef>
              <c:f>Resultaten!$Q$51:$U$51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3BF-42AE-AE4B-64F924368984}"/>
            </c:ext>
          </c:extLst>
        </c:ser>
        <c:ser>
          <c:idx val="8"/>
          <c:order val="1"/>
          <c:tx>
            <c:strRef>
              <c:f>Resultaten!$O$50</c:f>
              <c:strCache>
                <c:ptCount val="1"/>
                <c:pt idx="0">
                  <c:v>Interne warmtelast</c:v>
                </c:pt>
              </c:strCache>
            </c:strRef>
          </c:tx>
          <c:invertIfNegative val="0"/>
          <c:cat>
            <c:strRef>
              <c:f>Resultaten!$Q$41:$U$41</c:f>
              <c:strCache>
                <c:ptCount val="5"/>
                <c:pt idx="0">
                  <c:v>Schetsontwerp Camper</c:v>
                </c:pt>
                <c:pt idx="1">
                  <c:v>1e verbeterslag</c:v>
                </c:pt>
                <c:pt idx="2">
                  <c:v>2e verbeterslag</c:v>
                </c:pt>
                <c:pt idx="3">
                  <c:v>3e verbeterslag</c:v>
                </c:pt>
                <c:pt idx="4">
                  <c:v>4e verbetering</c:v>
                </c:pt>
              </c:strCache>
            </c:strRef>
          </c:cat>
          <c:val>
            <c:numRef>
              <c:f>Resultaten!$Q$50:$U$50</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1-B3BF-42AE-AE4B-64F924368984}"/>
            </c:ext>
          </c:extLst>
        </c:ser>
        <c:ser>
          <c:idx val="7"/>
          <c:order val="2"/>
          <c:tx>
            <c:strRef>
              <c:f>Resultaten!$O$49</c:f>
              <c:strCache>
                <c:ptCount val="1"/>
                <c:pt idx="0">
                  <c:v>Zoninstraling</c:v>
                </c:pt>
              </c:strCache>
            </c:strRef>
          </c:tx>
          <c:invertIfNegative val="0"/>
          <c:cat>
            <c:strRef>
              <c:f>Resultaten!$Q$41:$U$41</c:f>
              <c:strCache>
                <c:ptCount val="5"/>
                <c:pt idx="0">
                  <c:v>Schetsontwerp Camper</c:v>
                </c:pt>
                <c:pt idx="1">
                  <c:v>1e verbeterslag</c:v>
                </c:pt>
                <c:pt idx="2">
                  <c:v>2e verbeterslag</c:v>
                </c:pt>
                <c:pt idx="3">
                  <c:v>3e verbeterslag</c:v>
                </c:pt>
                <c:pt idx="4">
                  <c:v>4e verbetering</c:v>
                </c:pt>
              </c:strCache>
            </c:strRef>
          </c:cat>
          <c:val>
            <c:numRef>
              <c:f>Resultaten!$Q$49:$U$49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2-B3BF-42AE-AE4B-64F924368984}"/>
            </c:ext>
          </c:extLst>
        </c:ser>
        <c:ser>
          <c:idx val="6"/>
          <c:order val="3"/>
          <c:tx>
            <c:strRef>
              <c:f>Resultaten!$O$48</c:f>
              <c:strCache>
                <c:ptCount val="1"/>
                <c:pt idx="0">
                  <c:v>Ventilatie</c:v>
                </c:pt>
              </c:strCache>
            </c:strRef>
          </c:tx>
          <c:invertIfNegative val="0"/>
          <c:cat>
            <c:strRef>
              <c:f>Resultaten!$Q$41:$U$41</c:f>
              <c:strCache>
                <c:ptCount val="5"/>
                <c:pt idx="0">
                  <c:v>Schetsontwerp Camper</c:v>
                </c:pt>
                <c:pt idx="1">
                  <c:v>1e verbeterslag</c:v>
                </c:pt>
                <c:pt idx="2">
                  <c:v>2e verbeterslag</c:v>
                </c:pt>
                <c:pt idx="3">
                  <c:v>3e verbeterslag</c:v>
                </c:pt>
                <c:pt idx="4">
                  <c:v>4e verbetering</c:v>
                </c:pt>
              </c:strCache>
            </c:strRef>
          </c:cat>
          <c:val>
            <c:numRef>
              <c:f>Resultaten!$Q$48:$U$48</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3-B3BF-42AE-AE4B-64F924368984}"/>
            </c:ext>
          </c:extLst>
        </c:ser>
        <c:ser>
          <c:idx val="5"/>
          <c:order val="4"/>
          <c:tx>
            <c:strRef>
              <c:f>Resultaten!$O$47</c:f>
              <c:strCache>
                <c:ptCount val="1"/>
                <c:pt idx="0">
                  <c:v>Infiltratie</c:v>
                </c:pt>
              </c:strCache>
            </c:strRef>
          </c:tx>
          <c:invertIfNegative val="0"/>
          <c:cat>
            <c:strRef>
              <c:f>Resultaten!$Q$41:$U$41</c:f>
              <c:strCache>
                <c:ptCount val="5"/>
                <c:pt idx="0">
                  <c:v>Schetsontwerp Camper</c:v>
                </c:pt>
                <c:pt idx="1">
                  <c:v>1e verbeterslag</c:v>
                </c:pt>
                <c:pt idx="2">
                  <c:v>2e verbeterslag</c:v>
                </c:pt>
                <c:pt idx="3">
                  <c:v>3e verbeterslag</c:v>
                </c:pt>
                <c:pt idx="4">
                  <c:v>4e verbetering</c:v>
                </c:pt>
              </c:strCache>
            </c:strRef>
          </c:cat>
          <c:val>
            <c:numRef>
              <c:f>Resultaten!$Q$47:$U$47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4-B3BF-42AE-AE4B-64F924368984}"/>
            </c:ext>
          </c:extLst>
        </c:ser>
        <c:ser>
          <c:idx val="4"/>
          <c:order val="5"/>
          <c:tx>
            <c:strRef>
              <c:f>Resultaten!$O$46</c:f>
              <c:strCache>
                <c:ptCount val="1"/>
                <c:pt idx="0">
                  <c:v>Transmissie (overige)</c:v>
                </c:pt>
              </c:strCache>
            </c:strRef>
          </c:tx>
          <c:invertIfNegative val="0"/>
          <c:cat>
            <c:strRef>
              <c:f>Resultaten!$Q$41:$U$41</c:f>
              <c:strCache>
                <c:ptCount val="5"/>
                <c:pt idx="0">
                  <c:v>Schetsontwerp Camper</c:v>
                </c:pt>
                <c:pt idx="1">
                  <c:v>1e verbeterslag</c:v>
                </c:pt>
                <c:pt idx="2">
                  <c:v>2e verbeterslag</c:v>
                </c:pt>
                <c:pt idx="3">
                  <c:v>3e verbeterslag</c:v>
                </c:pt>
                <c:pt idx="4">
                  <c:v>4e verbetering</c:v>
                </c:pt>
              </c:strCache>
            </c:strRef>
          </c:cat>
          <c:val>
            <c:numRef>
              <c:f>Resultaten!$Q$46:$U$46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5-B3BF-42AE-AE4B-64F924368984}"/>
            </c:ext>
          </c:extLst>
        </c:ser>
        <c:ser>
          <c:idx val="3"/>
          <c:order val="6"/>
          <c:tx>
            <c:strRef>
              <c:f>Resultaten!$O$45</c:f>
              <c:strCache>
                <c:ptCount val="1"/>
                <c:pt idx="0">
                  <c:v>Transmissie (ramen)</c:v>
                </c:pt>
              </c:strCache>
            </c:strRef>
          </c:tx>
          <c:invertIfNegative val="0"/>
          <c:cat>
            <c:strRef>
              <c:f>Resultaten!$Q$41:$U$41</c:f>
              <c:strCache>
                <c:ptCount val="5"/>
                <c:pt idx="0">
                  <c:v>Schetsontwerp Camper</c:v>
                </c:pt>
                <c:pt idx="1">
                  <c:v>1e verbeterslag</c:v>
                </c:pt>
                <c:pt idx="2">
                  <c:v>2e verbeterslag</c:v>
                </c:pt>
                <c:pt idx="3">
                  <c:v>3e verbeterslag</c:v>
                </c:pt>
                <c:pt idx="4">
                  <c:v>4e verbetering</c:v>
                </c:pt>
              </c:strCache>
            </c:strRef>
          </c:cat>
          <c:val>
            <c:numRef>
              <c:f>Resultaten!$Q$45:$U$45</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6-B3BF-42AE-AE4B-64F924368984}"/>
            </c:ext>
          </c:extLst>
        </c:ser>
        <c:ser>
          <c:idx val="2"/>
          <c:order val="7"/>
          <c:tx>
            <c:strRef>
              <c:f>Resultaten!$O$44</c:f>
              <c:strCache>
                <c:ptCount val="1"/>
                <c:pt idx="0">
                  <c:v>Transmissie (vloer)</c:v>
                </c:pt>
              </c:strCache>
            </c:strRef>
          </c:tx>
          <c:invertIfNegative val="0"/>
          <c:cat>
            <c:strRef>
              <c:f>Resultaten!$Q$41:$U$41</c:f>
              <c:strCache>
                <c:ptCount val="5"/>
                <c:pt idx="0">
                  <c:v>Schetsontwerp Camper</c:v>
                </c:pt>
                <c:pt idx="1">
                  <c:v>1e verbeterslag</c:v>
                </c:pt>
                <c:pt idx="2">
                  <c:v>2e verbeterslag</c:v>
                </c:pt>
                <c:pt idx="3">
                  <c:v>3e verbeterslag</c:v>
                </c:pt>
                <c:pt idx="4">
                  <c:v>4e verbetering</c:v>
                </c:pt>
              </c:strCache>
            </c:strRef>
          </c:cat>
          <c:val>
            <c:numRef>
              <c:f>Resultaten!$Q$44:$U$44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7-B3BF-42AE-AE4B-64F924368984}"/>
            </c:ext>
          </c:extLst>
        </c:ser>
        <c:ser>
          <c:idx val="1"/>
          <c:order val="8"/>
          <c:tx>
            <c:strRef>
              <c:f>Resultaten!$O$43</c:f>
              <c:strCache>
                <c:ptCount val="1"/>
                <c:pt idx="0">
                  <c:v>Transmissie (dak)</c:v>
                </c:pt>
              </c:strCache>
            </c:strRef>
          </c:tx>
          <c:invertIfNegative val="0"/>
          <c:cat>
            <c:strRef>
              <c:f>Resultaten!$Q$41:$U$41</c:f>
              <c:strCache>
                <c:ptCount val="5"/>
                <c:pt idx="0">
                  <c:v>Schetsontwerp Camper</c:v>
                </c:pt>
                <c:pt idx="1">
                  <c:v>1e verbeterslag</c:v>
                </c:pt>
                <c:pt idx="2">
                  <c:v>2e verbeterslag</c:v>
                </c:pt>
                <c:pt idx="3">
                  <c:v>3e verbeterslag</c:v>
                </c:pt>
                <c:pt idx="4">
                  <c:v>4e verbetering</c:v>
                </c:pt>
              </c:strCache>
            </c:strRef>
          </c:cat>
          <c:val>
            <c:numRef>
              <c:f>Resultaten!$Q$43:$U$43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8-B3BF-42AE-AE4B-64F924368984}"/>
            </c:ext>
          </c:extLst>
        </c:ser>
        <c:ser>
          <c:idx val="0"/>
          <c:order val="9"/>
          <c:tx>
            <c:strRef>
              <c:f>Resultaten!$O$42</c:f>
              <c:strCache>
                <c:ptCount val="1"/>
                <c:pt idx="0">
                  <c:v>Transmissie (buitengevels)</c:v>
                </c:pt>
              </c:strCache>
            </c:strRef>
          </c:tx>
          <c:invertIfNegative val="0"/>
          <c:cat>
            <c:strRef>
              <c:f>Resultaten!$Q$41:$U$41</c:f>
              <c:strCache>
                <c:ptCount val="5"/>
                <c:pt idx="0">
                  <c:v>Schetsontwerp Camper</c:v>
                </c:pt>
                <c:pt idx="1">
                  <c:v>1e verbeterslag</c:v>
                </c:pt>
                <c:pt idx="2">
                  <c:v>2e verbeterslag</c:v>
                </c:pt>
                <c:pt idx="3">
                  <c:v>3e verbeterslag</c:v>
                </c:pt>
                <c:pt idx="4">
                  <c:v>4e verbetering</c:v>
                </c:pt>
              </c:strCache>
            </c:strRef>
          </c:cat>
          <c:val>
            <c:numRef>
              <c:f>Resultaten!$Q$42:$U$42</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9-B3BF-42AE-AE4B-64F924368984}"/>
            </c:ext>
          </c:extLst>
        </c:ser>
        <c:dLbls>
          <c:showLegendKey val="0"/>
          <c:showVal val="0"/>
          <c:showCatName val="0"/>
          <c:showSerName val="0"/>
          <c:showPercent val="0"/>
          <c:showBubbleSize val="0"/>
        </c:dLbls>
        <c:gapWidth val="150"/>
        <c:overlap val="100"/>
        <c:axId val="134551552"/>
        <c:axId val="134005312"/>
      </c:barChart>
      <c:catAx>
        <c:axId val="134551552"/>
        <c:scaling>
          <c:orientation val="minMax"/>
        </c:scaling>
        <c:delete val="0"/>
        <c:axPos val="b"/>
        <c:numFmt formatCode="General" sourceLinked="0"/>
        <c:majorTickMark val="out"/>
        <c:minorTickMark val="none"/>
        <c:tickLblPos val="high"/>
        <c:txPr>
          <a:bodyPr/>
          <a:lstStyle/>
          <a:p>
            <a:pPr>
              <a:defRPr b="1"/>
            </a:pPr>
            <a:endParaRPr lang="nl-NL"/>
          </a:p>
        </c:txPr>
        <c:crossAx val="134005312"/>
        <c:crosses val="autoZero"/>
        <c:auto val="1"/>
        <c:lblAlgn val="ctr"/>
        <c:lblOffset val="100"/>
        <c:noMultiLvlLbl val="0"/>
      </c:catAx>
      <c:valAx>
        <c:axId val="134005312"/>
        <c:scaling>
          <c:orientation val="minMax"/>
        </c:scaling>
        <c:delete val="0"/>
        <c:axPos val="l"/>
        <c:majorGridlines/>
        <c:numFmt formatCode="0.0" sourceLinked="1"/>
        <c:majorTickMark val="out"/>
        <c:minorTickMark val="none"/>
        <c:tickLblPos val="nextTo"/>
        <c:crossAx val="1345515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Warmteverlies (Huidig)</a:t>
            </a:r>
          </a:p>
        </c:rich>
      </c:tx>
      <c:overlay val="0"/>
    </c:title>
    <c:autoTitleDeleted val="0"/>
    <c:plotArea>
      <c:layout/>
      <c:pieChart>
        <c:varyColors val="1"/>
        <c:ser>
          <c:idx val="0"/>
          <c:order val="0"/>
          <c:tx>
            <c:v>Warmteverlies</c:v>
          </c:tx>
          <c:cat>
            <c:strRef>
              <c:f>Resultaat_verzameling!$B$49:$B$55</c:f>
              <c:strCache>
                <c:ptCount val="7"/>
                <c:pt idx="0">
                  <c:v>Transmissie (buitengevels)</c:v>
                </c:pt>
                <c:pt idx="1">
                  <c:v>Transmissie (dak)</c:v>
                </c:pt>
                <c:pt idx="2">
                  <c:v>Transmissie (vloer)</c:v>
                </c:pt>
                <c:pt idx="3">
                  <c:v>Transmissie (ramen)</c:v>
                </c:pt>
                <c:pt idx="4">
                  <c:v>Transmissie (overige)</c:v>
                </c:pt>
                <c:pt idx="5">
                  <c:v>Infiltratie</c:v>
                </c:pt>
                <c:pt idx="6">
                  <c:v>Ventilatie</c:v>
                </c:pt>
              </c:strCache>
            </c:strRef>
          </c:cat>
          <c:val>
            <c:numRef>
              <c:f>Resultaat_verzameling!$D$49:$D$55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3D8-4B68-B29A-9AF441A5D3A7}"/>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59579685424405504"/>
          <c:y val="0.20760364564984299"/>
          <c:w val="0.383954577305819"/>
          <c:h val="0.73592627866869198"/>
        </c:manualLayout>
      </c:layout>
      <c:overlay val="0"/>
      <c:txPr>
        <a:bodyPr/>
        <a:lstStyle/>
        <a:p>
          <a:pPr rtl="0">
            <a:defRPr/>
          </a:pPr>
          <a:endParaRPr lang="nl-NL"/>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Warmtewinst (E=0)</a:t>
            </a:r>
          </a:p>
        </c:rich>
      </c:tx>
      <c:overlay val="0"/>
    </c:title>
    <c:autoTitleDeleted val="0"/>
    <c:plotArea>
      <c:layout/>
      <c:pieChart>
        <c:varyColors val="1"/>
        <c:ser>
          <c:idx val="0"/>
          <c:order val="0"/>
          <c:tx>
            <c:v>Warmtewinst</c:v>
          </c:tx>
          <c:dPt>
            <c:idx val="0"/>
            <c:bubble3D val="0"/>
            <c:spPr>
              <a:solidFill>
                <a:schemeClr val="accent2">
                  <a:lumMod val="60000"/>
                  <a:lumOff val="40000"/>
                </a:schemeClr>
              </a:solidFill>
            </c:spPr>
            <c:extLst>
              <c:ext xmlns:c16="http://schemas.microsoft.com/office/drawing/2014/chart" uri="{C3380CC4-5D6E-409C-BE32-E72D297353CC}">
                <c16:uniqueId val="{00000001-EE47-471C-B726-56C4C72A69A1}"/>
              </c:ext>
            </c:extLst>
          </c:dPt>
          <c:dPt>
            <c:idx val="1"/>
            <c:bubble3D val="0"/>
            <c:spPr>
              <a:solidFill>
                <a:schemeClr val="accent3">
                  <a:lumMod val="60000"/>
                  <a:lumOff val="40000"/>
                </a:schemeClr>
              </a:solidFill>
            </c:spPr>
            <c:extLst>
              <c:ext xmlns:c16="http://schemas.microsoft.com/office/drawing/2014/chart" uri="{C3380CC4-5D6E-409C-BE32-E72D297353CC}">
                <c16:uniqueId val="{00000003-EE47-471C-B726-56C4C72A69A1}"/>
              </c:ext>
            </c:extLst>
          </c:dPt>
          <c:dPt>
            <c:idx val="2"/>
            <c:bubble3D val="0"/>
            <c:spPr>
              <a:solidFill>
                <a:schemeClr val="accent4">
                  <a:lumMod val="60000"/>
                  <a:lumOff val="40000"/>
                </a:schemeClr>
              </a:solidFill>
            </c:spPr>
            <c:extLst>
              <c:ext xmlns:c16="http://schemas.microsoft.com/office/drawing/2014/chart" uri="{C3380CC4-5D6E-409C-BE32-E72D297353CC}">
                <c16:uniqueId val="{00000005-EE47-471C-B726-56C4C72A69A1}"/>
              </c:ext>
            </c:extLst>
          </c:dPt>
          <c:cat>
            <c:strRef>
              <c:f>Resultaat_verzameling!$B$56:$B$58</c:f>
              <c:strCache>
                <c:ptCount val="3"/>
                <c:pt idx="0">
                  <c:v>Zoninstraling</c:v>
                </c:pt>
                <c:pt idx="1">
                  <c:v>Interne warmtelast</c:v>
                </c:pt>
                <c:pt idx="2">
                  <c:v>Netto warmtevraag</c:v>
                </c:pt>
              </c:strCache>
            </c:strRef>
          </c:cat>
          <c:val>
            <c:numRef>
              <c:f>Resultaat_verzameling!$E$56:$E$58</c:f>
              <c:numCache>
                <c:formatCode>0</c:formatCode>
                <c:ptCount val="3"/>
                <c:pt idx="0">
                  <c:v>0</c:v>
                </c:pt>
                <c:pt idx="1">
                  <c:v>0</c:v>
                </c:pt>
                <c:pt idx="2">
                  <c:v>0</c:v>
                </c:pt>
              </c:numCache>
            </c:numRef>
          </c:val>
          <c:extLst>
            <c:ext xmlns:c16="http://schemas.microsoft.com/office/drawing/2014/chart" uri="{C3380CC4-5D6E-409C-BE32-E72D297353CC}">
              <c16:uniqueId val="{00000006-EE47-471C-B726-56C4C72A69A1}"/>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nl-NL"/>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Warmteverlies (Var 1)</a:t>
            </a:r>
          </a:p>
        </c:rich>
      </c:tx>
      <c:overlay val="0"/>
    </c:title>
    <c:autoTitleDeleted val="0"/>
    <c:plotArea>
      <c:layout/>
      <c:pieChart>
        <c:varyColors val="1"/>
        <c:ser>
          <c:idx val="0"/>
          <c:order val="0"/>
          <c:tx>
            <c:v>Warmteverlies</c:v>
          </c:tx>
          <c:cat>
            <c:strRef>
              <c:f>Resultaat_verzameling!$B$49:$B$55</c:f>
              <c:strCache>
                <c:ptCount val="7"/>
                <c:pt idx="0">
                  <c:v>Transmissie (buitengevels)</c:v>
                </c:pt>
                <c:pt idx="1">
                  <c:v>Transmissie (dak)</c:v>
                </c:pt>
                <c:pt idx="2">
                  <c:v>Transmissie (vloer)</c:v>
                </c:pt>
                <c:pt idx="3">
                  <c:v>Transmissie (ramen)</c:v>
                </c:pt>
                <c:pt idx="4">
                  <c:v>Transmissie (overige)</c:v>
                </c:pt>
                <c:pt idx="5">
                  <c:v>Infiltratie</c:v>
                </c:pt>
                <c:pt idx="6">
                  <c:v>Ventilatie</c:v>
                </c:pt>
              </c:strCache>
            </c:strRef>
          </c:cat>
          <c:val>
            <c:numRef>
              <c:f>Resultaat_verzameling!$F$49:$F$55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129-403A-AF00-BE015B4518DC}"/>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0609848643504605"/>
          <c:y val="0.207603341219464"/>
          <c:w val="0.37407758233370297"/>
          <c:h val="0.73592656140385904"/>
        </c:manualLayout>
      </c:layout>
      <c:overlay val="0"/>
      <c:txPr>
        <a:bodyPr/>
        <a:lstStyle/>
        <a:p>
          <a:pPr rtl="0">
            <a:defRPr/>
          </a:pPr>
          <a:endParaRPr lang="nl-NL"/>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Warmtewinst (Huidig)</a:t>
            </a:r>
          </a:p>
        </c:rich>
      </c:tx>
      <c:overlay val="0"/>
    </c:title>
    <c:autoTitleDeleted val="0"/>
    <c:plotArea>
      <c:layout/>
      <c:pieChart>
        <c:varyColors val="1"/>
        <c:ser>
          <c:idx val="0"/>
          <c:order val="0"/>
          <c:tx>
            <c:v>Warmtewinst</c:v>
          </c:tx>
          <c:dPt>
            <c:idx val="0"/>
            <c:bubble3D val="0"/>
            <c:spPr>
              <a:solidFill>
                <a:schemeClr val="accent2">
                  <a:lumMod val="60000"/>
                  <a:lumOff val="40000"/>
                </a:schemeClr>
              </a:solidFill>
            </c:spPr>
            <c:extLst>
              <c:ext xmlns:c16="http://schemas.microsoft.com/office/drawing/2014/chart" uri="{C3380CC4-5D6E-409C-BE32-E72D297353CC}">
                <c16:uniqueId val="{00000001-176C-44BD-978E-13295EFB5BF1}"/>
              </c:ext>
            </c:extLst>
          </c:dPt>
          <c:dPt>
            <c:idx val="1"/>
            <c:bubble3D val="0"/>
            <c:spPr>
              <a:solidFill>
                <a:schemeClr val="accent3">
                  <a:lumMod val="60000"/>
                  <a:lumOff val="40000"/>
                </a:schemeClr>
              </a:solidFill>
            </c:spPr>
            <c:extLst>
              <c:ext xmlns:c16="http://schemas.microsoft.com/office/drawing/2014/chart" uri="{C3380CC4-5D6E-409C-BE32-E72D297353CC}">
                <c16:uniqueId val="{00000003-176C-44BD-978E-13295EFB5BF1}"/>
              </c:ext>
            </c:extLst>
          </c:dPt>
          <c:dPt>
            <c:idx val="2"/>
            <c:bubble3D val="0"/>
            <c:spPr>
              <a:solidFill>
                <a:schemeClr val="accent4">
                  <a:lumMod val="60000"/>
                  <a:lumOff val="40000"/>
                </a:schemeClr>
              </a:solidFill>
            </c:spPr>
            <c:extLst>
              <c:ext xmlns:c16="http://schemas.microsoft.com/office/drawing/2014/chart" uri="{C3380CC4-5D6E-409C-BE32-E72D297353CC}">
                <c16:uniqueId val="{00000005-176C-44BD-978E-13295EFB5BF1}"/>
              </c:ext>
            </c:extLst>
          </c:dPt>
          <c:cat>
            <c:strRef>
              <c:f>Resultaat_verzameling!$B$56:$B$58</c:f>
              <c:strCache>
                <c:ptCount val="3"/>
                <c:pt idx="0">
                  <c:v>Zoninstraling</c:v>
                </c:pt>
                <c:pt idx="1">
                  <c:v>Interne warmtelast</c:v>
                </c:pt>
                <c:pt idx="2">
                  <c:v>Netto warmtevraag</c:v>
                </c:pt>
              </c:strCache>
            </c:strRef>
          </c:cat>
          <c:val>
            <c:numRef>
              <c:f>Resultaat_verzameling!$D$56:$D$58</c:f>
              <c:numCache>
                <c:formatCode>0</c:formatCode>
                <c:ptCount val="3"/>
                <c:pt idx="0">
                  <c:v>0</c:v>
                </c:pt>
                <c:pt idx="1">
                  <c:v>0</c:v>
                </c:pt>
                <c:pt idx="2">
                  <c:v>0</c:v>
                </c:pt>
              </c:numCache>
            </c:numRef>
          </c:val>
          <c:extLst>
            <c:ext xmlns:c16="http://schemas.microsoft.com/office/drawing/2014/chart" uri="{C3380CC4-5D6E-409C-BE32-E72D297353CC}">
              <c16:uniqueId val="{00000006-176C-44BD-978E-13295EFB5BF1}"/>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nl-NL"/>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Warmteverlies (E=0)</a:t>
            </a:r>
          </a:p>
        </c:rich>
      </c:tx>
      <c:overlay val="0"/>
    </c:title>
    <c:autoTitleDeleted val="0"/>
    <c:plotArea>
      <c:layout/>
      <c:pieChart>
        <c:varyColors val="1"/>
        <c:ser>
          <c:idx val="0"/>
          <c:order val="0"/>
          <c:tx>
            <c:v>Warmteverlies</c:v>
          </c:tx>
          <c:cat>
            <c:strRef>
              <c:f>Resultaat_verzameling!$B$49:$B$55</c:f>
              <c:strCache>
                <c:ptCount val="7"/>
                <c:pt idx="0">
                  <c:v>Transmissie (buitengevels)</c:v>
                </c:pt>
                <c:pt idx="1">
                  <c:v>Transmissie (dak)</c:v>
                </c:pt>
                <c:pt idx="2">
                  <c:v>Transmissie (vloer)</c:v>
                </c:pt>
                <c:pt idx="3">
                  <c:v>Transmissie (ramen)</c:v>
                </c:pt>
                <c:pt idx="4">
                  <c:v>Transmissie (overige)</c:v>
                </c:pt>
                <c:pt idx="5">
                  <c:v>Infiltratie</c:v>
                </c:pt>
                <c:pt idx="6">
                  <c:v>Ventilatie</c:v>
                </c:pt>
              </c:strCache>
            </c:strRef>
          </c:cat>
          <c:val>
            <c:numRef>
              <c:f>Resultaat_verzameling!$E$49:$E$55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909-4D7A-A509-200F6718DB6E}"/>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2314494682612398"/>
          <c:y val="0.20760364564984299"/>
          <c:w val="0.35850470161533698"/>
          <c:h val="0.73592627866869198"/>
        </c:manualLayout>
      </c:layout>
      <c:overlay val="0"/>
      <c:txPr>
        <a:bodyPr/>
        <a:lstStyle/>
        <a:p>
          <a:pPr rtl="0">
            <a:defRPr/>
          </a:pPr>
          <a:endParaRPr lang="nl-NL"/>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Warmtewinst (Var 1)</a:t>
            </a:r>
          </a:p>
        </c:rich>
      </c:tx>
      <c:overlay val="0"/>
    </c:title>
    <c:autoTitleDeleted val="0"/>
    <c:plotArea>
      <c:layout/>
      <c:pieChart>
        <c:varyColors val="1"/>
        <c:ser>
          <c:idx val="0"/>
          <c:order val="0"/>
          <c:tx>
            <c:v>Warmteverlies</c:v>
          </c:tx>
          <c:dPt>
            <c:idx val="0"/>
            <c:bubble3D val="0"/>
            <c:spPr>
              <a:solidFill>
                <a:schemeClr val="accent2">
                  <a:lumMod val="60000"/>
                  <a:lumOff val="40000"/>
                </a:schemeClr>
              </a:solidFill>
            </c:spPr>
            <c:extLst>
              <c:ext xmlns:c16="http://schemas.microsoft.com/office/drawing/2014/chart" uri="{C3380CC4-5D6E-409C-BE32-E72D297353CC}">
                <c16:uniqueId val="{00000001-07FB-421E-AD6F-BDC96CF1F256}"/>
              </c:ext>
            </c:extLst>
          </c:dPt>
          <c:dPt>
            <c:idx val="1"/>
            <c:bubble3D val="0"/>
            <c:spPr>
              <a:solidFill>
                <a:schemeClr val="accent3">
                  <a:lumMod val="60000"/>
                  <a:lumOff val="40000"/>
                </a:schemeClr>
              </a:solidFill>
            </c:spPr>
            <c:extLst>
              <c:ext xmlns:c16="http://schemas.microsoft.com/office/drawing/2014/chart" uri="{C3380CC4-5D6E-409C-BE32-E72D297353CC}">
                <c16:uniqueId val="{00000003-07FB-421E-AD6F-BDC96CF1F256}"/>
              </c:ext>
            </c:extLst>
          </c:dPt>
          <c:dPt>
            <c:idx val="2"/>
            <c:bubble3D val="0"/>
            <c:spPr>
              <a:solidFill>
                <a:schemeClr val="accent4">
                  <a:lumMod val="60000"/>
                  <a:lumOff val="40000"/>
                </a:schemeClr>
              </a:solidFill>
            </c:spPr>
            <c:extLst>
              <c:ext xmlns:c16="http://schemas.microsoft.com/office/drawing/2014/chart" uri="{C3380CC4-5D6E-409C-BE32-E72D297353CC}">
                <c16:uniqueId val="{00000005-07FB-421E-AD6F-BDC96CF1F256}"/>
              </c:ext>
            </c:extLst>
          </c:dPt>
          <c:cat>
            <c:strRef>
              <c:f>Resultaat_verzameling!$B$56:$B$58</c:f>
              <c:strCache>
                <c:ptCount val="3"/>
                <c:pt idx="0">
                  <c:v>Zoninstraling</c:v>
                </c:pt>
                <c:pt idx="1">
                  <c:v>Interne warmtelast</c:v>
                </c:pt>
                <c:pt idx="2">
                  <c:v>Netto warmtevraag</c:v>
                </c:pt>
              </c:strCache>
            </c:strRef>
          </c:cat>
          <c:val>
            <c:numRef>
              <c:f>Resultaat_verzameling!$F$56:$F$58</c:f>
              <c:numCache>
                <c:formatCode>0</c:formatCode>
                <c:ptCount val="3"/>
                <c:pt idx="0">
                  <c:v>0</c:v>
                </c:pt>
                <c:pt idx="1">
                  <c:v>0</c:v>
                </c:pt>
                <c:pt idx="2">
                  <c:v>0</c:v>
                </c:pt>
              </c:numCache>
            </c:numRef>
          </c:val>
          <c:extLst>
            <c:ext xmlns:c16="http://schemas.microsoft.com/office/drawing/2014/chart" uri="{C3380CC4-5D6E-409C-BE32-E72D297353CC}">
              <c16:uniqueId val="{00000006-07FB-421E-AD6F-BDC96CF1F256}"/>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nl-NL"/>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Warmteverlies (Var 2)</a:t>
            </a:r>
          </a:p>
        </c:rich>
      </c:tx>
      <c:overlay val="0"/>
    </c:title>
    <c:autoTitleDeleted val="0"/>
    <c:plotArea>
      <c:layout/>
      <c:pieChart>
        <c:varyColors val="1"/>
        <c:ser>
          <c:idx val="0"/>
          <c:order val="0"/>
          <c:cat>
            <c:strRef>
              <c:f>Resultaat_verzameling!$B$49:$B$55</c:f>
              <c:strCache>
                <c:ptCount val="7"/>
                <c:pt idx="0">
                  <c:v>Transmissie (buitengevels)</c:v>
                </c:pt>
                <c:pt idx="1">
                  <c:v>Transmissie (dak)</c:v>
                </c:pt>
                <c:pt idx="2">
                  <c:v>Transmissie (vloer)</c:v>
                </c:pt>
                <c:pt idx="3">
                  <c:v>Transmissie (ramen)</c:v>
                </c:pt>
                <c:pt idx="4">
                  <c:v>Transmissie (overige)</c:v>
                </c:pt>
                <c:pt idx="5">
                  <c:v>Infiltratie</c:v>
                </c:pt>
                <c:pt idx="6">
                  <c:v>Ventilatie</c:v>
                </c:pt>
              </c:strCache>
            </c:strRef>
          </c:cat>
          <c:val>
            <c:numRef>
              <c:f>Resultaat_verzameling!$G$49:$G$55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DF1-4AC2-ADAC-F3600B2B2E55}"/>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61798567714168895"/>
          <c:y val="0.207603341219464"/>
          <c:w val="0.36467892778078997"/>
          <c:h val="0.73592656140385904"/>
        </c:manualLayout>
      </c:layout>
      <c:overlay val="0"/>
      <c:txPr>
        <a:bodyPr/>
        <a:lstStyle/>
        <a:p>
          <a:pPr rtl="0">
            <a:defRPr/>
          </a:pPr>
          <a:endParaRPr lang="nl-NL"/>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590549</xdr:colOff>
      <xdr:row>6</xdr:row>
      <xdr:rowOff>0</xdr:rowOff>
    </xdr:from>
    <xdr:to>
      <xdr:col>12</xdr:col>
      <xdr:colOff>409575</xdr:colOff>
      <xdr:row>45</xdr:row>
      <xdr:rowOff>9525</xdr:rowOff>
    </xdr:to>
    <xdr:sp macro="" textlink="">
      <xdr:nvSpPr>
        <xdr:cNvPr id="2" name="Tekstvak 1">
          <a:extLst>
            <a:ext uri="{FF2B5EF4-FFF2-40B4-BE49-F238E27FC236}">
              <a16:creationId xmlns:a16="http://schemas.microsoft.com/office/drawing/2014/main" id="{00000000-0008-0000-0000-000002000000}"/>
            </a:ext>
          </a:extLst>
        </xdr:cNvPr>
        <xdr:cNvSpPr txBox="1"/>
      </xdr:nvSpPr>
      <xdr:spPr>
        <a:xfrm>
          <a:off x="590549" y="1162050"/>
          <a:ext cx="7181851" cy="6981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Beste gebruiker,</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De initiatiefnemers van de “No regret Rekentool” zijn de uitdaging aangegaan om deze voor een breed publiek toegankelijk te maken onder het motto: “het gaat niet om slimme tools, maar om mensen slimmer maken”. Om daarbij te helpen is deze handleiding samengesteld. </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Het Excel bestand (wij noemen het een “tool”) is ontwikkeld om energieadviseurs/intermediairs, conceptontwikkelaars en cursisten die invulling willen geven aan de uitdaging om woningen in 1 keer of in stappen energieneutraal te maken te ondersteunen. De tool geeft inzicht in de doorwerking van conceptkeuzes op het energiegebruik van de woning. De tool maakt onderdeel uit van een training voor conceptontwikkelaars, energieadviseurs/intermediairs en vooruitstrevende particuliere woning eigenaren (pioniers).  Met andere woorden: de tool is opgezet met het oog op </a:t>
          </a:r>
          <a:r>
            <a:rPr lang="nl-NL" sz="1100" i="1">
              <a:solidFill>
                <a:schemeClr val="dk1"/>
              </a:solidFill>
              <a:effectLst/>
              <a:latin typeface="+mn-lt"/>
              <a:ea typeface="+mn-ea"/>
              <a:cs typeface="+mn-cs"/>
            </a:rPr>
            <a:t>trainingsdoeleinden</a:t>
          </a:r>
          <a:r>
            <a:rPr lang="nl-NL" sz="1100">
              <a:solidFill>
                <a:schemeClr val="dk1"/>
              </a:solidFill>
              <a:effectLst/>
              <a:latin typeface="+mn-lt"/>
              <a:ea typeface="+mn-ea"/>
              <a:cs typeface="+mn-cs"/>
            </a:rPr>
            <a:t>. Het Excel bestand wordt inmiddels gebruikt door adviseurs, installateurs, bouwers, beleidsmakers en particuliere woningeigenaren.</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De tool maakt gebruik van formules en vergelijkingen die een benadering zijn van de werkelijkheid. Hoewel de tool dus wel inzicht geeft in de potentiele impact van conceptkeuzes, kan er geen garantie aan ontleend worden ten aanzien van de daadwerkelijke energieprestaties, berekende energiegebruik of besparingen. De essentie van het rekenen met de tool is het krijgen van grip op energiestromen voor en na het nemen van maatregelen, en het krijgen van inzicht in de samenhang en gevoeligheden tussen alle parameters.</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De tool is gebaseerd op een methode die is ontstaan bij Energieonderzoek Centrum  Nederland (ECN) en later bij TNO. Daarna is deze verder ontwikkeld op basis van eigen inzet van de auteurs en deels met steun van middelen vanuit het ministerie van BZK via het programma Energiesprong en het ondersteuningsprogramma van VNG, Bouwend Nederland en de vereniging de Stroomversnelling. De tool mag kosteloos gebruikt worden onder voorbehoud dat de Disclaimer zichtbaar blijft voor gebruikers en de tool ‘stand alone’ wordt gebruikt. Het opnemen van deze tool in andere software of rekenmethoden is niet toegestaan. Aanpassingen aan de tool zijn niet toegestaan. Suggesties voor aanpassingen kunnen worden gestuurd naar één van de auteurs. </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De auteurs hopen dat u de tool met plezier gebruikt en wensen u veel inzicht en succes toe met het gebruik ervan.</a:t>
          </a:r>
        </a:p>
        <a:p>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Felix van Gemen                            		Niels Sijpheer en Bart Roossien           	 Ivo Opstelten</a:t>
          </a:r>
          <a:br>
            <a:rPr lang="nl-NL" sz="1100">
              <a:solidFill>
                <a:schemeClr val="dk1"/>
              </a:solidFill>
              <a:effectLst/>
              <a:latin typeface="+mn-lt"/>
              <a:ea typeface="+mn-ea"/>
              <a:cs typeface="+mn-cs"/>
            </a:rPr>
          </a:br>
          <a:r>
            <a:rPr lang="nl-NL" sz="1100">
              <a:solidFill>
                <a:schemeClr val="dk1"/>
              </a:solidFill>
              <a:effectLst/>
              <a:latin typeface="+mn-lt"/>
              <a:ea typeface="+mn-ea"/>
              <a:cs typeface="+mn-cs"/>
            </a:rPr>
            <a:t>Van Gemen Strategie                 		EnergyGO                                                	 Piaf Wonen</a:t>
          </a:r>
          <a:br>
            <a:rPr lang="nl-NL" sz="1100">
              <a:solidFill>
                <a:schemeClr val="dk1"/>
              </a:solidFill>
              <a:effectLst/>
              <a:latin typeface="+mn-lt"/>
              <a:ea typeface="+mn-ea"/>
              <a:cs typeface="+mn-cs"/>
            </a:rPr>
          </a:br>
          <a:r>
            <a:rPr lang="nl-NL" sz="1100" u="sng">
              <a:solidFill>
                <a:schemeClr val="dk1"/>
              </a:solidFill>
              <a:effectLst/>
              <a:latin typeface="+mn-lt"/>
              <a:ea typeface="+mn-ea"/>
              <a:cs typeface="+mn-cs"/>
              <a:hlinkClick xmlns:r="http://schemas.openxmlformats.org/officeDocument/2006/relationships" r:id=""/>
            </a:rPr>
            <a:t>felix@vangemenstrategie.nl</a:t>
          </a:r>
          <a:r>
            <a:rPr lang="nl-NL" sz="1100">
              <a:solidFill>
                <a:schemeClr val="dk1"/>
              </a:solidFill>
              <a:effectLst/>
              <a:latin typeface="+mn-lt"/>
              <a:ea typeface="+mn-ea"/>
              <a:cs typeface="+mn-cs"/>
            </a:rPr>
            <a:t>        	</a:t>
          </a:r>
          <a:r>
            <a:rPr lang="nl-NL" sz="1100" u="sng">
              <a:solidFill>
                <a:schemeClr val="dk1"/>
              </a:solidFill>
              <a:effectLst/>
              <a:latin typeface="+mn-lt"/>
              <a:ea typeface="+mn-ea"/>
              <a:cs typeface="+mn-cs"/>
              <a:hlinkClick xmlns:r="http://schemas.openxmlformats.org/officeDocument/2006/relationships" r:id=""/>
            </a:rPr>
            <a:t>niels@energygo.nl</a:t>
          </a:r>
          <a:r>
            <a:rPr lang="nl-NL" sz="1100">
              <a:solidFill>
                <a:schemeClr val="dk1"/>
              </a:solidFill>
              <a:effectLst/>
              <a:latin typeface="+mn-lt"/>
              <a:ea typeface="+mn-ea"/>
              <a:cs typeface="+mn-cs"/>
            </a:rPr>
            <a:t>                                 	 </a:t>
          </a:r>
          <a:r>
            <a:rPr lang="nl-NL" sz="1100" u="sng">
              <a:solidFill>
                <a:schemeClr val="dk1"/>
              </a:solidFill>
              <a:effectLst/>
              <a:latin typeface="+mn-lt"/>
              <a:ea typeface="+mn-ea"/>
              <a:cs typeface="+mn-cs"/>
              <a:hlinkClick xmlns:r="http://schemas.openxmlformats.org/officeDocument/2006/relationships" r:id=""/>
            </a:rPr>
            <a:t>ivo@piafwonen.nl</a:t>
          </a:r>
          <a:r>
            <a:rPr lang="nl-NL" sz="1100" u="sng">
              <a:solidFill>
                <a:schemeClr val="dk1"/>
              </a:solidFill>
              <a:effectLst/>
              <a:latin typeface="+mn-lt"/>
              <a:ea typeface="+mn-ea"/>
              <a:cs typeface="+mn-cs"/>
            </a:rPr>
            <a:t> </a:t>
          </a:r>
          <a:br>
            <a:rPr lang="nl-NL" sz="1100" u="sng">
              <a:solidFill>
                <a:schemeClr val="dk1"/>
              </a:solidFill>
              <a:effectLst/>
              <a:latin typeface="+mn-lt"/>
              <a:ea typeface="+mn-ea"/>
              <a:cs typeface="+mn-cs"/>
            </a:rPr>
          </a:br>
          <a:r>
            <a:rPr lang="nl-NL" sz="1100" u="sng">
              <a:solidFill>
                <a:schemeClr val="dk1"/>
              </a:solidFill>
              <a:effectLst/>
              <a:latin typeface="+mn-lt"/>
              <a:ea typeface="+mn-ea"/>
              <a:cs typeface="+mn-cs"/>
            </a:rPr>
            <a:t>www.vangemenstrategie.nl</a:t>
          </a:r>
          <a:r>
            <a:rPr lang="nl-NL" sz="1100">
              <a:solidFill>
                <a:schemeClr val="dk1"/>
              </a:solidFill>
              <a:effectLst/>
              <a:latin typeface="+mn-lt"/>
              <a:ea typeface="+mn-ea"/>
              <a:cs typeface="+mn-cs"/>
            </a:rPr>
            <a:t>        		</a:t>
          </a:r>
          <a:r>
            <a:rPr lang="nl-NL" sz="1100" u="sng">
              <a:solidFill>
                <a:schemeClr val="dk1"/>
              </a:solidFill>
              <a:effectLst/>
              <a:latin typeface="+mn-lt"/>
              <a:ea typeface="+mn-ea"/>
              <a:cs typeface="+mn-cs"/>
              <a:hlinkClick xmlns:r="http://schemas.openxmlformats.org/officeDocument/2006/relationships" r:id=""/>
            </a:rPr>
            <a:t>www.energygo.nl</a:t>
          </a:r>
          <a:r>
            <a:rPr lang="nl-NL" sz="1100">
              <a:solidFill>
                <a:schemeClr val="dk1"/>
              </a:solidFill>
              <a:effectLst/>
              <a:latin typeface="+mn-lt"/>
              <a:ea typeface="+mn-ea"/>
              <a:cs typeface="+mn-cs"/>
            </a:rPr>
            <a:t>                                  	 </a:t>
          </a:r>
          <a:r>
            <a:rPr lang="nl-NL" sz="1100" u="sng">
              <a:solidFill>
                <a:schemeClr val="dk1"/>
              </a:solidFill>
              <a:effectLst/>
              <a:latin typeface="+mn-lt"/>
              <a:ea typeface="+mn-ea"/>
              <a:cs typeface="+mn-cs"/>
            </a:rPr>
            <a:t>www.piafwonen.nl</a:t>
          </a:r>
          <a:endParaRPr lang="nl-NL" sz="1100">
            <a:solidFill>
              <a:schemeClr val="dk1"/>
            </a:solidFill>
            <a:effectLst/>
            <a:latin typeface="+mn-lt"/>
            <a:ea typeface="+mn-ea"/>
            <a:cs typeface="+mn-cs"/>
          </a:endParaRPr>
        </a:p>
        <a:p>
          <a:endParaRPr lang="nl-NL" sz="1300">
            <a:solidFill>
              <a:schemeClr val="dk1"/>
            </a:solidFill>
            <a:effectLst/>
            <a:latin typeface="+mn-lt"/>
            <a:ea typeface="+mn-ea"/>
            <a:cs typeface="+mn-cs"/>
          </a:endParaRPr>
        </a:p>
      </xdr:txBody>
    </xdr:sp>
    <xdr:clientData/>
  </xdr:twoCellAnchor>
  <xdr:twoCellAnchor editAs="oneCell">
    <xdr:from>
      <xdr:col>1</xdr:col>
      <xdr:colOff>172834</xdr:colOff>
      <xdr:row>38</xdr:row>
      <xdr:rowOff>132287</xdr:rowOff>
    </xdr:from>
    <xdr:to>
      <xdr:col>3</xdr:col>
      <xdr:colOff>144259</xdr:colOff>
      <xdr:row>42</xdr:row>
      <xdr:rowOff>84662</xdr:rowOff>
    </xdr:to>
    <xdr:pic>
      <xdr:nvPicPr>
        <xdr:cNvPr id="3" name="Afbeelding 2" descr="Logo Van Gemen Strategie">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3384" y="7133162"/>
          <a:ext cx="1428750"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8466</xdr:colOff>
      <xdr:row>38</xdr:row>
      <xdr:rowOff>149839</xdr:rowOff>
    </xdr:from>
    <xdr:to>
      <xdr:col>8</xdr:col>
      <xdr:colOff>1673</xdr:colOff>
      <xdr:row>42</xdr:row>
      <xdr:rowOff>141494</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3237441" y="7150714"/>
          <a:ext cx="1764857" cy="639355"/>
        </a:xfrm>
        <a:prstGeom prst="rect">
          <a:avLst/>
        </a:prstGeom>
      </xdr:spPr>
    </xdr:pic>
    <xdr:clientData/>
  </xdr:twoCellAnchor>
  <xdr:twoCellAnchor editAs="oneCell">
    <xdr:from>
      <xdr:col>8</xdr:col>
      <xdr:colOff>584992</xdr:colOff>
      <xdr:row>38</xdr:row>
      <xdr:rowOff>139144</xdr:rowOff>
    </xdr:from>
    <xdr:to>
      <xdr:col>12</xdr:col>
      <xdr:colOff>321827</xdr:colOff>
      <xdr:row>44</xdr:row>
      <xdr:rowOff>87184</xdr:rowOff>
    </xdr:to>
    <xdr:pic>
      <xdr:nvPicPr>
        <xdr:cNvPr id="5" name="Afbeelding 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5585617" y="7140019"/>
          <a:ext cx="2099035" cy="9195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262656</xdr:colOff>
      <xdr:row>1</xdr:row>
      <xdr:rowOff>112058</xdr:rowOff>
    </xdr:from>
    <xdr:to>
      <xdr:col>13</xdr:col>
      <xdr:colOff>160780</xdr:colOff>
      <xdr:row>31</xdr:row>
      <xdr:rowOff>33617</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263038</xdr:colOff>
      <xdr:row>33</xdr:row>
      <xdr:rowOff>44876</xdr:rowOff>
    </xdr:from>
    <xdr:to>
      <xdr:col>13</xdr:col>
      <xdr:colOff>152497</xdr:colOff>
      <xdr:row>67</xdr:row>
      <xdr:rowOff>78926</xdr:rowOff>
    </xdr:to>
    <xdr:graphicFrame macro="">
      <xdr:nvGraphicFramePr>
        <xdr:cNvPr id="8" name="Chart 7">
          <a:extLst>
            <a:ext uri="{FF2B5EF4-FFF2-40B4-BE49-F238E27FC236}">
              <a16:creationId xmlns:a16="http://schemas.microsoft.com/office/drawing/2014/main" id="{00000000-0008-0000-02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240195</xdr:colOff>
      <xdr:row>69</xdr:row>
      <xdr:rowOff>16598</xdr:rowOff>
    </xdr:from>
    <xdr:to>
      <xdr:col>6</xdr:col>
      <xdr:colOff>372718</xdr:colOff>
      <xdr:row>85</xdr:row>
      <xdr:rowOff>109364</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49696</xdr:colOff>
      <xdr:row>87</xdr:row>
      <xdr:rowOff>3345</xdr:rowOff>
    </xdr:from>
    <xdr:to>
      <xdr:col>10</xdr:col>
      <xdr:colOff>369794</xdr:colOff>
      <xdr:row>103</xdr:row>
      <xdr:rowOff>96111</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1444</xdr:colOff>
      <xdr:row>69</xdr:row>
      <xdr:rowOff>16598</xdr:rowOff>
    </xdr:from>
    <xdr:to>
      <xdr:col>14</xdr:col>
      <xdr:colOff>2029930</xdr:colOff>
      <xdr:row>85</xdr:row>
      <xdr:rowOff>109363</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240195</xdr:colOff>
      <xdr:row>87</xdr:row>
      <xdr:rowOff>3345</xdr:rowOff>
    </xdr:from>
    <xdr:to>
      <xdr:col>6</xdr:col>
      <xdr:colOff>372718</xdr:colOff>
      <xdr:row>103</xdr:row>
      <xdr:rowOff>96111</xdr:rowOff>
    </xdr:to>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49696</xdr:colOff>
      <xdr:row>69</xdr:row>
      <xdr:rowOff>16598</xdr:rowOff>
    </xdr:from>
    <xdr:to>
      <xdr:col>10</xdr:col>
      <xdr:colOff>369794</xdr:colOff>
      <xdr:row>85</xdr:row>
      <xdr:rowOff>109364</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1444</xdr:colOff>
      <xdr:row>87</xdr:row>
      <xdr:rowOff>3346</xdr:rowOff>
    </xdr:from>
    <xdr:to>
      <xdr:col>14</xdr:col>
      <xdr:colOff>2029930</xdr:colOff>
      <xdr:row>103</xdr:row>
      <xdr:rowOff>96111</xdr:rowOff>
    </xdr:to>
    <xdr:graphicFrame macro="">
      <xdr:nvGraphicFramePr>
        <xdr:cNvPr id="12" name="Chart 11">
          <a:extLst>
            <a:ext uri="{FF2B5EF4-FFF2-40B4-BE49-F238E27FC236}">
              <a16:creationId xmlns:a16="http://schemas.microsoft.com/office/drawing/2014/main" id="{00000000-0008-0000-02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177133</xdr:colOff>
      <xdr:row>69</xdr:row>
      <xdr:rowOff>16184</xdr:rowOff>
    </xdr:from>
    <xdr:to>
      <xdr:col>19</xdr:col>
      <xdr:colOff>359352</xdr:colOff>
      <xdr:row>85</xdr:row>
      <xdr:rowOff>108949</xdr:rowOff>
    </xdr:to>
    <xdr:graphicFrame macro="">
      <xdr:nvGraphicFramePr>
        <xdr:cNvPr id="16" name="Chart 15">
          <a:extLst>
            <a:ext uri="{FF2B5EF4-FFF2-40B4-BE49-F238E27FC236}">
              <a16:creationId xmlns:a16="http://schemas.microsoft.com/office/drawing/2014/main" id="{00000000-0008-0000-0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177133</xdr:colOff>
      <xdr:row>87</xdr:row>
      <xdr:rowOff>2932</xdr:rowOff>
    </xdr:from>
    <xdr:to>
      <xdr:col>19</xdr:col>
      <xdr:colOff>359352</xdr:colOff>
      <xdr:row>103</xdr:row>
      <xdr:rowOff>95697</xdr:rowOff>
    </xdr:to>
    <xdr:graphicFrame macro="">
      <xdr:nvGraphicFramePr>
        <xdr:cNvPr id="17" name="Chart 16">
          <a:extLst>
            <a:ext uri="{FF2B5EF4-FFF2-40B4-BE49-F238E27FC236}">
              <a16:creationId xmlns:a16="http://schemas.microsoft.com/office/drawing/2014/main" id="{00000000-0008-0000-02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19</xdr:col>
      <xdr:colOff>596522</xdr:colOff>
      <xdr:row>69</xdr:row>
      <xdr:rowOff>27780</xdr:rowOff>
    </xdr:from>
    <xdr:to>
      <xdr:col>24</xdr:col>
      <xdr:colOff>437692</xdr:colOff>
      <xdr:row>85</xdr:row>
      <xdr:rowOff>120545</xdr:rowOff>
    </xdr:to>
    <xdr:graphicFrame macro="">
      <xdr:nvGraphicFramePr>
        <xdr:cNvPr id="18" name="Chart 17">
          <a:extLst>
            <a:ext uri="{FF2B5EF4-FFF2-40B4-BE49-F238E27FC236}">
              <a16:creationId xmlns:a16="http://schemas.microsoft.com/office/drawing/2014/main" id="{00000000-0008-0000-0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19</xdr:col>
      <xdr:colOff>596522</xdr:colOff>
      <xdr:row>87</xdr:row>
      <xdr:rowOff>14528</xdr:rowOff>
    </xdr:from>
    <xdr:to>
      <xdr:col>24</xdr:col>
      <xdr:colOff>437692</xdr:colOff>
      <xdr:row>103</xdr:row>
      <xdr:rowOff>107293</xdr:rowOff>
    </xdr:to>
    <xdr:graphicFrame macro="">
      <xdr:nvGraphicFramePr>
        <xdr:cNvPr id="19" name="Chart 18">
          <a:extLst>
            <a:ext uri="{FF2B5EF4-FFF2-40B4-BE49-F238E27FC236}">
              <a16:creationId xmlns:a16="http://schemas.microsoft.com/office/drawing/2014/main" id="{00000000-0008-0000-02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95248</xdr:colOff>
      <xdr:row>1</xdr:row>
      <xdr:rowOff>178593</xdr:rowOff>
    </xdr:from>
    <xdr:to>
      <xdr:col>10</xdr:col>
      <xdr:colOff>11906</xdr:colOff>
      <xdr:row>1</xdr:row>
      <xdr:rowOff>2631282</xdr:rowOff>
    </xdr:to>
    <xdr:sp macro="" textlink="">
      <xdr:nvSpPr>
        <xdr:cNvPr id="2" name="Tekstvak 1">
          <a:extLst>
            <a:ext uri="{FF2B5EF4-FFF2-40B4-BE49-F238E27FC236}">
              <a16:creationId xmlns:a16="http://schemas.microsoft.com/office/drawing/2014/main" id="{00000000-0008-0000-0A00-000002000000}"/>
            </a:ext>
          </a:extLst>
        </xdr:cNvPr>
        <xdr:cNvSpPr txBox="1"/>
      </xdr:nvSpPr>
      <xdr:spPr>
        <a:xfrm>
          <a:off x="95248" y="345281"/>
          <a:ext cx="7310439" cy="2452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Deze sheet berekent de gemiddelde buitentemperatuur en het aantal zonuren in de periodes</a:t>
          </a:r>
          <a:r>
            <a:rPr lang="nl-NL" sz="1100" baseline="0"/>
            <a:t>  tussen de opnamedata  van gasstanden uit het tabblad 'gasstanden'</a:t>
          </a:r>
          <a:r>
            <a:rPr lang="nl-NL" sz="1100" baseline="0">
              <a:solidFill>
                <a:sysClr val="windowText" lastClr="000000"/>
              </a:solidFill>
            </a:rPr>
            <a:t>.</a:t>
          </a:r>
        </a:p>
        <a:p>
          <a:endParaRPr lang="nl-NL" sz="1100" baseline="0"/>
        </a:p>
        <a:p>
          <a:r>
            <a:rPr lang="nl-NL" sz="1100" baseline="0"/>
            <a:t>Kolommen  B en C </a:t>
          </a:r>
          <a:r>
            <a:rPr lang="nl-NL" sz="1100" baseline="0">
              <a:solidFill>
                <a:schemeClr val="dk1"/>
              </a:solidFill>
              <a:effectLst/>
              <a:latin typeface="+mn-lt"/>
              <a:ea typeface="+mn-ea"/>
              <a:cs typeface="+mn-cs"/>
            </a:rPr>
            <a:t>bevatten de daggemiddelde temperatuur en  aantal zonuren per dag, af</a:t>
          </a:r>
          <a:r>
            <a:rPr lang="nl-NL" sz="1100" baseline="0"/>
            <a:t>komstig  uit de database van het KNMI, </a:t>
          </a:r>
          <a:r>
            <a:rPr lang="nl-NL" sz="1100" baseline="0">
              <a:solidFill>
                <a:schemeClr val="dk1"/>
              </a:solidFill>
              <a:effectLst/>
              <a:latin typeface="+mn-lt"/>
              <a:ea typeface="+mn-ea"/>
              <a:cs typeface="+mn-cs"/>
            </a:rPr>
            <a:t>voor weerstation 257 in Wijk aan Zee van 1-5-2001 tot 21-4-2014. Let op: getallen in de KNMI database zijn in 0.1 °C resp 0.1 uur.</a:t>
          </a:r>
        </a:p>
        <a:p>
          <a:endParaRPr lang="nl-NL" sz="1100" baseline="0"/>
        </a:p>
        <a:p>
          <a:pPr marL="0" marR="0" indent="0" defTabSz="914400" eaLnBrk="1" fontAlgn="auto" latinLnBrk="0" hangingPunct="1">
            <a:lnSpc>
              <a:spcPct val="100000"/>
            </a:lnSpc>
            <a:spcBef>
              <a:spcPts val="0"/>
            </a:spcBef>
            <a:spcAft>
              <a:spcPts val="0"/>
            </a:spcAft>
            <a:buClrTx/>
            <a:buSzTx/>
            <a:buFontTx/>
            <a:buNone/>
            <a:tabLst/>
            <a:defRPr/>
          </a:pPr>
          <a:r>
            <a:rPr lang="nl-NL" sz="1100" baseline="0"/>
            <a:t>Het KNMI biedt data  van 38 weerstations in Nederland,</a:t>
          </a:r>
          <a:r>
            <a:rPr lang="nl-NL" sz="1100" baseline="0">
              <a:solidFill>
                <a:schemeClr val="dk1"/>
              </a:solidFill>
              <a:effectLst/>
              <a:latin typeface="+mn-lt"/>
              <a:ea typeface="+mn-ea"/>
              <a:cs typeface="+mn-cs"/>
            </a:rPr>
            <a:t> zie :</a:t>
          </a:r>
        </a:p>
        <a:p>
          <a:pPr marL="0" marR="0" indent="0" defTabSz="914400" eaLnBrk="1" fontAlgn="auto" latinLnBrk="0" hangingPunct="1">
            <a:lnSpc>
              <a:spcPct val="100000"/>
            </a:lnSpc>
            <a:spcBef>
              <a:spcPts val="0"/>
            </a:spcBef>
            <a:spcAft>
              <a:spcPts val="0"/>
            </a:spcAft>
            <a:buClrTx/>
            <a:buSzTx/>
            <a:buFontTx/>
            <a:buNone/>
            <a:tabLst/>
            <a:defRPr/>
          </a:pPr>
          <a:r>
            <a:rPr lang="nl-NL" sz="1100" baseline="0">
              <a:solidFill>
                <a:schemeClr val="dk1"/>
              </a:solidFill>
              <a:effectLst/>
              <a:latin typeface="+mn-lt"/>
              <a:ea typeface="+mn-ea"/>
              <a:cs typeface="+mn-cs"/>
            </a:rPr>
            <a:t>http://www.knmi.nl/klimatologie/daggegevens/download.html</a:t>
          </a:r>
          <a:endParaRPr lang="nl-NL">
            <a:effectLst/>
          </a:endParaRPr>
        </a:p>
        <a:p>
          <a:r>
            <a:rPr lang="nl-NL" sz="1100" baseline="0"/>
            <a:t>De data in kolommmen B en C zijn naar believen aan te vullen of te vervangen door data van een ander weerstation.</a:t>
          </a:r>
        </a:p>
      </xdr:txBody>
    </xdr:sp>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www.knmi.nl/klimatologie/daggegevens/download.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N42"/>
  <sheetViews>
    <sheetView showRowColHeaders="0" workbookViewId="0">
      <selection activeCell="C6" sqref="C6"/>
    </sheetView>
  </sheetViews>
  <sheetFormatPr defaultColWidth="8.7109375" defaultRowHeight="12.75" x14ac:dyDescent="0.2"/>
  <cols>
    <col min="1" max="2" width="8.7109375" style="172"/>
    <col min="3" max="3" width="13" style="172" customWidth="1"/>
    <col min="4" max="16384" width="8.7109375" style="172"/>
  </cols>
  <sheetData>
    <row r="2" spans="2:12" ht="18.75" x14ac:dyDescent="0.3">
      <c r="B2" s="244" t="s">
        <v>311</v>
      </c>
      <c r="C2" s="244"/>
      <c r="D2" s="244"/>
      <c r="E2" s="244"/>
      <c r="F2" s="244"/>
      <c r="G2" s="244"/>
      <c r="H2" s="244"/>
      <c r="I2" s="244"/>
      <c r="J2" s="244"/>
      <c r="K2" s="244"/>
      <c r="L2" s="244"/>
    </row>
    <row r="3" spans="2:12" ht="15" customHeight="1" x14ac:dyDescent="0.2">
      <c r="B3" s="210"/>
      <c r="C3" s="210"/>
      <c r="D3" s="210"/>
      <c r="E3" s="210"/>
      <c r="F3" s="210"/>
      <c r="G3" s="210"/>
      <c r="H3" s="210"/>
      <c r="I3" s="210"/>
      <c r="J3" s="210"/>
      <c r="K3" s="210"/>
      <c r="L3" s="210"/>
    </row>
    <row r="4" spans="2:12" ht="15" customHeight="1" x14ac:dyDescent="0.2">
      <c r="B4" s="211" t="s">
        <v>285</v>
      </c>
      <c r="C4" s="212">
        <v>2.2000000000000002</v>
      </c>
      <c r="D4" s="210"/>
      <c r="E4" s="210"/>
      <c r="F4" s="210"/>
      <c r="G4" s="210"/>
      <c r="H4" s="210"/>
      <c r="I4" s="210"/>
      <c r="J4" s="210"/>
      <c r="K4" s="210"/>
      <c r="L4" s="210"/>
    </row>
    <row r="5" spans="2:12" ht="15" customHeight="1" x14ac:dyDescent="0.2">
      <c r="B5" s="211" t="s">
        <v>286</v>
      </c>
      <c r="C5" s="213">
        <v>43130</v>
      </c>
      <c r="D5" s="210"/>
      <c r="E5" s="210"/>
      <c r="F5" s="210"/>
      <c r="G5" s="210"/>
      <c r="H5" s="210"/>
      <c r="I5" s="210"/>
      <c r="J5" s="210"/>
      <c r="K5" s="210"/>
      <c r="L5" s="210"/>
    </row>
    <row r="6" spans="2:12" ht="15" customHeight="1" x14ac:dyDescent="0.2"/>
    <row r="7" spans="2:12" ht="15" customHeight="1" x14ac:dyDescent="0.2"/>
    <row r="8" spans="2:12" ht="15" customHeight="1" x14ac:dyDescent="0.2"/>
    <row r="9" spans="2:12" ht="15" customHeight="1" x14ac:dyDescent="0.2"/>
    <row r="10" spans="2:12" ht="15" customHeight="1" x14ac:dyDescent="0.2"/>
    <row r="11" spans="2:12" ht="15" customHeight="1" x14ac:dyDescent="0.2"/>
    <row r="12" spans="2:12" ht="15" customHeight="1" x14ac:dyDescent="0.2"/>
    <row r="13" spans="2:12" ht="15" customHeight="1" x14ac:dyDescent="0.2"/>
    <row r="14" spans="2:12" ht="15" customHeight="1" x14ac:dyDescent="0.2"/>
    <row r="15" spans="2:12" ht="15" customHeight="1" x14ac:dyDescent="0.2"/>
    <row r="16" spans="2:12"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42" spans="14:14" x14ac:dyDescent="0.2">
      <c r="N42"/>
    </row>
  </sheetData>
  <mergeCells count="1">
    <mergeCell ref="B2:L2"/>
  </mergeCells>
  <pageMargins left="0.7" right="0.7" top="0.75" bottom="0.75" header="0.3" footer="0.3"/>
  <pageSetup paperSize="9" orientation="portrait" horizontalDpi="0" verticalDpi="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Z55"/>
  <sheetViews>
    <sheetView showGridLines="0" topLeftCell="A3" workbookViewId="0">
      <selection activeCell="A6" sqref="A6"/>
    </sheetView>
  </sheetViews>
  <sheetFormatPr defaultColWidth="8.7109375" defaultRowHeight="12.75" x14ac:dyDescent="0.2"/>
  <cols>
    <col min="2" max="2" width="19.42578125" customWidth="1"/>
    <col min="4" max="4" width="15.28515625" customWidth="1"/>
    <col min="5" max="5" width="10.42578125" customWidth="1"/>
    <col min="9" max="9" width="15" customWidth="1"/>
    <col min="25" max="25" width="9.28515625" bestFit="1" customWidth="1"/>
  </cols>
  <sheetData>
    <row r="2" spans="2:26" x14ac:dyDescent="0.2">
      <c r="B2" s="194" t="s">
        <v>319</v>
      </c>
      <c r="D2" s="194" t="s">
        <v>320</v>
      </c>
      <c r="G2" s="194" t="s">
        <v>318</v>
      </c>
      <c r="H2" s="193"/>
      <c r="J2" s="194"/>
      <c r="K2" s="193"/>
      <c r="L2" s="194" t="s">
        <v>138</v>
      </c>
      <c r="M2" s="193"/>
      <c r="N2" s="194"/>
      <c r="O2" s="193"/>
      <c r="W2" s="107"/>
      <c r="X2" s="107"/>
      <c r="Y2" s="107"/>
      <c r="Z2" s="107"/>
    </row>
    <row r="3" spans="2:26" x14ac:dyDescent="0.2">
      <c r="B3" s="193" t="s">
        <v>41</v>
      </c>
      <c r="D3" s="193" t="s">
        <v>94</v>
      </c>
      <c r="G3" s="193" t="s">
        <v>121</v>
      </c>
      <c r="H3" s="195">
        <v>1</v>
      </c>
      <c r="J3" s="195" t="s">
        <v>137</v>
      </c>
      <c r="K3" s="195" t="s">
        <v>139</v>
      </c>
      <c r="L3" s="195" t="s">
        <v>1</v>
      </c>
      <c r="M3" s="195" t="s">
        <v>2</v>
      </c>
      <c r="N3" s="195" t="s">
        <v>3</v>
      </c>
      <c r="O3" s="195" t="s">
        <v>4</v>
      </c>
      <c r="R3" s="6"/>
      <c r="S3" s="6"/>
      <c r="T3" s="6"/>
      <c r="U3" s="6"/>
      <c r="V3" s="6"/>
      <c r="W3" s="6"/>
      <c r="X3" s="6"/>
      <c r="Y3" s="6"/>
      <c r="Z3" s="6"/>
    </row>
    <row r="4" spans="2:26" x14ac:dyDescent="0.2">
      <c r="B4" s="193" t="s">
        <v>42</v>
      </c>
      <c r="D4" s="193" t="s">
        <v>117</v>
      </c>
      <c r="G4" s="193" t="s">
        <v>122</v>
      </c>
      <c r="H4" s="195">
        <v>2</v>
      </c>
      <c r="J4" s="195">
        <v>6</v>
      </c>
      <c r="K4" s="196">
        <v>14.581048387096772</v>
      </c>
      <c r="L4" s="195">
        <v>315</v>
      </c>
      <c r="M4" s="195">
        <v>417</v>
      </c>
      <c r="N4" s="195">
        <v>229</v>
      </c>
      <c r="O4" s="195">
        <v>297</v>
      </c>
      <c r="R4" s="6"/>
      <c r="S4" s="6"/>
      <c r="T4" s="6"/>
      <c r="U4" s="6"/>
      <c r="V4" s="6"/>
      <c r="W4" s="6"/>
      <c r="X4" s="6"/>
      <c r="Y4" s="6"/>
      <c r="Z4" s="6"/>
    </row>
    <row r="5" spans="2:26" x14ac:dyDescent="0.2">
      <c r="B5" s="3"/>
      <c r="D5" s="193" t="s">
        <v>118</v>
      </c>
      <c r="G5" s="193" t="s">
        <v>123</v>
      </c>
      <c r="H5" s="195">
        <v>3</v>
      </c>
      <c r="J5" s="195">
        <v>7</v>
      </c>
      <c r="K5" s="196">
        <v>16.9038978494624</v>
      </c>
      <c r="L5" s="195">
        <v>290</v>
      </c>
      <c r="M5" s="195">
        <v>348</v>
      </c>
      <c r="N5" s="195">
        <v>192</v>
      </c>
      <c r="O5" s="195">
        <v>261</v>
      </c>
      <c r="R5" s="6"/>
      <c r="S5" s="6"/>
      <c r="T5" s="6"/>
      <c r="U5" s="6"/>
      <c r="V5" s="6"/>
      <c r="W5" s="6"/>
      <c r="X5" s="6"/>
      <c r="Y5" s="6"/>
      <c r="Z5" s="6"/>
    </row>
    <row r="6" spans="2:26" x14ac:dyDescent="0.2">
      <c r="D6" s="193" t="s">
        <v>119</v>
      </c>
      <c r="G6" s="193" t="s">
        <v>124</v>
      </c>
      <c r="H6" s="195">
        <v>4</v>
      </c>
      <c r="J6" s="195">
        <v>8</v>
      </c>
      <c r="K6" s="196">
        <v>16.847983870967731</v>
      </c>
      <c r="L6" s="195">
        <v>366</v>
      </c>
      <c r="M6" s="195">
        <v>334</v>
      </c>
      <c r="N6" s="195">
        <v>161</v>
      </c>
      <c r="O6" s="195">
        <v>287</v>
      </c>
      <c r="R6" s="6"/>
      <c r="S6" s="6"/>
      <c r="T6" s="6"/>
      <c r="U6" s="6"/>
      <c r="V6" s="6"/>
      <c r="W6" s="6"/>
      <c r="X6" s="6"/>
      <c r="Y6" s="6"/>
      <c r="Z6" s="6"/>
    </row>
    <row r="7" spans="2:26" x14ac:dyDescent="0.2">
      <c r="G7" s="193" t="s">
        <v>120</v>
      </c>
      <c r="H7" s="195">
        <v>5</v>
      </c>
      <c r="J7" s="195">
        <v>9</v>
      </c>
      <c r="K7" s="196">
        <v>13.395430107526877</v>
      </c>
      <c r="L7" s="195">
        <v>273</v>
      </c>
      <c r="M7" s="195">
        <v>248</v>
      </c>
      <c r="N7" s="195">
        <v>107</v>
      </c>
      <c r="O7" s="195">
        <v>153</v>
      </c>
      <c r="R7" s="6"/>
      <c r="S7" s="6"/>
      <c r="T7" s="6"/>
      <c r="U7" s="6"/>
      <c r="V7" s="6"/>
      <c r="W7" s="6"/>
      <c r="X7" s="6"/>
      <c r="Y7" s="6"/>
      <c r="Z7" s="6"/>
    </row>
    <row r="8" spans="2:26" x14ac:dyDescent="0.2">
      <c r="B8" s="194" t="s">
        <v>196</v>
      </c>
      <c r="C8" s="194" t="s">
        <v>331</v>
      </c>
      <c r="G8" s="193" t="s">
        <v>125</v>
      </c>
      <c r="H8" s="195">
        <v>6</v>
      </c>
      <c r="J8" s="195">
        <v>10</v>
      </c>
      <c r="K8" s="196">
        <v>10.59126344086012</v>
      </c>
      <c r="L8" s="195">
        <v>203</v>
      </c>
      <c r="M8" s="195">
        <v>104</v>
      </c>
      <c r="N8" s="195">
        <v>64</v>
      </c>
      <c r="O8" s="195">
        <v>87</v>
      </c>
      <c r="R8" s="6"/>
      <c r="S8" s="6"/>
      <c r="T8" s="6"/>
      <c r="U8" s="6"/>
      <c r="V8" s="6"/>
      <c r="W8" s="6"/>
      <c r="X8" s="6"/>
      <c r="Y8" s="6"/>
      <c r="Z8" s="6"/>
    </row>
    <row r="9" spans="2:26" x14ac:dyDescent="0.2">
      <c r="B9" s="193" t="s">
        <v>197</v>
      </c>
      <c r="C9" s="195">
        <v>263.77500000000003</v>
      </c>
      <c r="G9" s="193" t="s">
        <v>126</v>
      </c>
      <c r="H9" s="195">
        <v>7</v>
      </c>
      <c r="J9" s="195">
        <v>11</v>
      </c>
      <c r="K9" s="196">
        <v>5.5091397849463677</v>
      </c>
      <c r="L9" s="195">
        <v>73</v>
      </c>
      <c r="M9" s="195">
        <v>40</v>
      </c>
      <c r="N9" s="195">
        <v>33</v>
      </c>
      <c r="O9" s="195">
        <v>36</v>
      </c>
      <c r="R9" s="6"/>
      <c r="S9" s="6"/>
      <c r="T9" s="6"/>
      <c r="U9" s="6"/>
      <c r="V9" s="6"/>
      <c r="W9" s="6"/>
      <c r="X9" s="6"/>
      <c r="Y9" s="6"/>
      <c r="Z9" s="6"/>
    </row>
    <row r="10" spans="2:26" x14ac:dyDescent="0.2">
      <c r="B10" s="193" t="s">
        <v>198</v>
      </c>
      <c r="C10" s="195">
        <v>597.89</v>
      </c>
      <c r="G10" s="193" t="s">
        <v>127</v>
      </c>
      <c r="H10" s="195">
        <v>8</v>
      </c>
      <c r="J10" s="195">
        <v>12</v>
      </c>
      <c r="K10" s="196">
        <v>3.2885752688171124</v>
      </c>
      <c r="L10" s="195">
        <v>22</v>
      </c>
      <c r="M10" s="195">
        <v>22</v>
      </c>
      <c r="N10" s="195">
        <v>22</v>
      </c>
      <c r="O10" s="195">
        <v>22</v>
      </c>
      <c r="R10" s="6"/>
      <c r="S10" s="6"/>
      <c r="T10" s="6"/>
      <c r="U10" s="6"/>
      <c r="V10" s="6"/>
      <c r="W10" s="6"/>
      <c r="X10" s="6"/>
      <c r="Y10" s="6"/>
      <c r="Z10" s="6"/>
    </row>
    <row r="11" spans="2:26" x14ac:dyDescent="0.2">
      <c r="B11" s="193" t="s">
        <v>199</v>
      </c>
      <c r="C11" s="195">
        <v>1125.44</v>
      </c>
      <c r="G11" s="193" t="s">
        <v>128</v>
      </c>
      <c r="H11" s="195">
        <v>9</v>
      </c>
      <c r="J11" s="195">
        <v>1</v>
      </c>
      <c r="K11" s="196">
        <v>2.141801075268817</v>
      </c>
      <c r="L11" s="195">
        <v>41</v>
      </c>
      <c r="M11" s="195">
        <v>39</v>
      </c>
      <c r="N11" s="195">
        <v>39</v>
      </c>
      <c r="O11" s="195">
        <v>39</v>
      </c>
      <c r="R11" s="6"/>
      <c r="S11" s="6"/>
      <c r="T11" s="6"/>
      <c r="U11" s="6"/>
      <c r="V11" s="6"/>
      <c r="W11" s="6"/>
      <c r="X11" s="6"/>
      <c r="Y11" s="6"/>
      <c r="Z11" s="6"/>
    </row>
    <row r="12" spans="2:26" x14ac:dyDescent="0.2">
      <c r="G12" s="193" t="s">
        <v>129</v>
      </c>
      <c r="H12" s="195">
        <v>10</v>
      </c>
      <c r="J12" s="195">
        <v>2</v>
      </c>
      <c r="K12" s="196">
        <v>2.1391129032258087</v>
      </c>
      <c r="L12" s="195">
        <v>143</v>
      </c>
      <c r="M12" s="195">
        <v>73</v>
      </c>
      <c r="N12" s="195">
        <v>48</v>
      </c>
      <c r="O12" s="195">
        <v>58</v>
      </c>
      <c r="R12" s="6"/>
      <c r="S12" s="6"/>
      <c r="T12" s="6"/>
      <c r="U12" s="6"/>
      <c r="V12" s="6"/>
      <c r="W12" s="6"/>
      <c r="X12" s="6"/>
      <c r="Y12" s="6"/>
      <c r="Z12" s="6"/>
    </row>
    <row r="13" spans="2:26" x14ac:dyDescent="0.2">
      <c r="B13" s="194" t="s">
        <v>332</v>
      </c>
      <c r="C13" s="209"/>
      <c r="G13" s="193" t="s">
        <v>130</v>
      </c>
      <c r="H13" s="195">
        <v>11</v>
      </c>
      <c r="J13" s="195">
        <v>3</v>
      </c>
      <c r="K13" s="196">
        <v>4.9874999999999998</v>
      </c>
      <c r="L13" s="195">
        <v>265</v>
      </c>
      <c r="M13" s="195">
        <v>167</v>
      </c>
      <c r="N13" s="195">
        <v>89</v>
      </c>
      <c r="O13" s="195">
        <v>130</v>
      </c>
      <c r="R13" s="6"/>
      <c r="S13" s="6"/>
      <c r="T13" s="6"/>
      <c r="U13" s="6"/>
      <c r="V13" s="6"/>
      <c r="W13" s="6"/>
      <c r="X13" s="6"/>
      <c r="Y13" s="6"/>
      <c r="Z13" s="6"/>
    </row>
    <row r="14" spans="2:26" x14ac:dyDescent="0.2">
      <c r="B14" s="194" t="s">
        <v>94</v>
      </c>
      <c r="C14" s="194" t="s">
        <v>329</v>
      </c>
      <c r="G14" s="193" t="s">
        <v>131</v>
      </c>
      <c r="H14" s="195">
        <v>12</v>
      </c>
      <c r="J14" s="195">
        <v>4</v>
      </c>
      <c r="K14" s="196">
        <v>7.626747311827959</v>
      </c>
      <c r="L14" s="195">
        <v>307</v>
      </c>
      <c r="M14" s="195">
        <v>244</v>
      </c>
      <c r="N14" s="195">
        <v>123</v>
      </c>
      <c r="O14" s="195">
        <v>194</v>
      </c>
      <c r="R14" s="6"/>
      <c r="S14" s="6"/>
      <c r="T14" s="6"/>
      <c r="U14" s="6"/>
      <c r="V14" s="6"/>
      <c r="W14" s="6"/>
      <c r="X14" s="6"/>
      <c r="Y14" s="6"/>
      <c r="Z14" s="6"/>
    </row>
    <row r="15" spans="2:26" x14ac:dyDescent="0.2">
      <c r="B15" s="209">
        <v>0.5</v>
      </c>
      <c r="C15" s="209">
        <v>0.9</v>
      </c>
      <c r="J15" s="195">
        <v>5</v>
      </c>
      <c r="K15" s="196">
        <v>12.255107526881753</v>
      </c>
      <c r="L15" s="195">
        <v>309</v>
      </c>
      <c r="M15" s="195">
        <v>353</v>
      </c>
      <c r="N15" s="195">
        <v>184</v>
      </c>
      <c r="O15" s="195">
        <v>275</v>
      </c>
    </row>
    <row r="17" spans="2:11" x14ac:dyDescent="0.2">
      <c r="B17" s="194" t="s">
        <v>314</v>
      </c>
      <c r="C17" s="193"/>
    </row>
    <row r="18" spans="2:11" x14ac:dyDescent="0.2">
      <c r="B18" s="193" t="s">
        <v>51</v>
      </c>
      <c r="C18" s="193" t="s">
        <v>52</v>
      </c>
      <c r="E18" s="194" t="s">
        <v>154</v>
      </c>
      <c r="F18" s="193"/>
      <c r="G18" s="194"/>
      <c r="H18" s="193"/>
    </row>
    <row r="19" spans="2:11" x14ac:dyDescent="0.2">
      <c r="B19" s="193"/>
      <c r="C19" s="195" t="s">
        <v>53</v>
      </c>
      <c r="E19" s="193"/>
      <c r="F19" s="195" t="s">
        <v>56</v>
      </c>
      <c r="G19" s="193" t="s">
        <v>317</v>
      </c>
      <c r="H19" s="193"/>
    </row>
    <row r="20" spans="2:11" x14ac:dyDescent="0.2">
      <c r="B20" s="193">
        <v>1</v>
      </c>
      <c r="C20" s="195">
        <v>3</v>
      </c>
      <c r="E20" s="193" t="s">
        <v>187</v>
      </c>
      <c r="F20" s="195">
        <v>0</v>
      </c>
      <c r="G20" s="193"/>
      <c r="H20" s="193"/>
    </row>
    <row r="21" spans="2:11" x14ac:dyDescent="0.2">
      <c r="B21" s="193">
        <v>2</v>
      </c>
      <c r="C21" s="195">
        <v>5</v>
      </c>
      <c r="E21" s="193" t="s">
        <v>188</v>
      </c>
      <c r="F21" s="195">
        <v>0.5</v>
      </c>
      <c r="G21" s="193" t="s">
        <v>192</v>
      </c>
      <c r="H21" s="193"/>
    </row>
    <row r="22" spans="2:11" x14ac:dyDescent="0.2">
      <c r="B22" s="193">
        <v>3</v>
      </c>
      <c r="C22" s="195">
        <v>7</v>
      </c>
      <c r="E22" s="193" t="s">
        <v>189</v>
      </c>
      <c r="F22" s="195">
        <v>1</v>
      </c>
      <c r="G22" s="193" t="s">
        <v>192</v>
      </c>
      <c r="H22" s="193"/>
    </row>
    <row r="23" spans="2:11" x14ac:dyDescent="0.2">
      <c r="B23" s="193">
        <v>4</v>
      </c>
      <c r="C23" s="195">
        <v>9.5</v>
      </c>
      <c r="E23" s="193" t="s">
        <v>190</v>
      </c>
      <c r="F23" s="195">
        <v>3.9</v>
      </c>
      <c r="G23" s="193" t="s">
        <v>191</v>
      </c>
      <c r="H23" s="193"/>
    </row>
    <row r="24" spans="2:11" x14ac:dyDescent="0.2">
      <c r="B24" s="193">
        <v>5</v>
      </c>
      <c r="C24" s="195">
        <v>12</v>
      </c>
    </row>
    <row r="25" spans="2:11" x14ac:dyDescent="0.2">
      <c r="B25" s="193">
        <v>6</v>
      </c>
      <c r="C25" s="195">
        <v>15</v>
      </c>
      <c r="E25" s="194" t="s">
        <v>315</v>
      </c>
      <c r="F25" s="195"/>
      <c r="G25" s="216"/>
    </row>
    <row r="26" spans="2:11" x14ac:dyDescent="0.2">
      <c r="E26" s="193" t="s">
        <v>172</v>
      </c>
      <c r="F26" s="195" t="s">
        <v>48</v>
      </c>
      <c r="G26" s="216"/>
    </row>
    <row r="27" spans="2:11" x14ac:dyDescent="0.2">
      <c r="E27" s="193" t="s">
        <v>260</v>
      </c>
      <c r="F27" s="195">
        <v>0</v>
      </c>
      <c r="G27" s="216"/>
    </row>
    <row r="28" spans="2:11" x14ac:dyDescent="0.2">
      <c r="E28" s="193" t="s">
        <v>261</v>
      </c>
      <c r="F28" s="195">
        <v>175</v>
      </c>
      <c r="G28" s="216"/>
    </row>
    <row r="29" spans="2:11" x14ac:dyDescent="0.2">
      <c r="E29" s="193" t="s">
        <v>262</v>
      </c>
      <c r="F29" s="195">
        <v>450</v>
      </c>
      <c r="G29" s="216"/>
    </row>
    <row r="32" spans="2:11" x14ac:dyDescent="0.2">
      <c r="F32" s="194" t="s">
        <v>239</v>
      </c>
      <c r="G32" s="195"/>
      <c r="H32" s="193"/>
      <c r="I32" s="194" t="s">
        <v>242</v>
      </c>
      <c r="J32" s="193"/>
      <c r="K32" s="195"/>
    </row>
    <row r="33" spans="2:11" x14ac:dyDescent="0.2">
      <c r="B33" s="194" t="s">
        <v>316</v>
      </c>
      <c r="C33" s="193"/>
      <c r="D33" s="194"/>
      <c r="F33" s="193" t="s">
        <v>4</v>
      </c>
      <c r="G33" s="195">
        <v>0.8</v>
      </c>
      <c r="H33" s="193"/>
      <c r="I33" s="193">
        <v>0</v>
      </c>
      <c r="J33" s="195">
        <f t="shared" ref="J33:J43" si="0">K33/1.11</f>
        <v>0.9009009009009008</v>
      </c>
      <c r="K33" s="195">
        <v>1</v>
      </c>
    </row>
    <row r="34" spans="2:11" x14ac:dyDescent="0.2">
      <c r="B34" s="193" t="s">
        <v>300</v>
      </c>
      <c r="C34" s="195" t="s">
        <v>291</v>
      </c>
      <c r="D34" s="193"/>
      <c r="F34" s="193" t="s">
        <v>241</v>
      </c>
      <c r="G34" s="195">
        <v>0.95</v>
      </c>
      <c r="H34" s="193"/>
      <c r="I34" s="193">
        <v>5</v>
      </c>
      <c r="J34" s="195">
        <f t="shared" si="0"/>
        <v>0.92792792792792789</v>
      </c>
      <c r="K34" s="195">
        <v>1.03</v>
      </c>
    </row>
    <row r="35" spans="2:11" x14ac:dyDescent="0.2">
      <c r="B35" s="193">
        <v>0</v>
      </c>
      <c r="C35" s="195">
        <v>1</v>
      </c>
      <c r="D35" s="193"/>
      <c r="F35" s="193" t="s">
        <v>1</v>
      </c>
      <c r="G35" s="195">
        <v>1</v>
      </c>
      <c r="H35" s="194"/>
      <c r="I35" s="193">
        <v>10</v>
      </c>
      <c r="J35" s="195">
        <f t="shared" si="0"/>
        <v>0.95495495495495497</v>
      </c>
      <c r="K35" s="195">
        <v>1.06</v>
      </c>
    </row>
    <row r="36" spans="2:11" x14ac:dyDescent="0.2">
      <c r="B36" s="193">
        <v>0.5</v>
      </c>
      <c r="C36" s="195">
        <v>1</v>
      </c>
      <c r="D36" s="193"/>
      <c r="F36" s="193" t="s">
        <v>240</v>
      </c>
      <c r="G36" s="195">
        <v>0.95</v>
      </c>
      <c r="H36" s="193"/>
      <c r="I36" s="193">
        <v>15</v>
      </c>
      <c r="J36" s="195">
        <f t="shared" si="0"/>
        <v>0.97297297297297292</v>
      </c>
      <c r="K36" s="195">
        <v>1.08</v>
      </c>
    </row>
    <row r="37" spans="2:11" x14ac:dyDescent="0.2">
      <c r="B37" s="193">
        <v>0.6</v>
      </c>
      <c r="C37" s="195">
        <v>0.99</v>
      </c>
      <c r="D37" s="193"/>
      <c r="F37" s="193" t="s">
        <v>2</v>
      </c>
      <c r="G37" s="195">
        <v>0.8</v>
      </c>
      <c r="H37" s="193"/>
      <c r="I37" s="193">
        <v>20</v>
      </c>
      <c r="J37" s="195">
        <f t="shared" si="0"/>
        <v>0.99099099099099097</v>
      </c>
      <c r="K37" s="195">
        <v>1.1000000000000001</v>
      </c>
    </row>
    <row r="38" spans="2:11" x14ac:dyDescent="0.2">
      <c r="B38" s="194">
        <v>0.7</v>
      </c>
      <c r="C38" s="195">
        <v>0.99</v>
      </c>
      <c r="D38" s="194"/>
      <c r="F38" s="193"/>
      <c r="G38" s="195"/>
      <c r="H38" s="193"/>
      <c r="I38" s="193">
        <v>25</v>
      </c>
      <c r="J38" s="195">
        <f t="shared" si="0"/>
        <v>1</v>
      </c>
      <c r="K38" s="195">
        <v>1.1100000000000001</v>
      </c>
    </row>
    <row r="39" spans="2:11" x14ac:dyDescent="0.2">
      <c r="B39" s="193">
        <v>0.8</v>
      </c>
      <c r="C39" s="195">
        <v>0.97</v>
      </c>
      <c r="D39" s="193"/>
      <c r="F39" s="193"/>
      <c r="G39" s="195"/>
      <c r="H39" s="193"/>
      <c r="I39" s="193">
        <v>30</v>
      </c>
      <c r="J39" s="195">
        <f t="shared" si="0"/>
        <v>1</v>
      </c>
      <c r="K39" s="195">
        <v>1.1100000000000001</v>
      </c>
    </row>
    <row r="40" spans="2:11" x14ac:dyDescent="0.2">
      <c r="B40" s="193">
        <v>0.9</v>
      </c>
      <c r="C40" s="195">
        <v>0.94</v>
      </c>
      <c r="D40" s="193"/>
      <c r="F40" s="193"/>
      <c r="G40" s="195"/>
      <c r="H40" s="193"/>
      <c r="I40" s="193">
        <v>35</v>
      </c>
      <c r="J40" s="195">
        <f t="shared" si="0"/>
        <v>1</v>
      </c>
      <c r="K40" s="195">
        <v>1.1100000000000001</v>
      </c>
    </row>
    <row r="41" spans="2:11" x14ac:dyDescent="0.2">
      <c r="B41" s="193">
        <v>1</v>
      </c>
      <c r="C41" s="195">
        <v>0.89</v>
      </c>
      <c r="D41" s="193"/>
      <c r="F41" s="194"/>
      <c r="G41" s="193"/>
      <c r="H41" s="194"/>
      <c r="I41" s="193">
        <v>40</v>
      </c>
      <c r="J41" s="195">
        <f t="shared" si="0"/>
        <v>0.99099099099099097</v>
      </c>
      <c r="K41" s="195">
        <v>1.1000000000000001</v>
      </c>
    </row>
    <row r="42" spans="2:11" x14ac:dyDescent="0.2">
      <c r="B42" s="193">
        <v>1.1000000000000001</v>
      </c>
      <c r="C42" s="195">
        <v>0.85</v>
      </c>
      <c r="D42" s="193"/>
      <c r="F42" s="193"/>
      <c r="G42" s="195"/>
      <c r="H42" s="193"/>
      <c r="I42" s="193">
        <v>45</v>
      </c>
      <c r="J42" s="195">
        <f t="shared" si="0"/>
        <v>0.98198198198198194</v>
      </c>
      <c r="K42" s="195">
        <v>1.0900000000000001</v>
      </c>
    </row>
    <row r="43" spans="2:11" x14ac:dyDescent="0.2">
      <c r="B43" s="194">
        <v>1.2</v>
      </c>
      <c r="C43" s="195">
        <v>0.8</v>
      </c>
      <c r="D43" s="194"/>
      <c r="F43" s="193"/>
      <c r="G43" s="195"/>
      <c r="H43" s="193"/>
      <c r="I43" s="193">
        <v>50</v>
      </c>
      <c r="J43" s="195">
        <f t="shared" si="0"/>
        <v>0.96396396396396389</v>
      </c>
      <c r="K43" s="195">
        <v>1.07</v>
      </c>
    </row>
    <row r="44" spans="2:11" x14ac:dyDescent="0.2">
      <c r="B44" s="193">
        <v>1.3</v>
      </c>
      <c r="C44" s="195">
        <v>0.75</v>
      </c>
      <c r="D44" s="193"/>
      <c r="F44" s="193"/>
      <c r="G44" s="195"/>
      <c r="H44" s="193"/>
      <c r="I44" s="193">
        <v>55</v>
      </c>
      <c r="J44" s="195">
        <f>K44/1.11</f>
        <v>0.94594594594594594</v>
      </c>
      <c r="K44" s="195">
        <v>1.05</v>
      </c>
    </row>
    <row r="45" spans="2:11" x14ac:dyDescent="0.2">
      <c r="B45" s="193">
        <v>1.4</v>
      </c>
      <c r="C45" s="195">
        <v>0.7</v>
      </c>
      <c r="D45" s="193"/>
      <c r="F45" s="193"/>
      <c r="G45" s="195"/>
      <c r="H45" s="193"/>
      <c r="I45" s="193">
        <v>60</v>
      </c>
      <c r="J45" s="195">
        <f t="shared" ref="J45:J51" si="1">K45/1.11</f>
        <v>0.91891891891891886</v>
      </c>
      <c r="K45" s="195">
        <v>1.02</v>
      </c>
    </row>
    <row r="46" spans="2:11" x14ac:dyDescent="0.2">
      <c r="B46" s="193">
        <v>1.5</v>
      </c>
      <c r="C46" s="195">
        <v>0.66</v>
      </c>
      <c r="D46" s="193"/>
      <c r="F46" s="193"/>
      <c r="G46" s="195"/>
      <c r="H46" s="193"/>
      <c r="I46" s="193">
        <v>65</v>
      </c>
      <c r="J46" s="195">
        <f t="shared" si="1"/>
        <v>0.88288288288288275</v>
      </c>
      <c r="K46" s="195">
        <v>0.98</v>
      </c>
    </row>
    <row r="47" spans="2:11" x14ac:dyDescent="0.2">
      <c r="B47" s="193">
        <v>1.6</v>
      </c>
      <c r="C47" s="195">
        <v>0.62</v>
      </c>
      <c r="D47" s="193"/>
      <c r="F47" s="194"/>
      <c r="G47" s="193"/>
      <c r="H47" s="194"/>
      <c r="I47" s="193">
        <v>70</v>
      </c>
      <c r="J47" s="195">
        <f t="shared" si="1"/>
        <v>0.85585585585585577</v>
      </c>
      <c r="K47" s="195">
        <v>0.95</v>
      </c>
    </row>
    <row r="48" spans="2:11" x14ac:dyDescent="0.2">
      <c r="B48" s="194">
        <v>1.7</v>
      </c>
      <c r="C48" s="195">
        <v>0.59</v>
      </c>
      <c r="D48" s="194"/>
      <c r="F48" s="193"/>
      <c r="G48" s="195"/>
      <c r="H48" s="193"/>
      <c r="I48" s="193">
        <v>75</v>
      </c>
      <c r="J48" s="195">
        <f t="shared" si="1"/>
        <v>0.81081081081081074</v>
      </c>
      <c r="K48" s="195">
        <v>0.9</v>
      </c>
    </row>
    <row r="49" spans="2:11" x14ac:dyDescent="0.2">
      <c r="B49" s="193">
        <v>1.8</v>
      </c>
      <c r="C49" s="195">
        <v>0.55000000000000004</v>
      </c>
      <c r="D49" s="193"/>
      <c r="F49" s="193"/>
      <c r="G49" s="195"/>
      <c r="H49" s="193"/>
      <c r="I49" s="193">
        <v>80</v>
      </c>
      <c r="J49" s="195">
        <f t="shared" si="1"/>
        <v>0.78378378378378366</v>
      </c>
      <c r="K49" s="195">
        <v>0.87</v>
      </c>
    </row>
    <row r="50" spans="2:11" x14ac:dyDescent="0.2">
      <c r="B50" s="193">
        <v>1.9</v>
      </c>
      <c r="C50" s="195">
        <v>0.53</v>
      </c>
      <c r="D50" s="193"/>
      <c r="F50" s="193"/>
      <c r="G50" s="195"/>
      <c r="H50" s="193"/>
      <c r="I50" s="193">
        <v>85</v>
      </c>
      <c r="J50" s="195">
        <f t="shared" si="1"/>
        <v>0.73873873873873863</v>
      </c>
      <c r="K50" s="195">
        <v>0.82</v>
      </c>
    </row>
    <row r="51" spans="2:11" x14ac:dyDescent="0.2">
      <c r="B51" s="193">
        <v>2</v>
      </c>
      <c r="C51" s="195">
        <v>0.5</v>
      </c>
      <c r="D51" s="193"/>
      <c r="F51" s="193"/>
      <c r="G51" s="195"/>
      <c r="H51" s="193"/>
      <c r="I51" s="193">
        <v>90</v>
      </c>
      <c r="J51" s="195">
        <f t="shared" si="1"/>
        <v>0.68468468468468469</v>
      </c>
      <c r="K51" s="195">
        <v>0.76</v>
      </c>
    </row>
    <row r="52" spans="2:11" x14ac:dyDescent="0.2">
      <c r="B52" s="193">
        <v>2.1</v>
      </c>
      <c r="C52" s="195">
        <v>0.48</v>
      </c>
      <c r="D52" s="193"/>
      <c r="F52" s="197"/>
      <c r="G52" s="197"/>
      <c r="H52" s="197"/>
      <c r="I52" s="197"/>
      <c r="J52" s="197"/>
      <c r="K52" s="197"/>
    </row>
    <row r="53" spans="2:11" x14ac:dyDescent="0.2">
      <c r="B53" s="194">
        <v>2.2000000000000002</v>
      </c>
      <c r="C53" s="195">
        <v>0.45</v>
      </c>
      <c r="D53" s="194"/>
      <c r="F53" s="198" t="s">
        <v>274</v>
      </c>
      <c r="G53" s="198"/>
      <c r="H53" s="199"/>
      <c r="I53" s="199"/>
      <c r="J53" s="199"/>
      <c r="K53" s="198"/>
    </row>
    <row r="54" spans="2:11" x14ac:dyDescent="0.2">
      <c r="B54" s="193">
        <v>2.2999999999999998</v>
      </c>
      <c r="C54" s="195">
        <v>0.43</v>
      </c>
      <c r="D54" s="193"/>
      <c r="F54" s="198" t="s">
        <v>275</v>
      </c>
      <c r="G54" s="197"/>
      <c r="H54" s="198"/>
      <c r="I54" s="198"/>
      <c r="J54" s="198"/>
      <c r="K54" s="197"/>
    </row>
    <row r="55" spans="2:11" x14ac:dyDescent="0.2">
      <c r="B55" s="193">
        <v>2.4</v>
      </c>
      <c r="C55" s="195">
        <v>0.42</v>
      </c>
      <c r="D55" s="193"/>
      <c r="F55" s="198" t="s">
        <v>273</v>
      </c>
      <c r="G55" s="197"/>
      <c r="H55" s="198"/>
      <c r="I55" s="198"/>
      <c r="J55" s="198"/>
      <c r="K55" s="197"/>
    </row>
  </sheetData>
  <pageMargins left="0.7" right="0.7" top="0.75" bottom="0.75" header="0.3" footer="0.3"/>
  <pageSetup paperSize="9" orientation="portrait" horizontalDpi="4294967292" verticalDpi="4294967292"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4744"/>
  <sheetViews>
    <sheetView showGridLines="0" zoomScale="80" workbookViewId="0">
      <selection activeCell="A6" sqref="A6"/>
    </sheetView>
  </sheetViews>
  <sheetFormatPr defaultColWidth="8.7109375" defaultRowHeight="12.75" x14ac:dyDescent="0.2"/>
  <cols>
    <col min="1" max="1" width="12.85546875" style="238" customWidth="1"/>
    <col min="2" max="2" width="9.28515625" style="238" customWidth="1"/>
    <col min="3" max="3" width="10.42578125" style="238" customWidth="1"/>
    <col min="4" max="5" width="8.7109375" style="238"/>
    <col min="6" max="6" width="15.28515625" style="238" customWidth="1"/>
    <col min="7" max="8" width="11" style="238" customWidth="1"/>
    <col min="9" max="9" width="13.28515625" style="238" customWidth="1"/>
    <col min="10" max="16384" width="8.7109375" style="238"/>
  </cols>
  <sheetData>
    <row r="1" spans="1:4" x14ac:dyDescent="0.2">
      <c r="A1" s="237" t="s">
        <v>14</v>
      </c>
      <c r="D1" s="239" t="s">
        <v>13</v>
      </c>
    </row>
    <row r="2" spans="1:4" ht="217.5" customHeight="1" x14ac:dyDescent="0.2">
      <c r="A2" s="237"/>
      <c r="D2" s="239"/>
    </row>
    <row r="3" spans="1:4" x14ac:dyDescent="0.2">
      <c r="A3" s="237"/>
      <c r="D3" s="239"/>
    </row>
    <row r="4" spans="1:4" x14ac:dyDescent="0.2">
      <c r="A4" s="240" t="s">
        <v>19</v>
      </c>
    </row>
    <row r="5" spans="1:4" x14ac:dyDescent="0.2">
      <c r="A5" s="238" t="s">
        <v>6</v>
      </c>
      <c r="B5" s="238" t="s">
        <v>11</v>
      </c>
      <c r="C5" s="238" t="s">
        <v>12</v>
      </c>
    </row>
    <row r="6" spans="1:4" x14ac:dyDescent="0.2">
      <c r="A6" s="241">
        <v>37012</v>
      </c>
      <c r="B6" s="242">
        <v>10</v>
      </c>
      <c r="C6" s="238">
        <v>1.5</v>
      </c>
    </row>
    <row r="7" spans="1:4" x14ac:dyDescent="0.2">
      <c r="A7" s="241">
        <v>37013</v>
      </c>
      <c r="B7" s="242">
        <v>12.6</v>
      </c>
      <c r="C7" s="238">
        <v>12.2</v>
      </c>
    </row>
    <row r="8" spans="1:4" x14ac:dyDescent="0.2">
      <c r="A8" s="241">
        <v>37014</v>
      </c>
      <c r="B8" s="242">
        <v>10.199999999999999</v>
      </c>
      <c r="C8" s="238">
        <v>2.1</v>
      </c>
    </row>
    <row r="9" spans="1:4" x14ac:dyDescent="0.2">
      <c r="A9" s="241">
        <v>37015</v>
      </c>
      <c r="B9" s="242">
        <v>7.2</v>
      </c>
      <c r="C9" s="238">
        <v>1.4</v>
      </c>
    </row>
    <row r="10" spans="1:4" x14ac:dyDescent="0.2">
      <c r="A10" s="241">
        <v>37016</v>
      </c>
      <c r="B10" s="242">
        <v>7</v>
      </c>
      <c r="C10" s="238">
        <v>5.0999999999999996</v>
      </c>
    </row>
    <row r="11" spans="1:4" x14ac:dyDescent="0.2">
      <c r="A11" s="241">
        <v>37017</v>
      </c>
      <c r="B11" s="242">
        <v>10</v>
      </c>
      <c r="C11" s="238">
        <v>12.3</v>
      </c>
    </row>
    <row r="12" spans="1:4" x14ac:dyDescent="0.2">
      <c r="A12" s="241">
        <v>37018</v>
      </c>
      <c r="B12" s="242">
        <v>10.4</v>
      </c>
      <c r="C12" s="238">
        <v>14</v>
      </c>
    </row>
    <row r="13" spans="1:4" x14ac:dyDescent="0.2">
      <c r="A13" s="241">
        <v>37019</v>
      </c>
      <c r="B13" s="242">
        <v>9.1999999999999993</v>
      </c>
      <c r="C13" s="238">
        <v>13.7</v>
      </c>
    </row>
    <row r="14" spans="1:4" x14ac:dyDescent="0.2">
      <c r="A14" s="241">
        <v>37020</v>
      </c>
      <c r="B14" s="242">
        <v>15.6</v>
      </c>
      <c r="C14" s="238">
        <v>12.5</v>
      </c>
    </row>
    <row r="15" spans="1:4" x14ac:dyDescent="0.2">
      <c r="A15" s="241">
        <v>37021</v>
      </c>
      <c r="B15" s="242">
        <v>18.3</v>
      </c>
      <c r="C15" s="238">
        <v>14.2</v>
      </c>
    </row>
    <row r="16" spans="1:4" x14ac:dyDescent="0.2">
      <c r="A16" s="241">
        <v>37022</v>
      </c>
      <c r="B16" s="242">
        <v>17.7</v>
      </c>
      <c r="C16" s="238">
        <v>14.2</v>
      </c>
    </row>
    <row r="17" spans="1:3" x14ac:dyDescent="0.2">
      <c r="A17" s="241">
        <v>37023</v>
      </c>
      <c r="B17" s="242">
        <v>17.600000000000001</v>
      </c>
      <c r="C17" s="238">
        <v>14.2</v>
      </c>
    </row>
    <row r="18" spans="1:3" x14ac:dyDescent="0.2">
      <c r="A18" s="241">
        <v>37024</v>
      </c>
      <c r="B18" s="242">
        <v>18.5</v>
      </c>
      <c r="C18" s="238">
        <v>12.6</v>
      </c>
    </row>
    <row r="19" spans="1:3" x14ac:dyDescent="0.2">
      <c r="A19" s="241">
        <v>37025</v>
      </c>
      <c r="B19" s="242">
        <v>13</v>
      </c>
      <c r="C19" s="238">
        <v>3</v>
      </c>
    </row>
    <row r="20" spans="1:3" x14ac:dyDescent="0.2">
      <c r="A20" s="241">
        <v>37026</v>
      </c>
      <c r="B20" s="242">
        <v>11.5</v>
      </c>
      <c r="C20" s="238">
        <v>4</v>
      </c>
    </row>
    <row r="21" spans="1:3" x14ac:dyDescent="0.2">
      <c r="A21" s="241">
        <v>37027</v>
      </c>
      <c r="B21" s="242">
        <v>12.9</v>
      </c>
      <c r="C21" s="238">
        <v>3.8</v>
      </c>
    </row>
    <row r="22" spans="1:3" x14ac:dyDescent="0.2">
      <c r="A22" s="241">
        <v>37028</v>
      </c>
      <c r="B22" s="242">
        <v>11.6</v>
      </c>
      <c r="C22" s="238">
        <v>6.1</v>
      </c>
    </row>
    <row r="23" spans="1:3" x14ac:dyDescent="0.2">
      <c r="A23" s="241">
        <v>37029</v>
      </c>
      <c r="B23" s="242">
        <v>11.1</v>
      </c>
      <c r="C23" s="238">
        <v>1.5</v>
      </c>
    </row>
    <row r="24" spans="1:3" x14ac:dyDescent="0.2">
      <c r="A24" s="241">
        <v>37030</v>
      </c>
      <c r="B24" s="242">
        <v>11.1</v>
      </c>
      <c r="C24" s="238">
        <v>11.4</v>
      </c>
    </row>
    <row r="25" spans="1:3" x14ac:dyDescent="0.2">
      <c r="A25" s="241">
        <v>37031</v>
      </c>
      <c r="B25" s="242">
        <v>11.2</v>
      </c>
      <c r="C25" s="238">
        <v>10.5</v>
      </c>
    </row>
    <row r="26" spans="1:3" x14ac:dyDescent="0.2">
      <c r="A26" s="241">
        <v>37032</v>
      </c>
      <c r="B26" s="242">
        <v>11.3</v>
      </c>
      <c r="C26" s="238">
        <v>13.9</v>
      </c>
    </row>
    <row r="27" spans="1:3" x14ac:dyDescent="0.2">
      <c r="A27" s="241">
        <v>37033</v>
      </c>
      <c r="B27" s="242">
        <v>13.3</v>
      </c>
      <c r="C27" s="238">
        <v>14.8</v>
      </c>
    </row>
    <row r="28" spans="1:3" x14ac:dyDescent="0.2">
      <c r="A28" s="241">
        <v>37034</v>
      </c>
      <c r="B28" s="242">
        <v>15.7</v>
      </c>
      <c r="C28" s="238">
        <v>14.8</v>
      </c>
    </row>
    <row r="29" spans="1:3" x14ac:dyDescent="0.2">
      <c r="A29" s="241">
        <v>37035</v>
      </c>
      <c r="B29" s="242">
        <v>14.4</v>
      </c>
      <c r="C29" s="238">
        <v>13.8</v>
      </c>
    </row>
    <row r="30" spans="1:3" x14ac:dyDescent="0.2">
      <c r="A30" s="241">
        <v>37036</v>
      </c>
      <c r="B30" s="242">
        <v>14.1</v>
      </c>
      <c r="C30" s="238">
        <v>14.8</v>
      </c>
    </row>
    <row r="31" spans="1:3" x14ac:dyDescent="0.2">
      <c r="A31" s="241">
        <v>37037</v>
      </c>
      <c r="B31" s="242">
        <v>14.3</v>
      </c>
      <c r="C31" s="238">
        <v>7.4</v>
      </c>
    </row>
    <row r="32" spans="1:3" x14ac:dyDescent="0.2">
      <c r="A32" s="241">
        <v>37038</v>
      </c>
      <c r="B32" s="242">
        <v>13.5</v>
      </c>
      <c r="C32" s="238">
        <v>0.2</v>
      </c>
    </row>
    <row r="33" spans="1:3" x14ac:dyDescent="0.2">
      <c r="A33" s="241">
        <v>37039</v>
      </c>
      <c r="B33" s="242">
        <v>14.6</v>
      </c>
      <c r="C33" s="238">
        <v>4.4000000000000004</v>
      </c>
    </row>
    <row r="34" spans="1:3" x14ac:dyDescent="0.2">
      <c r="A34" s="241">
        <v>37040</v>
      </c>
      <c r="B34" s="242">
        <v>14.7</v>
      </c>
      <c r="C34" s="238">
        <v>12.6</v>
      </c>
    </row>
    <row r="35" spans="1:3" x14ac:dyDescent="0.2">
      <c r="A35" s="241">
        <v>37041</v>
      </c>
      <c r="B35" s="242">
        <v>15.5</v>
      </c>
      <c r="C35" s="238">
        <v>14.2</v>
      </c>
    </row>
    <row r="36" spans="1:3" x14ac:dyDescent="0.2">
      <c r="A36" s="241">
        <v>37042</v>
      </c>
      <c r="B36" s="242">
        <v>12.7</v>
      </c>
      <c r="C36" s="238">
        <v>8</v>
      </c>
    </row>
    <row r="37" spans="1:3" x14ac:dyDescent="0.2">
      <c r="A37" s="241">
        <v>37043</v>
      </c>
      <c r="B37" s="242">
        <v>12.5</v>
      </c>
      <c r="C37" s="238">
        <v>4.9000000000000004</v>
      </c>
    </row>
    <row r="38" spans="1:3" x14ac:dyDescent="0.2">
      <c r="A38" s="241">
        <v>37044</v>
      </c>
      <c r="B38" s="242">
        <v>11.5</v>
      </c>
      <c r="C38" s="238">
        <v>2.7</v>
      </c>
    </row>
    <row r="39" spans="1:3" x14ac:dyDescent="0.2">
      <c r="A39" s="241">
        <v>37045</v>
      </c>
      <c r="B39" s="242">
        <v>10.199999999999999</v>
      </c>
      <c r="C39" s="238">
        <v>4</v>
      </c>
    </row>
    <row r="40" spans="1:3" x14ac:dyDescent="0.2">
      <c r="A40" s="241">
        <v>37046</v>
      </c>
      <c r="B40" s="242">
        <v>12.7</v>
      </c>
      <c r="C40" s="238">
        <v>3.9</v>
      </c>
    </row>
    <row r="41" spans="1:3" x14ac:dyDescent="0.2">
      <c r="A41" s="241">
        <v>37047</v>
      </c>
      <c r="B41" s="242">
        <v>14.2</v>
      </c>
      <c r="C41" s="238">
        <v>9.4</v>
      </c>
    </row>
    <row r="42" spans="1:3" x14ac:dyDescent="0.2">
      <c r="A42" s="241">
        <v>37048</v>
      </c>
      <c r="B42" s="242">
        <v>14.9</v>
      </c>
      <c r="C42" s="238">
        <v>5.4</v>
      </c>
    </row>
    <row r="43" spans="1:3" x14ac:dyDescent="0.2">
      <c r="A43" s="241">
        <v>37049</v>
      </c>
      <c r="B43" s="242">
        <v>12.9</v>
      </c>
      <c r="C43" s="238">
        <v>12.3</v>
      </c>
    </row>
    <row r="44" spans="1:3" x14ac:dyDescent="0.2">
      <c r="A44" s="241">
        <v>37050</v>
      </c>
      <c r="B44" s="242">
        <v>12.2</v>
      </c>
      <c r="C44" s="238">
        <v>12.5</v>
      </c>
    </row>
    <row r="45" spans="1:3" x14ac:dyDescent="0.2">
      <c r="A45" s="241">
        <v>37051</v>
      </c>
      <c r="B45" s="242">
        <v>11.5</v>
      </c>
      <c r="C45" s="238">
        <v>14.5</v>
      </c>
    </row>
    <row r="46" spans="1:3" x14ac:dyDescent="0.2">
      <c r="A46" s="241">
        <v>37052</v>
      </c>
      <c r="B46" s="242">
        <v>12.1</v>
      </c>
      <c r="C46" s="238">
        <v>9</v>
      </c>
    </row>
    <row r="47" spans="1:3" x14ac:dyDescent="0.2">
      <c r="A47" s="241">
        <v>37053</v>
      </c>
      <c r="B47" s="242">
        <v>13</v>
      </c>
      <c r="C47" s="238">
        <v>8.8000000000000007</v>
      </c>
    </row>
    <row r="48" spans="1:3" x14ac:dyDescent="0.2">
      <c r="A48" s="241">
        <v>37054</v>
      </c>
      <c r="B48" s="242">
        <v>13.1</v>
      </c>
      <c r="C48" s="238">
        <v>8.6999999999999993</v>
      </c>
    </row>
    <row r="49" spans="1:3" x14ac:dyDescent="0.2">
      <c r="A49" s="241">
        <v>37055</v>
      </c>
      <c r="B49" s="242">
        <v>12.5</v>
      </c>
      <c r="C49" s="238">
        <v>7.4</v>
      </c>
    </row>
    <row r="50" spans="1:3" x14ac:dyDescent="0.2">
      <c r="A50" s="241">
        <v>37056</v>
      </c>
      <c r="B50" s="242">
        <v>15</v>
      </c>
      <c r="C50" s="238">
        <v>13.9</v>
      </c>
    </row>
    <row r="51" spans="1:3" x14ac:dyDescent="0.2">
      <c r="A51" s="241">
        <v>37057</v>
      </c>
      <c r="B51" s="242">
        <v>15.4</v>
      </c>
      <c r="C51" s="238">
        <v>4.4000000000000004</v>
      </c>
    </row>
    <row r="52" spans="1:3" x14ac:dyDescent="0.2">
      <c r="A52" s="241">
        <v>37058</v>
      </c>
      <c r="B52" s="242">
        <v>16</v>
      </c>
      <c r="C52" s="238">
        <v>5.0999999999999996</v>
      </c>
    </row>
    <row r="53" spans="1:3" x14ac:dyDescent="0.2">
      <c r="A53" s="241">
        <v>37059</v>
      </c>
      <c r="B53" s="242">
        <v>15.3</v>
      </c>
      <c r="C53" s="238">
        <v>5.3</v>
      </c>
    </row>
    <row r="54" spans="1:3" x14ac:dyDescent="0.2">
      <c r="A54" s="241">
        <v>37060</v>
      </c>
      <c r="B54" s="242">
        <v>13</v>
      </c>
      <c r="C54" s="238">
        <v>1.7</v>
      </c>
    </row>
    <row r="55" spans="1:3" x14ac:dyDescent="0.2">
      <c r="A55" s="241">
        <v>37061</v>
      </c>
      <c r="B55" s="242">
        <v>14.1</v>
      </c>
      <c r="C55" s="238">
        <v>11.5</v>
      </c>
    </row>
    <row r="56" spans="1:3" x14ac:dyDescent="0.2">
      <c r="A56" s="241">
        <v>37062</v>
      </c>
      <c r="B56" s="242">
        <v>16.5</v>
      </c>
      <c r="C56" s="238">
        <v>6.8</v>
      </c>
    </row>
    <row r="57" spans="1:3" x14ac:dyDescent="0.2">
      <c r="A57" s="241">
        <v>37063</v>
      </c>
      <c r="B57" s="242">
        <v>13.7</v>
      </c>
      <c r="C57" s="238">
        <v>9.6999999999999993</v>
      </c>
    </row>
    <row r="58" spans="1:3" x14ac:dyDescent="0.2">
      <c r="A58" s="241">
        <v>37064</v>
      </c>
      <c r="B58" s="242">
        <v>13.7</v>
      </c>
      <c r="C58" s="238">
        <v>3.1</v>
      </c>
    </row>
    <row r="59" spans="1:3" x14ac:dyDescent="0.2">
      <c r="A59" s="241">
        <v>37065</v>
      </c>
      <c r="B59" s="242">
        <v>14.5</v>
      </c>
      <c r="C59" s="238">
        <v>9.9</v>
      </c>
    </row>
    <row r="60" spans="1:3" x14ac:dyDescent="0.2">
      <c r="A60" s="241">
        <v>37066</v>
      </c>
      <c r="B60" s="242">
        <v>16</v>
      </c>
      <c r="C60" s="238">
        <v>9</v>
      </c>
    </row>
    <row r="61" spans="1:3" x14ac:dyDescent="0.2">
      <c r="A61" s="241">
        <v>37067</v>
      </c>
      <c r="B61" s="242">
        <v>17.899999999999999</v>
      </c>
      <c r="C61" s="238">
        <v>14.5</v>
      </c>
    </row>
    <row r="62" spans="1:3" x14ac:dyDescent="0.2">
      <c r="A62" s="241">
        <v>37068</v>
      </c>
      <c r="B62" s="242">
        <v>20.5</v>
      </c>
      <c r="C62" s="238">
        <v>13.4</v>
      </c>
    </row>
    <row r="63" spans="1:3" x14ac:dyDescent="0.2">
      <c r="A63" s="241">
        <v>37069</v>
      </c>
      <c r="B63" s="242">
        <v>17.600000000000001</v>
      </c>
      <c r="C63" s="238">
        <v>3.2</v>
      </c>
    </row>
    <row r="64" spans="1:3" x14ac:dyDescent="0.2">
      <c r="A64" s="241">
        <v>37070</v>
      </c>
      <c r="B64" s="242">
        <v>17.2</v>
      </c>
      <c r="C64" s="238">
        <v>8.1</v>
      </c>
    </row>
    <row r="65" spans="1:3" x14ac:dyDescent="0.2">
      <c r="A65" s="241">
        <v>37071</v>
      </c>
      <c r="B65" s="242">
        <v>18.399999999999999</v>
      </c>
      <c r="C65" s="238">
        <v>12.6</v>
      </c>
    </row>
    <row r="66" spans="1:3" x14ac:dyDescent="0.2">
      <c r="A66" s="241">
        <v>37072</v>
      </c>
      <c r="B66" s="242">
        <v>18.2</v>
      </c>
      <c r="C66" s="238">
        <v>6.8</v>
      </c>
    </row>
    <row r="67" spans="1:3" x14ac:dyDescent="0.2">
      <c r="A67" s="241">
        <v>37073</v>
      </c>
      <c r="B67" s="242">
        <v>16.7</v>
      </c>
      <c r="C67" s="238">
        <v>14.2</v>
      </c>
    </row>
    <row r="68" spans="1:3" x14ac:dyDescent="0.2">
      <c r="A68" s="241">
        <v>37074</v>
      </c>
      <c r="B68" s="242">
        <v>18.5</v>
      </c>
      <c r="C68" s="238">
        <v>9.6999999999999993</v>
      </c>
    </row>
    <row r="69" spans="1:3" x14ac:dyDescent="0.2">
      <c r="A69" s="241">
        <v>37075</v>
      </c>
      <c r="B69" s="242">
        <v>20.5</v>
      </c>
      <c r="C69" s="238">
        <v>15.3</v>
      </c>
    </row>
    <row r="70" spans="1:3" x14ac:dyDescent="0.2">
      <c r="A70" s="241">
        <v>37076</v>
      </c>
      <c r="B70" s="242">
        <v>22.5</v>
      </c>
      <c r="C70" s="238">
        <v>15.5</v>
      </c>
    </row>
    <row r="71" spans="1:3" x14ac:dyDescent="0.2">
      <c r="A71" s="241">
        <v>37077</v>
      </c>
      <c r="B71" s="242">
        <v>25.2</v>
      </c>
      <c r="C71" s="238">
        <v>15</v>
      </c>
    </row>
    <row r="72" spans="1:3" x14ac:dyDescent="0.2">
      <c r="A72" s="241">
        <v>37078</v>
      </c>
      <c r="B72" s="242">
        <v>21.7</v>
      </c>
      <c r="C72" s="238">
        <v>5.7</v>
      </c>
    </row>
    <row r="73" spans="1:3" x14ac:dyDescent="0.2">
      <c r="A73" s="241">
        <v>37079</v>
      </c>
      <c r="B73" s="242">
        <v>19</v>
      </c>
      <c r="C73" s="238">
        <v>3.2</v>
      </c>
    </row>
    <row r="74" spans="1:3" x14ac:dyDescent="0.2">
      <c r="A74" s="241">
        <v>37080</v>
      </c>
      <c r="B74" s="242">
        <v>17.899999999999999</v>
      </c>
      <c r="C74" s="238">
        <v>1.2</v>
      </c>
    </row>
    <row r="75" spans="1:3" x14ac:dyDescent="0.2">
      <c r="A75" s="241">
        <v>37081</v>
      </c>
      <c r="B75" s="242">
        <v>17.399999999999999</v>
      </c>
      <c r="C75" s="238">
        <v>6.1</v>
      </c>
    </row>
    <row r="76" spans="1:3" x14ac:dyDescent="0.2">
      <c r="A76" s="241">
        <v>37082</v>
      </c>
      <c r="B76" s="242">
        <v>18.100000000000001</v>
      </c>
      <c r="C76" s="238">
        <v>2.7</v>
      </c>
    </row>
    <row r="77" spans="1:3" x14ac:dyDescent="0.2">
      <c r="A77" s="241">
        <v>37083</v>
      </c>
      <c r="B77" s="242">
        <v>17</v>
      </c>
      <c r="C77" s="238">
        <v>7.5</v>
      </c>
    </row>
    <row r="78" spans="1:3" x14ac:dyDescent="0.2">
      <c r="A78" s="241">
        <v>37084</v>
      </c>
      <c r="B78" s="242">
        <v>16.5</v>
      </c>
      <c r="C78" s="238">
        <v>9.4</v>
      </c>
    </row>
    <row r="79" spans="1:3" x14ac:dyDescent="0.2">
      <c r="A79" s="241">
        <v>37085</v>
      </c>
      <c r="B79" s="242">
        <v>16.8</v>
      </c>
      <c r="C79" s="238">
        <v>7.9</v>
      </c>
    </row>
    <row r="80" spans="1:3" x14ac:dyDescent="0.2">
      <c r="A80" s="241">
        <v>37086</v>
      </c>
      <c r="B80" s="242">
        <v>15.4</v>
      </c>
      <c r="C80" s="238">
        <v>1.4</v>
      </c>
    </row>
    <row r="81" spans="1:3" x14ac:dyDescent="0.2">
      <c r="A81" s="241">
        <v>37087</v>
      </c>
      <c r="B81" s="242">
        <v>15</v>
      </c>
      <c r="C81" s="238">
        <v>11.4</v>
      </c>
    </row>
    <row r="82" spans="1:3" x14ac:dyDescent="0.2">
      <c r="A82" s="241">
        <v>37088</v>
      </c>
      <c r="B82" s="242">
        <v>13.8</v>
      </c>
      <c r="C82" s="238">
        <v>14.2</v>
      </c>
    </row>
    <row r="83" spans="1:3" x14ac:dyDescent="0.2">
      <c r="A83" s="241">
        <v>37089</v>
      </c>
      <c r="B83" s="242">
        <v>16.8</v>
      </c>
      <c r="C83" s="238">
        <v>9.1999999999999993</v>
      </c>
    </row>
    <row r="84" spans="1:3" x14ac:dyDescent="0.2">
      <c r="A84" s="241">
        <v>37090</v>
      </c>
      <c r="B84" s="242">
        <v>15.6</v>
      </c>
      <c r="C84" s="238">
        <v>0.8</v>
      </c>
    </row>
    <row r="85" spans="1:3" x14ac:dyDescent="0.2">
      <c r="A85" s="241">
        <v>37091</v>
      </c>
      <c r="B85" s="242">
        <v>15.9</v>
      </c>
      <c r="C85" s="238">
        <v>6.6</v>
      </c>
    </row>
    <row r="86" spans="1:3" x14ac:dyDescent="0.2">
      <c r="A86" s="241">
        <v>37092</v>
      </c>
      <c r="B86" s="242">
        <v>15.1</v>
      </c>
      <c r="C86" s="238">
        <v>3.8</v>
      </c>
    </row>
    <row r="87" spans="1:3" x14ac:dyDescent="0.2">
      <c r="A87" s="241">
        <v>37093</v>
      </c>
      <c r="B87" s="242">
        <v>16.399999999999999</v>
      </c>
      <c r="C87" s="238">
        <v>0.6</v>
      </c>
    </row>
    <row r="88" spans="1:3" x14ac:dyDescent="0.2">
      <c r="A88" s="241">
        <v>37094</v>
      </c>
      <c r="B88" s="242">
        <v>18.100000000000001</v>
      </c>
      <c r="C88" s="238">
        <v>13</v>
      </c>
    </row>
    <row r="89" spans="1:3" x14ac:dyDescent="0.2">
      <c r="A89" s="241">
        <v>37095</v>
      </c>
      <c r="B89" s="242">
        <v>17.899999999999999</v>
      </c>
      <c r="C89" s="238">
        <v>2.6</v>
      </c>
    </row>
    <row r="90" spans="1:3" x14ac:dyDescent="0.2">
      <c r="A90" s="241">
        <v>37096</v>
      </c>
      <c r="B90" s="242">
        <v>16.899999999999999</v>
      </c>
      <c r="C90" s="238">
        <v>8.1999999999999993</v>
      </c>
    </row>
    <row r="91" spans="1:3" x14ac:dyDescent="0.2">
      <c r="A91" s="241">
        <v>37097</v>
      </c>
      <c r="B91" s="242">
        <v>17.899999999999999</v>
      </c>
      <c r="C91" s="238">
        <v>8.1999999999999993</v>
      </c>
    </row>
    <row r="92" spans="1:3" x14ac:dyDescent="0.2">
      <c r="A92" s="241">
        <v>37098</v>
      </c>
      <c r="B92" s="242">
        <v>21.2</v>
      </c>
      <c r="C92" s="238">
        <v>8.1</v>
      </c>
    </row>
    <row r="93" spans="1:3" x14ac:dyDescent="0.2">
      <c r="A93" s="241">
        <v>37099</v>
      </c>
      <c r="B93" s="242">
        <v>21.1</v>
      </c>
      <c r="C93" s="238">
        <v>5.5</v>
      </c>
    </row>
    <row r="94" spans="1:3" x14ac:dyDescent="0.2">
      <c r="A94" s="241">
        <v>37100</v>
      </c>
      <c r="B94" s="242">
        <v>17.7</v>
      </c>
      <c r="C94" s="238">
        <v>12.2</v>
      </c>
    </row>
    <row r="95" spans="1:3" x14ac:dyDescent="0.2">
      <c r="A95" s="241">
        <v>37101</v>
      </c>
      <c r="B95" s="242">
        <v>20</v>
      </c>
      <c r="C95" s="238">
        <v>12.6</v>
      </c>
    </row>
    <row r="96" spans="1:3" x14ac:dyDescent="0.2">
      <c r="A96" s="241">
        <v>37102</v>
      </c>
      <c r="B96" s="242">
        <v>19.899999999999999</v>
      </c>
      <c r="C96" s="238">
        <v>10.6</v>
      </c>
    </row>
    <row r="97" spans="1:3" x14ac:dyDescent="0.2">
      <c r="A97" s="241">
        <v>37103</v>
      </c>
      <c r="B97" s="242">
        <v>19</v>
      </c>
      <c r="C97" s="238">
        <v>5.9</v>
      </c>
    </row>
    <row r="98" spans="1:3" x14ac:dyDescent="0.2">
      <c r="A98" s="241">
        <v>37104</v>
      </c>
      <c r="B98" s="242">
        <v>16.899999999999999</v>
      </c>
      <c r="C98" s="238">
        <v>11.3</v>
      </c>
    </row>
    <row r="99" spans="1:3" x14ac:dyDescent="0.2">
      <c r="A99" s="241">
        <v>37105</v>
      </c>
      <c r="B99" s="242">
        <v>20</v>
      </c>
      <c r="C99" s="238">
        <v>5.3</v>
      </c>
    </row>
    <row r="100" spans="1:3" x14ac:dyDescent="0.2">
      <c r="A100" s="241">
        <v>37106</v>
      </c>
      <c r="B100" s="242">
        <v>19</v>
      </c>
      <c r="C100" s="238">
        <v>6.7</v>
      </c>
    </row>
    <row r="101" spans="1:3" x14ac:dyDescent="0.2">
      <c r="A101" s="241">
        <v>37107</v>
      </c>
      <c r="B101" s="242">
        <v>18.100000000000001</v>
      </c>
      <c r="C101" s="238">
        <v>9.5</v>
      </c>
    </row>
    <row r="102" spans="1:3" x14ac:dyDescent="0.2">
      <c r="A102" s="241">
        <v>37108</v>
      </c>
      <c r="B102" s="242">
        <v>16.899999999999999</v>
      </c>
      <c r="C102" s="238">
        <v>7.6</v>
      </c>
    </row>
    <row r="103" spans="1:3" x14ac:dyDescent="0.2">
      <c r="A103" s="241">
        <v>37109</v>
      </c>
      <c r="B103" s="242">
        <v>18</v>
      </c>
      <c r="C103" s="238">
        <v>1.3</v>
      </c>
    </row>
    <row r="104" spans="1:3" x14ac:dyDescent="0.2">
      <c r="A104" s="241">
        <v>37110</v>
      </c>
      <c r="B104" s="242">
        <v>18.2</v>
      </c>
      <c r="C104" s="238">
        <v>3.9</v>
      </c>
    </row>
    <row r="105" spans="1:3" x14ac:dyDescent="0.2">
      <c r="A105" s="241">
        <v>37111</v>
      </c>
      <c r="B105" s="242">
        <v>17.100000000000001</v>
      </c>
      <c r="C105" s="238">
        <v>8</v>
      </c>
    </row>
    <row r="106" spans="1:3" x14ac:dyDescent="0.2">
      <c r="A106" s="241">
        <v>37112</v>
      </c>
      <c r="B106" s="242">
        <v>15.5</v>
      </c>
      <c r="C106" s="238">
        <v>1.6</v>
      </c>
    </row>
    <row r="107" spans="1:3" x14ac:dyDescent="0.2">
      <c r="A107" s="241">
        <v>37113</v>
      </c>
      <c r="B107" s="242">
        <v>15.1</v>
      </c>
      <c r="C107" s="238">
        <v>8.1</v>
      </c>
    </row>
    <row r="108" spans="1:3" x14ac:dyDescent="0.2">
      <c r="A108" s="241">
        <v>37114</v>
      </c>
      <c r="B108" s="242">
        <v>17.7</v>
      </c>
      <c r="C108" s="238">
        <v>8.6999999999999993</v>
      </c>
    </row>
    <row r="109" spans="1:3" x14ac:dyDescent="0.2">
      <c r="A109" s="241">
        <v>37115</v>
      </c>
      <c r="B109" s="242">
        <v>17.100000000000001</v>
      </c>
      <c r="C109" s="238">
        <v>0</v>
      </c>
    </row>
    <row r="110" spans="1:3" x14ac:dyDescent="0.2">
      <c r="A110" s="241">
        <v>37116</v>
      </c>
      <c r="B110" s="242">
        <v>18.600000000000001</v>
      </c>
      <c r="C110" s="238">
        <v>0.2</v>
      </c>
    </row>
    <row r="111" spans="1:3" x14ac:dyDescent="0.2">
      <c r="A111" s="241">
        <v>37117</v>
      </c>
      <c r="B111" s="242">
        <v>19.7</v>
      </c>
      <c r="C111" s="238">
        <v>8.9</v>
      </c>
    </row>
    <row r="112" spans="1:3" x14ac:dyDescent="0.2">
      <c r="A112" s="241">
        <v>37118</v>
      </c>
      <c r="B112" s="242">
        <v>24.7</v>
      </c>
      <c r="C112" s="238">
        <v>8.6999999999999993</v>
      </c>
    </row>
    <row r="113" spans="1:3" x14ac:dyDescent="0.2">
      <c r="A113" s="241">
        <v>37119</v>
      </c>
      <c r="B113" s="242">
        <v>19.2</v>
      </c>
      <c r="C113" s="238">
        <v>7.3</v>
      </c>
    </row>
    <row r="114" spans="1:3" x14ac:dyDescent="0.2">
      <c r="A114" s="241">
        <v>37120</v>
      </c>
      <c r="B114" s="242">
        <v>17.8</v>
      </c>
      <c r="C114" s="238">
        <v>10.5</v>
      </c>
    </row>
    <row r="115" spans="1:3" x14ac:dyDescent="0.2">
      <c r="A115" s="241">
        <v>37121</v>
      </c>
      <c r="B115" s="242">
        <v>19.100000000000001</v>
      </c>
      <c r="C115" s="238">
        <v>4</v>
      </c>
    </row>
    <row r="116" spans="1:3" x14ac:dyDescent="0.2">
      <c r="A116" s="241">
        <v>37122</v>
      </c>
      <c r="B116" s="242">
        <v>19.5</v>
      </c>
      <c r="C116" s="238">
        <v>5.6</v>
      </c>
    </row>
    <row r="117" spans="1:3" x14ac:dyDescent="0.2">
      <c r="A117" s="241">
        <v>37123</v>
      </c>
      <c r="B117" s="242">
        <v>17.899999999999999</v>
      </c>
      <c r="C117" s="238">
        <v>8.4</v>
      </c>
    </row>
    <row r="118" spans="1:3" x14ac:dyDescent="0.2">
      <c r="A118" s="241">
        <v>37124</v>
      </c>
      <c r="B118" s="242">
        <v>17.8</v>
      </c>
      <c r="C118" s="238">
        <v>9.8000000000000007</v>
      </c>
    </row>
    <row r="119" spans="1:3" x14ac:dyDescent="0.2">
      <c r="A119" s="241">
        <v>37125</v>
      </c>
      <c r="B119" s="242">
        <v>19.600000000000001</v>
      </c>
      <c r="C119" s="238">
        <v>4.7</v>
      </c>
    </row>
    <row r="120" spans="1:3" x14ac:dyDescent="0.2">
      <c r="A120" s="241">
        <v>37126</v>
      </c>
      <c r="B120" s="242">
        <v>20.5</v>
      </c>
      <c r="C120" s="238">
        <v>2.2999999999999998</v>
      </c>
    </row>
    <row r="121" spans="1:3" x14ac:dyDescent="0.2">
      <c r="A121" s="241">
        <v>37127</v>
      </c>
      <c r="B121" s="242">
        <v>21.8</v>
      </c>
      <c r="C121" s="238">
        <v>9.3000000000000007</v>
      </c>
    </row>
    <row r="122" spans="1:3" x14ac:dyDescent="0.2">
      <c r="A122" s="241">
        <v>37128</v>
      </c>
      <c r="B122" s="242">
        <v>24.4</v>
      </c>
      <c r="C122" s="238">
        <v>10.4</v>
      </c>
    </row>
    <row r="123" spans="1:3" x14ac:dyDescent="0.2">
      <c r="A123" s="241">
        <v>37129</v>
      </c>
      <c r="B123" s="242">
        <v>21.1</v>
      </c>
      <c r="C123" s="238">
        <v>2.5</v>
      </c>
    </row>
    <row r="124" spans="1:3" x14ac:dyDescent="0.2">
      <c r="A124" s="241">
        <v>37130</v>
      </c>
      <c r="B124" s="242">
        <v>17.100000000000001</v>
      </c>
      <c r="C124" s="238">
        <v>11.9</v>
      </c>
    </row>
    <row r="125" spans="1:3" x14ac:dyDescent="0.2">
      <c r="A125" s="241">
        <v>37131</v>
      </c>
      <c r="B125" s="242">
        <v>15.3</v>
      </c>
      <c r="C125" s="238">
        <v>9.8000000000000007</v>
      </c>
    </row>
    <row r="126" spans="1:3" x14ac:dyDescent="0.2">
      <c r="A126" s="241">
        <v>37132</v>
      </c>
      <c r="B126" s="242">
        <v>15</v>
      </c>
      <c r="C126" s="238">
        <v>9</v>
      </c>
    </row>
    <row r="127" spans="1:3" x14ac:dyDescent="0.2">
      <c r="A127" s="241">
        <v>37133</v>
      </c>
      <c r="B127" s="242">
        <v>16.399999999999999</v>
      </c>
      <c r="C127" s="238">
        <v>0.9</v>
      </c>
    </row>
    <row r="128" spans="1:3" x14ac:dyDescent="0.2">
      <c r="A128" s="241">
        <v>37134</v>
      </c>
      <c r="B128" s="242">
        <v>16.100000000000001</v>
      </c>
      <c r="C128" s="238">
        <v>1.7</v>
      </c>
    </row>
    <row r="129" spans="1:3" x14ac:dyDescent="0.2">
      <c r="A129" s="241">
        <v>37135</v>
      </c>
      <c r="B129" s="242">
        <v>16.399999999999999</v>
      </c>
      <c r="C129" s="238">
        <v>5.2</v>
      </c>
    </row>
    <row r="130" spans="1:3" x14ac:dyDescent="0.2">
      <c r="A130" s="241">
        <v>37136</v>
      </c>
      <c r="B130" s="242">
        <v>17.600000000000001</v>
      </c>
      <c r="C130" s="238">
        <v>0</v>
      </c>
    </row>
    <row r="131" spans="1:3" x14ac:dyDescent="0.2">
      <c r="A131" s="241">
        <v>37137</v>
      </c>
      <c r="B131" s="242">
        <v>16.3</v>
      </c>
      <c r="C131" s="238">
        <v>0.3</v>
      </c>
    </row>
    <row r="132" spans="1:3" x14ac:dyDescent="0.2">
      <c r="A132" s="241">
        <v>37138</v>
      </c>
      <c r="B132" s="242">
        <v>14.8</v>
      </c>
      <c r="C132" s="238">
        <v>4.2</v>
      </c>
    </row>
    <row r="133" spans="1:3" x14ac:dyDescent="0.2">
      <c r="A133" s="241">
        <v>37139</v>
      </c>
      <c r="B133" s="242">
        <v>15</v>
      </c>
      <c r="C133" s="238">
        <v>2.9</v>
      </c>
    </row>
    <row r="134" spans="1:3" x14ac:dyDescent="0.2">
      <c r="A134" s="241">
        <v>37140</v>
      </c>
      <c r="B134" s="242">
        <v>16.2</v>
      </c>
      <c r="C134" s="238">
        <v>7.5</v>
      </c>
    </row>
    <row r="135" spans="1:3" x14ac:dyDescent="0.2">
      <c r="A135" s="241">
        <v>37141</v>
      </c>
      <c r="B135" s="242">
        <v>16.3</v>
      </c>
      <c r="C135" s="238">
        <v>0.4</v>
      </c>
    </row>
    <row r="136" spans="1:3" x14ac:dyDescent="0.2">
      <c r="A136" s="241">
        <v>37142</v>
      </c>
      <c r="B136" s="242">
        <v>14</v>
      </c>
      <c r="C136" s="238">
        <v>8.1999999999999993</v>
      </c>
    </row>
    <row r="137" spans="1:3" x14ac:dyDescent="0.2">
      <c r="A137" s="241">
        <v>37143</v>
      </c>
      <c r="B137" s="242">
        <v>13.9</v>
      </c>
      <c r="C137" s="238">
        <v>6.3</v>
      </c>
    </row>
    <row r="138" spans="1:3" x14ac:dyDescent="0.2">
      <c r="A138" s="241">
        <v>37144</v>
      </c>
      <c r="B138" s="242">
        <v>13.6</v>
      </c>
      <c r="C138" s="238">
        <v>3.5</v>
      </c>
    </row>
    <row r="139" spans="1:3" x14ac:dyDescent="0.2">
      <c r="A139" s="241">
        <v>37145</v>
      </c>
      <c r="B139" s="242">
        <v>14.6</v>
      </c>
      <c r="C139" s="238">
        <v>4.7</v>
      </c>
    </row>
    <row r="140" spans="1:3" x14ac:dyDescent="0.2">
      <c r="A140" s="241">
        <v>37146</v>
      </c>
      <c r="B140" s="242">
        <v>16</v>
      </c>
      <c r="C140" s="238">
        <v>2.1</v>
      </c>
    </row>
    <row r="141" spans="1:3" x14ac:dyDescent="0.2">
      <c r="A141" s="241">
        <v>37147</v>
      </c>
      <c r="B141" s="242">
        <v>13.3</v>
      </c>
      <c r="C141" s="238">
        <v>3.4</v>
      </c>
    </row>
    <row r="142" spans="1:3" x14ac:dyDescent="0.2">
      <c r="A142" s="241">
        <v>37148</v>
      </c>
      <c r="B142" s="242">
        <v>13.5</v>
      </c>
      <c r="C142" s="238">
        <v>7.3</v>
      </c>
    </row>
    <row r="143" spans="1:3" x14ac:dyDescent="0.2">
      <c r="A143" s="241">
        <v>37149</v>
      </c>
      <c r="B143" s="242">
        <v>13.9</v>
      </c>
      <c r="C143" s="238">
        <v>5.8</v>
      </c>
    </row>
    <row r="144" spans="1:3" x14ac:dyDescent="0.2">
      <c r="A144" s="241">
        <v>37150</v>
      </c>
      <c r="B144" s="242">
        <v>12.2</v>
      </c>
      <c r="C144" s="238">
        <v>3.6</v>
      </c>
    </row>
    <row r="145" spans="1:3" x14ac:dyDescent="0.2">
      <c r="A145" s="241">
        <v>37151</v>
      </c>
      <c r="B145" s="242">
        <v>12.8</v>
      </c>
      <c r="C145" s="238">
        <v>2.6</v>
      </c>
    </row>
    <row r="146" spans="1:3" x14ac:dyDescent="0.2">
      <c r="A146" s="241">
        <v>37152</v>
      </c>
      <c r="B146" s="242">
        <v>11.4</v>
      </c>
      <c r="C146" s="238">
        <v>0.4</v>
      </c>
    </row>
    <row r="147" spans="1:3" x14ac:dyDescent="0.2">
      <c r="A147" s="241">
        <v>37153</v>
      </c>
      <c r="B147" s="242">
        <v>11.3</v>
      </c>
      <c r="C147" s="238">
        <v>0</v>
      </c>
    </row>
    <row r="148" spans="1:3" x14ac:dyDescent="0.2">
      <c r="A148" s="241">
        <v>37154</v>
      </c>
      <c r="B148" s="242">
        <v>12.5</v>
      </c>
      <c r="C148" s="238">
        <v>2.1</v>
      </c>
    </row>
    <row r="149" spans="1:3" x14ac:dyDescent="0.2">
      <c r="A149" s="241">
        <v>37155</v>
      </c>
      <c r="B149" s="242">
        <v>14.1</v>
      </c>
      <c r="C149" s="238">
        <v>8.5</v>
      </c>
    </row>
    <row r="150" spans="1:3" x14ac:dyDescent="0.2">
      <c r="A150" s="241">
        <v>37156</v>
      </c>
      <c r="B150" s="242">
        <v>14</v>
      </c>
      <c r="C150" s="238">
        <v>4.5999999999999996</v>
      </c>
    </row>
    <row r="151" spans="1:3" x14ac:dyDescent="0.2">
      <c r="A151" s="241">
        <v>37157</v>
      </c>
      <c r="B151" s="242">
        <v>12.8</v>
      </c>
      <c r="C151" s="238">
        <v>5.7</v>
      </c>
    </row>
    <row r="152" spans="1:3" x14ac:dyDescent="0.2">
      <c r="A152" s="241">
        <v>37158</v>
      </c>
      <c r="B152" s="242">
        <v>12.9</v>
      </c>
      <c r="C152" s="238">
        <v>1.7</v>
      </c>
    </row>
    <row r="153" spans="1:3" x14ac:dyDescent="0.2">
      <c r="A153" s="241">
        <v>37159</v>
      </c>
      <c r="B153" s="242">
        <v>12.7</v>
      </c>
      <c r="C153" s="238">
        <v>4.3</v>
      </c>
    </row>
    <row r="154" spans="1:3" x14ac:dyDescent="0.2">
      <c r="A154" s="241">
        <v>37160</v>
      </c>
      <c r="B154" s="242">
        <v>13.8</v>
      </c>
      <c r="C154" s="238">
        <v>8.4</v>
      </c>
    </row>
    <row r="155" spans="1:3" x14ac:dyDescent="0.2">
      <c r="A155" s="241">
        <v>37161</v>
      </c>
      <c r="B155" s="242">
        <v>15.1</v>
      </c>
      <c r="C155" s="238">
        <v>4.2</v>
      </c>
    </row>
    <row r="156" spans="1:3" x14ac:dyDescent="0.2">
      <c r="A156" s="241">
        <v>37162</v>
      </c>
      <c r="B156" s="242">
        <v>16.899999999999999</v>
      </c>
      <c r="C156" s="238">
        <v>9.4</v>
      </c>
    </row>
    <row r="157" spans="1:3" x14ac:dyDescent="0.2">
      <c r="A157" s="241">
        <v>37163</v>
      </c>
      <c r="B157" s="242">
        <v>15.4</v>
      </c>
      <c r="C157" s="238">
        <v>2.9</v>
      </c>
    </row>
    <row r="158" spans="1:3" x14ac:dyDescent="0.2">
      <c r="A158" s="241">
        <v>37164</v>
      </c>
      <c r="B158" s="242">
        <v>16.600000000000001</v>
      </c>
      <c r="C158" s="238">
        <v>6</v>
      </c>
    </row>
    <row r="159" spans="1:3" x14ac:dyDescent="0.2">
      <c r="A159" s="241">
        <v>37165</v>
      </c>
      <c r="B159" s="242">
        <v>17.100000000000001</v>
      </c>
      <c r="C159" s="238">
        <v>0.7</v>
      </c>
    </row>
    <row r="160" spans="1:3" x14ac:dyDescent="0.2">
      <c r="A160" s="241">
        <v>37166</v>
      </c>
      <c r="B160" s="242">
        <v>16</v>
      </c>
      <c r="C160" s="238">
        <v>0.9</v>
      </c>
    </row>
    <row r="161" spans="1:3" x14ac:dyDescent="0.2">
      <c r="A161" s="241">
        <v>37167</v>
      </c>
      <c r="B161" s="242">
        <v>16.100000000000001</v>
      </c>
      <c r="C161" s="238">
        <v>7</v>
      </c>
    </row>
    <row r="162" spans="1:3" x14ac:dyDescent="0.2">
      <c r="A162" s="241">
        <v>37168</v>
      </c>
      <c r="B162" s="242">
        <v>15.5</v>
      </c>
      <c r="C162" s="238">
        <v>6.4</v>
      </c>
    </row>
    <row r="163" spans="1:3" x14ac:dyDescent="0.2">
      <c r="A163" s="241">
        <v>37169</v>
      </c>
      <c r="B163" s="242">
        <v>14.9</v>
      </c>
      <c r="C163" s="238">
        <v>8</v>
      </c>
    </row>
    <row r="164" spans="1:3" x14ac:dyDescent="0.2">
      <c r="A164" s="241">
        <v>37170</v>
      </c>
      <c r="B164" s="242">
        <v>16.2</v>
      </c>
      <c r="C164" s="238">
        <v>4.9000000000000004</v>
      </c>
    </row>
    <row r="165" spans="1:3" x14ac:dyDescent="0.2">
      <c r="A165" s="241">
        <v>37171</v>
      </c>
      <c r="B165" s="242">
        <v>15.8</v>
      </c>
      <c r="C165" s="238">
        <v>4.4000000000000004</v>
      </c>
    </row>
    <row r="166" spans="1:3" x14ac:dyDescent="0.2">
      <c r="A166" s="241">
        <v>37172</v>
      </c>
      <c r="B166" s="242">
        <v>15.4</v>
      </c>
      <c r="C166" s="238">
        <v>7.9</v>
      </c>
    </row>
    <row r="167" spans="1:3" x14ac:dyDescent="0.2">
      <c r="A167" s="241">
        <v>37173</v>
      </c>
      <c r="B167" s="242">
        <v>14.6</v>
      </c>
      <c r="C167" s="238">
        <v>2</v>
      </c>
    </row>
    <row r="168" spans="1:3" x14ac:dyDescent="0.2">
      <c r="A168" s="241">
        <v>37174</v>
      </c>
      <c r="B168" s="242">
        <v>15.4</v>
      </c>
      <c r="C168" s="238">
        <v>6</v>
      </c>
    </row>
    <row r="169" spans="1:3" x14ac:dyDescent="0.2">
      <c r="A169" s="241">
        <v>37175</v>
      </c>
      <c r="B169" s="242">
        <v>15.6</v>
      </c>
      <c r="C169" s="238">
        <v>1.5</v>
      </c>
    </row>
    <row r="170" spans="1:3" x14ac:dyDescent="0.2">
      <c r="A170" s="241">
        <v>37176</v>
      </c>
      <c r="B170" s="242">
        <v>16.3</v>
      </c>
      <c r="C170" s="238">
        <v>8.3000000000000007</v>
      </c>
    </row>
    <row r="171" spans="1:3" x14ac:dyDescent="0.2">
      <c r="A171" s="241">
        <v>37177</v>
      </c>
      <c r="B171" s="242">
        <v>18.7</v>
      </c>
      <c r="C171" s="238">
        <v>7.5</v>
      </c>
    </row>
    <row r="172" spans="1:3" x14ac:dyDescent="0.2">
      <c r="A172" s="241">
        <v>37178</v>
      </c>
      <c r="B172" s="242">
        <v>17.5</v>
      </c>
      <c r="C172" s="238">
        <v>4</v>
      </c>
    </row>
    <row r="173" spans="1:3" x14ac:dyDescent="0.2">
      <c r="A173" s="241">
        <v>37179</v>
      </c>
      <c r="B173" s="242">
        <v>17.3</v>
      </c>
      <c r="C173" s="238">
        <v>5.8</v>
      </c>
    </row>
    <row r="174" spans="1:3" x14ac:dyDescent="0.2">
      <c r="A174" s="241">
        <v>37180</v>
      </c>
      <c r="B174" s="242">
        <v>13.5</v>
      </c>
      <c r="C174" s="238">
        <v>6.4</v>
      </c>
    </row>
    <row r="175" spans="1:3" x14ac:dyDescent="0.2">
      <c r="A175" s="241">
        <v>37181</v>
      </c>
      <c r="B175" s="242">
        <v>14.1</v>
      </c>
      <c r="C175" s="238">
        <v>7</v>
      </c>
    </row>
    <row r="176" spans="1:3" x14ac:dyDescent="0.2">
      <c r="A176" s="241">
        <v>37182</v>
      </c>
      <c r="B176" s="242">
        <v>14.8</v>
      </c>
      <c r="C176" s="238">
        <v>1.7</v>
      </c>
    </row>
    <row r="177" spans="1:3" x14ac:dyDescent="0.2">
      <c r="A177" s="241">
        <v>37183</v>
      </c>
      <c r="B177" s="242">
        <v>15.2</v>
      </c>
      <c r="C177" s="238">
        <v>2.7</v>
      </c>
    </row>
    <row r="178" spans="1:3" x14ac:dyDescent="0.2">
      <c r="A178" s="241">
        <v>37184</v>
      </c>
      <c r="B178" s="242">
        <v>15.5</v>
      </c>
      <c r="C178" s="238">
        <v>3</v>
      </c>
    </row>
    <row r="179" spans="1:3" x14ac:dyDescent="0.2">
      <c r="A179" s="241">
        <v>37185</v>
      </c>
      <c r="B179" s="242">
        <v>14.7</v>
      </c>
      <c r="C179" s="238">
        <v>1.9</v>
      </c>
    </row>
    <row r="180" spans="1:3" x14ac:dyDescent="0.2">
      <c r="A180" s="241">
        <v>37186</v>
      </c>
      <c r="B180" s="242">
        <v>13.8</v>
      </c>
      <c r="C180" s="238">
        <v>0</v>
      </c>
    </row>
    <row r="181" spans="1:3" x14ac:dyDescent="0.2">
      <c r="A181" s="241">
        <v>37187</v>
      </c>
      <c r="B181" s="242">
        <v>13.4</v>
      </c>
      <c r="C181" s="238">
        <v>0</v>
      </c>
    </row>
    <row r="182" spans="1:3" x14ac:dyDescent="0.2">
      <c r="A182" s="241">
        <v>37188</v>
      </c>
      <c r="B182" s="242">
        <v>13.1</v>
      </c>
      <c r="C182" s="238">
        <v>2.7</v>
      </c>
    </row>
    <row r="183" spans="1:3" x14ac:dyDescent="0.2">
      <c r="A183" s="241">
        <v>37189</v>
      </c>
      <c r="B183" s="242">
        <v>13.7</v>
      </c>
      <c r="C183" s="238">
        <v>4.4000000000000004</v>
      </c>
    </row>
    <row r="184" spans="1:3" x14ac:dyDescent="0.2">
      <c r="A184" s="241">
        <v>37190</v>
      </c>
      <c r="B184" s="242">
        <v>13.6</v>
      </c>
      <c r="C184" s="238">
        <v>5.0999999999999996</v>
      </c>
    </row>
    <row r="185" spans="1:3" x14ac:dyDescent="0.2">
      <c r="A185" s="241">
        <v>37191</v>
      </c>
      <c r="B185" s="242">
        <v>14.7</v>
      </c>
      <c r="C185" s="238">
        <v>6.8</v>
      </c>
    </row>
    <row r="186" spans="1:3" x14ac:dyDescent="0.2">
      <c r="A186" s="241">
        <v>37192</v>
      </c>
      <c r="B186" s="242">
        <v>13.5</v>
      </c>
      <c r="C186" s="238">
        <v>6.4</v>
      </c>
    </row>
    <row r="187" spans="1:3" x14ac:dyDescent="0.2">
      <c r="A187" s="241">
        <v>37193</v>
      </c>
      <c r="B187" s="242">
        <v>14</v>
      </c>
      <c r="C187" s="238">
        <v>2.2000000000000002</v>
      </c>
    </row>
    <row r="188" spans="1:3" x14ac:dyDescent="0.2">
      <c r="A188" s="241">
        <v>37194</v>
      </c>
      <c r="B188" s="242">
        <v>16.399999999999999</v>
      </c>
      <c r="C188" s="238">
        <v>6</v>
      </c>
    </row>
    <row r="189" spans="1:3" x14ac:dyDescent="0.2">
      <c r="A189" s="241">
        <v>37195</v>
      </c>
      <c r="B189" s="242">
        <v>12.9</v>
      </c>
      <c r="C189" s="238">
        <v>4.0999999999999996</v>
      </c>
    </row>
    <row r="190" spans="1:3" x14ac:dyDescent="0.2">
      <c r="A190" s="241">
        <v>37196</v>
      </c>
      <c r="B190" s="242">
        <v>11.8</v>
      </c>
      <c r="C190" s="238">
        <v>5.9</v>
      </c>
    </row>
    <row r="191" spans="1:3" x14ac:dyDescent="0.2">
      <c r="A191" s="241">
        <v>37197</v>
      </c>
      <c r="B191" s="242">
        <v>12.9</v>
      </c>
      <c r="C191" s="238">
        <v>5.0999999999999996</v>
      </c>
    </row>
    <row r="192" spans="1:3" x14ac:dyDescent="0.2">
      <c r="A192" s="241">
        <v>37198</v>
      </c>
      <c r="B192" s="242">
        <v>12.8</v>
      </c>
      <c r="C192" s="238">
        <v>2.1</v>
      </c>
    </row>
    <row r="193" spans="1:3" x14ac:dyDescent="0.2">
      <c r="A193" s="241">
        <v>37199</v>
      </c>
      <c r="B193" s="242">
        <v>12.1</v>
      </c>
      <c r="C193" s="238">
        <v>0.3</v>
      </c>
    </row>
    <row r="194" spans="1:3" x14ac:dyDescent="0.2">
      <c r="A194" s="241">
        <v>37200</v>
      </c>
      <c r="B194" s="242">
        <v>10.3</v>
      </c>
      <c r="C194" s="238">
        <v>3.5</v>
      </c>
    </row>
    <row r="195" spans="1:3" x14ac:dyDescent="0.2">
      <c r="A195" s="241">
        <v>37201</v>
      </c>
      <c r="B195" s="242">
        <v>11.9</v>
      </c>
      <c r="C195" s="238">
        <v>1</v>
      </c>
    </row>
    <row r="196" spans="1:3" x14ac:dyDescent="0.2">
      <c r="A196" s="241">
        <v>37202</v>
      </c>
      <c r="B196" s="242">
        <v>10.4</v>
      </c>
      <c r="C196" s="238">
        <v>0.2</v>
      </c>
    </row>
    <row r="197" spans="1:3" x14ac:dyDescent="0.2">
      <c r="A197" s="241">
        <v>37203</v>
      </c>
      <c r="B197" s="242">
        <v>7.1</v>
      </c>
      <c r="C197" s="238">
        <v>0.6</v>
      </c>
    </row>
    <row r="198" spans="1:3" x14ac:dyDescent="0.2">
      <c r="A198" s="241">
        <v>37204</v>
      </c>
      <c r="B198" s="242">
        <v>2.7</v>
      </c>
      <c r="C198" s="238">
        <v>4.8</v>
      </c>
    </row>
    <row r="199" spans="1:3" x14ac:dyDescent="0.2">
      <c r="A199" s="241">
        <v>37205</v>
      </c>
      <c r="B199" s="242">
        <v>5.9</v>
      </c>
      <c r="C199" s="238">
        <v>0.6</v>
      </c>
    </row>
    <row r="200" spans="1:3" x14ac:dyDescent="0.2">
      <c r="A200" s="241">
        <v>37206</v>
      </c>
      <c r="B200" s="242">
        <v>11.3</v>
      </c>
      <c r="C200" s="238">
        <v>0.3</v>
      </c>
    </row>
    <row r="201" spans="1:3" x14ac:dyDescent="0.2">
      <c r="A201" s="241">
        <v>37207</v>
      </c>
      <c r="B201" s="242">
        <v>10.4</v>
      </c>
      <c r="C201" s="238">
        <v>0</v>
      </c>
    </row>
    <row r="202" spans="1:3" x14ac:dyDescent="0.2">
      <c r="A202" s="241">
        <v>37208</v>
      </c>
      <c r="B202" s="242">
        <v>5.3</v>
      </c>
      <c r="C202" s="238">
        <v>0.7</v>
      </c>
    </row>
    <row r="203" spans="1:3" x14ac:dyDescent="0.2">
      <c r="A203" s="241">
        <v>37209</v>
      </c>
      <c r="B203" s="242">
        <v>4.2</v>
      </c>
      <c r="C203" s="238">
        <v>6.8</v>
      </c>
    </row>
    <row r="204" spans="1:3" x14ac:dyDescent="0.2">
      <c r="A204" s="241">
        <v>37210</v>
      </c>
      <c r="B204" s="242">
        <v>5.3</v>
      </c>
      <c r="C204" s="238">
        <v>7.2</v>
      </c>
    </row>
    <row r="205" spans="1:3" x14ac:dyDescent="0.2">
      <c r="A205" s="241">
        <v>37211</v>
      </c>
      <c r="B205" s="242">
        <v>9.9</v>
      </c>
      <c r="C205" s="238">
        <v>0.2</v>
      </c>
    </row>
    <row r="206" spans="1:3" x14ac:dyDescent="0.2">
      <c r="A206" s="241">
        <v>37212</v>
      </c>
      <c r="B206" s="242">
        <v>8.4</v>
      </c>
      <c r="C206" s="238">
        <v>0</v>
      </c>
    </row>
    <row r="207" spans="1:3" x14ac:dyDescent="0.2">
      <c r="A207" s="241">
        <v>37213</v>
      </c>
      <c r="B207" s="242">
        <v>8.1</v>
      </c>
      <c r="C207" s="238">
        <v>2.1</v>
      </c>
    </row>
    <row r="208" spans="1:3" x14ac:dyDescent="0.2">
      <c r="A208" s="241">
        <v>37214</v>
      </c>
      <c r="B208" s="242">
        <v>8.6</v>
      </c>
      <c r="C208" s="238">
        <v>2.2000000000000002</v>
      </c>
    </row>
    <row r="209" spans="1:3" x14ac:dyDescent="0.2">
      <c r="A209" s="241">
        <v>37215</v>
      </c>
      <c r="B209" s="242">
        <v>9.9</v>
      </c>
      <c r="C209" s="238">
        <v>0.2</v>
      </c>
    </row>
    <row r="210" spans="1:3" x14ac:dyDescent="0.2">
      <c r="A210" s="241">
        <v>37216</v>
      </c>
      <c r="B210" s="242">
        <v>11.2</v>
      </c>
      <c r="C210" s="238">
        <v>0</v>
      </c>
    </row>
    <row r="211" spans="1:3" x14ac:dyDescent="0.2">
      <c r="A211" s="241">
        <v>37217</v>
      </c>
      <c r="B211" s="242">
        <v>8.3000000000000007</v>
      </c>
      <c r="C211" s="238">
        <v>0</v>
      </c>
    </row>
    <row r="212" spans="1:3" x14ac:dyDescent="0.2">
      <c r="A212" s="241">
        <v>37218</v>
      </c>
      <c r="B212" s="242">
        <v>5.6</v>
      </c>
      <c r="C212" s="238">
        <v>1.4</v>
      </c>
    </row>
    <row r="213" spans="1:3" x14ac:dyDescent="0.2">
      <c r="A213" s="241">
        <v>37219</v>
      </c>
      <c r="B213" s="242">
        <v>9.6</v>
      </c>
      <c r="C213" s="238">
        <v>0</v>
      </c>
    </row>
    <row r="214" spans="1:3" x14ac:dyDescent="0.2">
      <c r="A214" s="241">
        <v>37220</v>
      </c>
      <c r="B214" s="242">
        <v>10.6</v>
      </c>
      <c r="C214" s="238">
        <v>0.3</v>
      </c>
    </row>
    <row r="215" spans="1:3" x14ac:dyDescent="0.2">
      <c r="A215" s="241">
        <v>37221</v>
      </c>
      <c r="B215" s="242">
        <v>6.6</v>
      </c>
      <c r="C215" s="238">
        <v>4.3</v>
      </c>
    </row>
    <row r="216" spans="1:3" x14ac:dyDescent="0.2">
      <c r="A216" s="241">
        <v>37222</v>
      </c>
      <c r="B216" s="242">
        <v>6.1</v>
      </c>
      <c r="C216" s="238">
        <v>5.0999999999999996</v>
      </c>
    </row>
    <row r="217" spans="1:3" x14ac:dyDescent="0.2">
      <c r="A217" s="241">
        <v>37223</v>
      </c>
      <c r="B217" s="242">
        <v>8.6999999999999993</v>
      </c>
      <c r="C217" s="238">
        <v>2.5</v>
      </c>
    </row>
    <row r="218" spans="1:3" x14ac:dyDescent="0.2">
      <c r="A218" s="241">
        <v>37224</v>
      </c>
      <c r="B218" s="242">
        <v>10</v>
      </c>
      <c r="C218" s="238">
        <v>0</v>
      </c>
    </row>
    <row r="219" spans="1:3" x14ac:dyDescent="0.2">
      <c r="A219" s="241">
        <v>37225</v>
      </c>
      <c r="B219" s="242">
        <v>11.4</v>
      </c>
      <c r="C219" s="238">
        <v>0</v>
      </c>
    </row>
    <row r="220" spans="1:3" x14ac:dyDescent="0.2">
      <c r="A220" s="241">
        <v>37226</v>
      </c>
      <c r="B220" s="242">
        <v>11.7</v>
      </c>
      <c r="C220" s="238">
        <v>0</v>
      </c>
    </row>
    <row r="221" spans="1:3" x14ac:dyDescent="0.2">
      <c r="A221" s="241">
        <v>37227</v>
      </c>
      <c r="B221" s="242">
        <v>7.4</v>
      </c>
      <c r="C221" s="238">
        <v>0.2</v>
      </c>
    </row>
    <row r="222" spans="1:3" x14ac:dyDescent="0.2">
      <c r="A222" s="241">
        <v>37228</v>
      </c>
      <c r="B222" s="242">
        <v>8</v>
      </c>
      <c r="C222" s="238">
        <v>0.2</v>
      </c>
    </row>
    <row r="223" spans="1:3" x14ac:dyDescent="0.2">
      <c r="A223" s="241">
        <v>37229</v>
      </c>
      <c r="B223" s="242">
        <v>9.9</v>
      </c>
      <c r="C223" s="238">
        <v>1.7</v>
      </c>
    </row>
    <row r="224" spans="1:3" x14ac:dyDescent="0.2">
      <c r="A224" s="241">
        <v>37230</v>
      </c>
      <c r="B224" s="242">
        <v>9.4</v>
      </c>
      <c r="C224" s="238">
        <v>0.7</v>
      </c>
    </row>
    <row r="225" spans="1:3" x14ac:dyDescent="0.2">
      <c r="A225" s="241">
        <v>37231</v>
      </c>
      <c r="B225" s="242">
        <v>6.1</v>
      </c>
      <c r="C225" s="238">
        <v>4.5999999999999996</v>
      </c>
    </row>
    <row r="226" spans="1:3" x14ac:dyDescent="0.2">
      <c r="A226" s="241">
        <v>37232</v>
      </c>
      <c r="B226" s="242">
        <v>2.7</v>
      </c>
      <c r="C226" s="238">
        <v>6.7</v>
      </c>
    </row>
    <row r="227" spans="1:3" x14ac:dyDescent="0.2">
      <c r="A227" s="241">
        <v>37233</v>
      </c>
      <c r="B227" s="242">
        <v>1.4</v>
      </c>
      <c r="C227" s="238">
        <v>5.2</v>
      </c>
    </row>
    <row r="228" spans="1:3" x14ac:dyDescent="0.2">
      <c r="A228" s="241">
        <v>37234</v>
      </c>
      <c r="B228" s="242">
        <v>-0.1</v>
      </c>
      <c r="C228" s="238">
        <v>1.2</v>
      </c>
    </row>
    <row r="229" spans="1:3" x14ac:dyDescent="0.2">
      <c r="A229" s="241">
        <v>37235</v>
      </c>
      <c r="B229" s="242">
        <v>1</v>
      </c>
      <c r="C229" s="238">
        <v>6</v>
      </c>
    </row>
    <row r="230" spans="1:3" x14ac:dyDescent="0.2">
      <c r="A230" s="241">
        <v>37236</v>
      </c>
      <c r="B230" s="242">
        <v>5.4</v>
      </c>
      <c r="C230" s="238">
        <v>5.5</v>
      </c>
    </row>
    <row r="231" spans="1:3" x14ac:dyDescent="0.2">
      <c r="A231" s="241">
        <v>37237</v>
      </c>
      <c r="B231" s="242">
        <v>4.8</v>
      </c>
      <c r="C231" s="238">
        <v>0</v>
      </c>
    </row>
    <row r="232" spans="1:3" x14ac:dyDescent="0.2">
      <c r="A232" s="241">
        <v>37238</v>
      </c>
      <c r="B232" s="242">
        <v>2.4</v>
      </c>
      <c r="C232" s="238">
        <v>0</v>
      </c>
    </row>
    <row r="233" spans="1:3" x14ac:dyDescent="0.2">
      <c r="A233" s="241">
        <v>37239</v>
      </c>
      <c r="B233" s="242">
        <v>-3.1</v>
      </c>
      <c r="C233" s="238">
        <v>4.5999999999999996</v>
      </c>
    </row>
    <row r="234" spans="1:3" x14ac:dyDescent="0.2">
      <c r="A234" s="241">
        <v>37240</v>
      </c>
      <c r="B234" s="242">
        <v>0.3</v>
      </c>
      <c r="C234" s="238">
        <v>0.5</v>
      </c>
    </row>
    <row r="235" spans="1:3" x14ac:dyDescent="0.2">
      <c r="A235" s="241">
        <v>37241</v>
      </c>
      <c r="B235" s="242">
        <v>-1.4</v>
      </c>
      <c r="C235" s="238">
        <v>3.7</v>
      </c>
    </row>
    <row r="236" spans="1:3" x14ac:dyDescent="0.2">
      <c r="A236" s="241">
        <v>37242</v>
      </c>
      <c r="B236" s="242">
        <v>4.5</v>
      </c>
      <c r="C236" s="238">
        <v>4</v>
      </c>
    </row>
    <row r="237" spans="1:3" x14ac:dyDescent="0.2">
      <c r="A237" s="241">
        <v>37243</v>
      </c>
      <c r="B237" s="242">
        <v>6.1</v>
      </c>
      <c r="C237" s="238">
        <v>0</v>
      </c>
    </row>
    <row r="238" spans="1:3" x14ac:dyDescent="0.2">
      <c r="A238" s="241">
        <v>37244</v>
      </c>
      <c r="B238" s="242">
        <v>6.4</v>
      </c>
      <c r="C238" s="238">
        <v>0.9</v>
      </c>
    </row>
    <row r="239" spans="1:3" x14ac:dyDescent="0.2">
      <c r="A239" s="241">
        <v>37245</v>
      </c>
      <c r="B239" s="242">
        <v>4.0999999999999996</v>
      </c>
      <c r="C239" s="238">
        <v>4</v>
      </c>
    </row>
    <row r="240" spans="1:3" x14ac:dyDescent="0.2">
      <c r="A240" s="241">
        <v>37246</v>
      </c>
      <c r="B240" s="242">
        <v>6</v>
      </c>
      <c r="C240" s="238">
        <v>0</v>
      </c>
    </row>
    <row r="241" spans="1:5" x14ac:dyDescent="0.2">
      <c r="A241" s="241">
        <v>37247</v>
      </c>
      <c r="B241" s="242">
        <v>2</v>
      </c>
      <c r="C241" s="238">
        <v>1</v>
      </c>
    </row>
    <row r="242" spans="1:5" x14ac:dyDescent="0.2">
      <c r="A242" s="241">
        <v>37248</v>
      </c>
      <c r="B242" s="242">
        <v>-0.5</v>
      </c>
      <c r="C242" s="238">
        <v>6.5</v>
      </c>
    </row>
    <row r="243" spans="1:5" x14ac:dyDescent="0.2">
      <c r="A243" s="241">
        <v>37249</v>
      </c>
      <c r="B243" s="242">
        <v>7</v>
      </c>
      <c r="C243" s="238">
        <v>0</v>
      </c>
    </row>
    <row r="244" spans="1:5" x14ac:dyDescent="0.2">
      <c r="A244" s="241">
        <v>37250</v>
      </c>
      <c r="B244" s="242">
        <v>6.2</v>
      </c>
      <c r="C244" s="238">
        <v>3.4</v>
      </c>
    </row>
    <row r="245" spans="1:5" x14ac:dyDescent="0.2">
      <c r="A245" s="241">
        <v>37251</v>
      </c>
      <c r="B245" s="242">
        <v>3.6</v>
      </c>
      <c r="C245" s="238">
        <v>1.2</v>
      </c>
    </row>
    <row r="246" spans="1:5" x14ac:dyDescent="0.2">
      <c r="A246" s="241">
        <v>37252</v>
      </c>
      <c r="B246" s="242">
        <v>5.7</v>
      </c>
      <c r="C246" s="238">
        <v>0</v>
      </c>
    </row>
    <row r="247" spans="1:5" x14ac:dyDescent="0.2">
      <c r="A247" s="241">
        <v>37253</v>
      </c>
      <c r="B247" s="242">
        <v>6.8</v>
      </c>
      <c r="C247" s="238">
        <v>1.2</v>
      </c>
    </row>
    <row r="248" spans="1:5" x14ac:dyDescent="0.2">
      <c r="A248" s="241">
        <v>37254</v>
      </c>
      <c r="B248" s="242">
        <v>2.4</v>
      </c>
      <c r="C248" s="238">
        <v>0.4</v>
      </c>
    </row>
    <row r="249" spans="1:5" x14ac:dyDescent="0.2">
      <c r="A249" s="241">
        <v>37255</v>
      </c>
      <c r="B249" s="242">
        <v>1</v>
      </c>
      <c r="C249" s="238">
        <v>1.1000000000000001</v>
      </c>
    </row>
    <row r="250" spans="1:5" x14ac:dyDescent="0.2">
      <c r="A250" s="241">
        <v>37256</v>
      </c>
      <c r="B250" s="242">
        <v>3.3</v>
      </c>
      <c r="C250" s="238">
        <v>5.2</v>
      </c>
      <c r="D250" s="242"/>
      <c r="E250" s="243"/>
    </row>
    <row r="251" spans="1:5" x14ac:dyDescent="0.2">
      <c r="A251" s="241">
        <v>37257</v>
      </c>
      <c r="B251" s="242">
        <v>4.8</v>
      </c>
      <c r="C251" s="238">
        <v>6.3</v>
      </c>
    </row>
    <row r="252" spans="1:5" x14ac:dyDescent="0.2">
      <c r="A252" s="241">
        <v>37258</v>
      </c>
      <c r="B252" s="242">
        <v>1</v>
      </c>
      <c r="C252" s="238">
        <v>2.8</v>
      </c>
    </row>
    <row r="253" spans="1:5" x14ac:dyDescent="0.2">
      <c r="A253" s="241">
        <v>37259</v>
      </c>
      <c r="B253" s="242">
        <v>-1.6</v>
      </c>
      <c r="C253" s="238">
        <v>6.5</v>
      </c>
    </row>
    <row r="254" spans="1:5" x14ac:dyDescent="0.2">
      <c r="A254" s="241">
        <v>37260</v>
      </c>
      <c r="B254" s="242">
        <v>-2.5</v>
      </c>
      <c r="C254" s="238">
        <v>6.5</v>
      </c>
    </row>
    <row r="255" spans="1:5" x14ac:dyDescent="0.2">
      <c r="A255" s="241">
        <v>37261</v>
      </c>
      <c r="B255" s="242">
        <v>1.1000000000000001</v>
      </c>
      <c r="C255" s="238">
        <v>1</v>
      </c>
    </row>
    <row r="256" spans="1:5" x14ac:dyDescent="0.2">
      <c r="A256" s="241">
        <v>37262</v>
      </c>
      <c r="B256" s="242">
        <v>5</v>
      </c>
      <c r="C256" s="238">
        <v>0</v>
      </c>
    </row>
    <row r="257" spans="1:3" x14ac:dyDescent="0.2">
      <c r="A257" s="241">
        <v>37263</v>
      </c>
      <c r="B257" s="242">
        <v>3.7</v>
      </c>
      <c r="C257" s="238">
        <v>0</v>
      </c>
    </row>
    <row r="258" spans="1:3" x14ac:dyDescent="0.2">
      <c r="A258" s="241">
        <v>37264</v>
      </c>
      <c r="B258" s="242">
        <v>2.2000000000000002</v>
      </c>
      <c r="C258" s="238">
        <v>0.2</v>
      </c>
    </row>
    <row r="259" spans="1:3" x14ac:dyDescent="0.2">
      <c r="A259" s="241">
        <v>37265</v>
      </c>
      <c r="B259" s="242">
        <v>-0.4</v>
      </c>
      <c r="C259" s="238">
        <v>6.7</v>
      </c>
    </row>
    <row r="260" spans="1:3" x14ac:dyDescent="0.2">
      <c r="A260" s="241">
        <v>37266</v>
      </c>
      <c r="B260" s="242">
        <v>1</v>
      </c>
      <c r="C260" s="238">
        <v>4.4000000000000004</v>
      </c>
    </row>
    <row r="261" spans="1:3" x14ac:dyDescent="0.2">
      <c r="A261" s="241">
        <v>37267</v>
      </c>
      <c r="B261" s="242">
        <v>3.8</v>
      </c>
      <c r="C261" s="238">
        <v>0.2</v>
      </c>
    </row>
    <row r="262" spans="1:3" x14ac:dyDescent="0.2">
      <c r="A262" s="241">
        <v>37268</v>
      </c>
      <c r="B262" s="242">
        <v>4.8</v>
      </c>
      <c r="C262" s="238">
        <v>0.2</v>
      </c>
    </row>
    <row r="263" spans="1:3" x14ac:dyDescent="0.2">
      <c r="A263" s="241">
        <v>37269</v>
      </c>
      <c r="B263" s="242">
        <v>3.9</v>
      </c>
      <c r="C263" s="238">
        <v>4.5999999999999996</v>
      </c>
    </row>
    <row r="264" spans="1:3" x14ac:dyDescent="0.2">
      <c r="A264" s="241">
        <v>37270</v>
      </c>
      <c r="B264" s="242">
        <v>5.2</v>
      </c>
      <c r="C264" s="238">
        <v>0.9</v>
      </c>
    </row>
    <row r="265" spans="1:3" x14ac:dyDescent="0.2">
      <c r="A265" s="241">
        <v>37271</v>
      </c>
      <c r="B265" s="242">
        <v>5</v>
      </c>
      <c r="C265" s="238">
        <v>0</v>
      </c>
    </row>
    <row r="266" spans="1:3" x14ac:dyDescent="0.2">
      <c r="A266" s="241">
        <v>37272</v>
      </c>
      <c r="B266" s="242">
        <v>5.4</v>
      </c>
      <c r="C266" s="238">
        <v>5.8</v>
      </c>
    </row>
    <row r="267" spans="1:3" x14ac:dyDescent="0.2">
      <c r="A267" s="241">
        <v>37273</v>
      </c>
      <c r="B267" s="242">
        <v>6.5</v>
      </c>
      <c r="C267" s="238">
        <v>0.3</v>
      </c>
    </row>
    <row r="268" spans="1:3" x14ac:dyDescent="0.2">
      <c r="A268" s="241">
        <v>37274</v>
      </c>
      <c r="B268" s="242">
        <v>5.5</v>
      </c>
      <c r="C268" s="238">
        <v>5.9</v>
      </c>
    </row>
    <row r="269" spans="1:3" x14ac:dyDescent="0.2">
      <c r="A269" s="241">
        <v>37275</v>
      </c>
      <c r="B269" s="242">
        <v>6.9</v>
      </c>
      <c r="C269" s="238">
        <v>6.3</v>
      </c>
    </row>
    <row r="270" spans="1:3" x14ac:dyDescent="0.2">
      <c r="A270" s="241">
        <v>37276</v>
      </c>
      <c r="B270" s="242">
        <v>7.5</v>
      </c>
      <c r="C270" s="238">
        <v>0</v>
      </c>
    </row>
    <row r="271" spans="1:3" x14ac:dyDescent="0.2">
      <c r="A271" s="241">
        <v>37277</v>
      </c>
      <c r="B271" s="242">
        <v>8.8000000000000007</v>
      </c>
      <c r="C271" s="238">
        <v>0.6</v>
      </c>
    </row>
    <row r="272" spans="1:3" x14ac:dyDescent="0.2">
      <c r="A272" s="241">
        <v>37278</v>
      </c>
      <c r="B272" s="242">
        <v>7.3</v>
      </c>
      <c r="C272" s="238">
        <v>2</v>
      </c>
    </row>
    <row r="273" spans="1:3" x14ac:dyDescent="0.2">
      <c r="A273" s="241">
        <v>37279</v>
      </c>
      <c r="B273" s="242">
        <v>7.5</v>
      </c>
      <c r="C273" s="238">
        <v>0.2</v>
      </c>
    </row>
    <row r="274" spans="1:3" x14ac:dyDescent="0.2">
      <c r="A274" s="241">
        <v>37280</v>
      </c>
      <c r="B274" s="242">
        <v>7.9</v>
      </c>
      <c r="C274" s="238">
        <v>0.1</v>
      </c>
    </row>
    <row r="275" spans="1:3" x14ac:dyDescent="0.2">
      <c r="A275" s="241">
        <v>37281</v>
      </c>
      <c r="B275" s="242">
        <v>5.9</v>
      </c>
      <c r="C275" s="238">
        <v>1.6</v>
      </c>
    </row>
    <row r="276" spans="1:3" x14ac:dyDescent="0.2">
      <c r="A276" s="241">
        <v>37282</v>
      </c>
      <c r="B276" s="242">
        <v>8.6999999999999993</v>
      </c>
      <c r="C276" s="238">
        <v>0.4</v>
      </c>
    </row>
    <row r="277" spans="1:3" x14ac:dyDescent="0.2">
      <c r="A277" s="241">
        <v>37283</v>
      </c>
      <c r="B277" s="242">
        <v>8</v>
      </c>
      <c r="C277" s="238">
        <v>1.3</v>
      </c>
    </row>
    <row r="278" spans="1:3" x14ac:dyDescent="0.2">
      <c r="A278" s="241">
        <v>37284</v>
      </c>
      <c r="B278" s="242">
        <v>9</v>
      </c>
      <c r="C278" s="238">
        <v>5.0999999999999996</v>
      </c>
    </row>
    <row r="279" spans="1:3" x14ac:dyDescent="0.2">
      <c r="A279" s="241">
        <v>37285</v>
      </c>
      <c r="B279" s="242">
        <v>8.1</v>
      </c>
      <c r="C279" s="238">
        <v>4</v>
      </c>
    </row>
    <row r="280" spans="1:3" x14ac:dyDescent="0.2">
      <c r="A280" s="241">
        <v>37286</v>
      </c>
      <c r="B280" s="242">
        <v>10</v>
      </c>
      <c r="C280" s="238">
        <v>0.5</v>
      </c>
    </row>
    <row r="281" spans="1:3" x14ac:dyDescent="0.2">
      <c r="A281" s="241">
        <v>37287</v>
      </c>
      <c r="B281" s="242">
        <v>8</v>
      </c>
      <c r="C281" s="238">
        <v>7.9</v>
      </c>
    </row>
    <row r="282" spans="1:3" x14ac:dyDescent="0.2">
      <c r="A282" s="241">
        <v>37288</v>
      </c>
      <c r="B282" s="242">
        <v>10.5</v>
      </c>
      <c r="C282" s="238">
        <v>0.2</v>
      </c>
    </row>
    <row r="283" spans="1:3" x14ac:dyDescent="0.2">
      <c r="A283" s="241">
        <v>37289</v>
      </c>
      <c r="B283" s="242">
        <v>13.1</v>
      </c>
      <c r="C283" s="238">
        <v>7.2</v>
      </c>
    </row>
    <row r="284" spans="1:3" x14ac:dyDescent="0.2">
      <c r="A284" s="241">
        <v>37290</v>
      </c>
      <c r="B284" s="242">
        <v>11.2</v>
      </c>
      <c r="C284" s="238">
        <v>2.8</v>
      </c>
    </row>
    <row r="285" spans="1:3" x14ac:dyDescent="0.2">
      <c r="A285" s="241">
        <v>37291</v>
      </c>
      <c r="B285" s="242">
        <v>8.1</v>
      </c>
      <c r="C285" s="238">
        <v>0.2</v>
      </c>
    </row>
    <row r="286" spans="1:3" x14ac:dyDescent="0.2">
      <c r="A286" s="241">
        <v>37292</v>
      </c>
      <c r="B286" s="242">
        <v>9.8000000000000007</v>
      </c>
      <c r="C286" s="238">
        <v>0.8</v>
      </c>
    </row>
    <row r="287" spans="1:3" x14ac:dyDescent="0.2">
      <c r="A287" s="241">
        <v>37293</v>
      </c>
      <c r="B287" s="242">
        <v>7.5</v>
      </c>
      <c r="C287" s="238">
        <v>0.3</v>
      </c>
    </row>
    <row r="288" spans="1:3" x14ac:dyDescent="0.2">
      <c r="A288" s="241">
        <v>37294</v>
      </c>
      <c r="B288" s="242">
        <v>6.4</v>
      </c>
      <c r="C288" s="238">
        <v>0.4</v>
      </c>
    </row>
    <row r="289" spans="1:3" x14ac:dyDescent="0.2">
      <c r="A289" s="241">
        <v>37295</v>
      </c>
      <c r="B289" s="242">
        <v>8.8000000000000007</v>
      </c>
      <c r="C289" s="238">
        <v>2.2999999999999998</v>
      </c>
    </row>
    <row r="290" spans="1:3" x14ac:dyDescent="0.2">
      <c r="A290" s="241">
        <v>37296</v>
      </c>
      <c r="B290" s="242">
        <v>8.9</v>
      </c>
      <c r="C290" s="238">
        <v>0.2</v>
      </c>
    </row>
    <row r="291" spans="1:3" x14ac:dyDescent="0.2">
      <c r="A291" s="241">
        <v>37297</v>
      </c>
      <c r="B291" s="242">
        <v>8.1</v>
      </c>
      <c r="C291" s="238">
        <v>3.5</v>
      </c>
    </row>
    <row r="292" spans="1:3" x14ac:dyDescent="0.2">
      <c r="A292" s="241">
        <v>37298</v>
      </c>
      <c r="B292" s="242">
        <v>9.6999999999999993</v>
      </c>
      <c r="C292" s="238">
        <v>0</v>
      </c>
    </row>
    <row r="293" spans="1:3" x14ac:dyDescent="0.2">
      <c r="A293" s="241">
        <v>37299</v>
      </c>
      <c r="B293" s="242">
        <v>9.4</v>
      </c>
      <c r="C293" s="238">
        <v>4.5999999999999996</v>
      </c>
    </row>
    <row r="294" spans="1:3" x14ac:dyDescent="0.2">
      <c r="A294" s="241">
        <v>37300</v>
      </c>
      <c r="B294" s="242">
        <v>6.7</v>
      </c>
      <c r="C294" s="238">
        <v>3.8</v>
      </c>
    </row>
    <row r="295" spans="1:3" x14ac:dyDescent="0.2">
      <c r="A295" s="241">
        <v>37301</v>
      </c>
      <c r="B295" s="242">
        <v>2.4</v>
      </c>
      <c r="C295" s="238">
        <v>8</v>
      </c>
    </row>
    <row r="296" spans="1:3" x14ac:dyDescent="0.2">
      <c r="A296" s="241">
        <v>37302</v>
      </c>
      <c r="B296" s="242">
        <v>0.8</v>
      </c>
      <c r="C296" s="238">
        <v>8.9</v>
      </c>
    </row>
    <row r="297" spans="1:3" x14ac:dyDescent="0.2">
      <c r="A297" s="241">
        <v>37303</v>
      </c>
      <c r="B297" s="242">
        <v>2.4</v>
      </c>
      <c r="C297" s="238">
        <v>8.9</v>
      </c>
    </row>
    <row r="298" spans="1:3" x14ac:dyDescent="0.2">
      <c r="A298" s="241">
        <v>37304</v>
      </c>
      <c r="B298" s="242">
        <v>2.6</v>
      </c>
      <c r="C298" s="238">
        <v>8.6</v>
      </c>
    </row>
    <row r="299" spans="1:3" x14ac:dyDescent="0.2">
      <c r="A299" s="241">
        <v>37305</v>
      </c>
      <c r="B299" s="242">
        <v>6.7</v>
      </c>
      <c r="C299" s="238">
        <v>7.2</v>
      </c>
    </row>
    <row r="300" spans="1:3" x14ac:dyDescent="0.2">
      <c r="A300" s="241">
        <v>37306</v>
      </c>
      <c r="B300" s="242">
        <v>6.9</v>
      </c>
      <c r="C300" s="238">
        <v>6.3</v>
      </c>
    </row>
    <row r="301" spans="1:3" x14ac:dyDescent="0.2">
      <c r="A301" s="241">
        <v>37307</v>
      </c>
      <c r="B301" s="242">
        <v>6.6</v>
      </c>
      <c r="C301" s="238">
        <v>6.8</v>
      </c>
    </row>
    <row r="302" spans="1:3" x14ac:dyDescent="0.2">
      <c r="A302" s="241">
        <v>37308</v>
      </c>
      <c r="B302" s="242">
        <v>4.5</v>
      </c>
      <c r="C302" s="238">
        <v>7.4</v>
      </c>
    </row>
    <row r="303" spans="1:3" x14ac:dyDescent="0.2">
      <c r="A303" s="241">
        <v>37309</v>
      </c>
      <c r="B303" s="242">
        <v>7.4</v>
      </c>
      <c r="C303" s="238">
        <v>2</v>
      </c>
    </row>
    <row r="304" spans="1:3" x14ac:dyDescent="0.2">
      <c r="A304" s="241">
        <v>37310</v>
      </c>
      <c r="B304" s="242">
        <v>5.2</v>
      </c>
      <c r="C304" s="238">
        <v>4.7</v>
      </c>
    </row>
    <row r="305" spans="1:3" x14ac:dyDescent="0.2">
      <c r="A305" s="241">
        <v>37311</v>
      </c>
      <c r="B305" s="242">
        <v>4.2</v>
      </c>
      <c r="C305" s="238">
        <v>4.5999999999999996</v>
      </c>
    </row>
    <row r="306" spans="1:3" x14ac:dyDescent="0.2">
      <c r="A306" s="241">
        <v>37312</v>
      </c>
      <c r="B306" s="242">
        <v>6.2</v>
      </c>
      <c r="C306" s="238">
        <v>0</v>
      </c>
    </row>
    <row r="307" spans="1:3" x14ac:dyDescent="0.2">
      <c r="A307" s="241">
        <v>37313</v>
      </c>
      <c r="B307" s="242">
        <v>9.1</v>
      </c>
      <c r="C307" s="238">
        <v>7.4</v>
      </c>
    </row>
    <row r="308" spans="1:3" x14ac:dyDescent="0.2">
      <c r="A308" s="241">
        <v>37314</v>
      </c>
      <c r="B308" s="242">
        <v>6.6</v>
      </c>
      <c r="C308" s="238">
        <v>7.2</v>
      </c>
    </row>
    <row r="309" spans="1:3" x14ac:dyDescent="0.2">
      <c r="A309" s="241">
        <v>37315</v>
      </c>
      <c r="B309" s="242">
        <v>6.4</v>
      </c>
      <c r="C309" s="238">
        <v>5.2</v>
      </c>
    </row>
    <row r="310" spans="1:3" x14ac:dyDescent="0.2">
      <c r="A310" s="241">
        <v>37316</v>
      </c>
      <c r="B310" s="242">
        <v>3.5</v>
      </c>
      <c r="C310" s="238">
        <v>9.4</v>
      </c>
    </row>
    <row r="311" spans="1:3" x14ac:dyDescent="0.2">
      <c r="A311" s="241">
        <v>37317</v>
      </c>
      <c r="B311" s="242">
        <v>2.5</v>
      </c>
      <c r="C311" s="238">
        <v>7.7</v>
      </c>
    </row>
    <row r="312" spans="1:3" x14ac:dyDescent="0.2">
      <c r="A312" s="241">
        <v>37318</v>
      </c>
      <c r="B312" s="242">
        <v>6.6</v>
      </c>
      <c r="C312" s="238">
        <v>7.5</v>
      </c>
    </row>
    <row r="313" spans="1:3" x14ac:dyDescent="0.2">
      <c r="A313" s="241">
        <v>37319</v>
      </c>
      <c r="B313" s="242">
        <v>7.6</v>
      </c>
      <c r="C313" s="238">
        <v>2.7</v>
      </c>
    </row>
    <row r="314" spans="1:3" x14ac:dyDescent="0.2">
      <c r="A314" s="241">
        <v>37320</v>
      </c>
      <c r="B314" s="242">
        <v>7.4</v>
      </c>
      <c r="C314" s="238">
        <v>3.6</v>
      </c>
    </row>
    <row r="315" spans="1:3" x14ac:dyDescent="0.2">
      <c r="A315" s="241">
        <v>37321</v>
      </c>
      <c r="B315" s="242">
        <v>8.1999999999999993</v>
      </c>
      <c r="C315" s="238">
        <v>0</v>
      </c>
    </row>
    <row r="316" spans="1:3" x14ac:dyDescent="0.2">
      <c r="A316" s="241">
        <v>37322</v>
      </c>
      <c r="B316" s="242">
        <v>8.9</v>
      </c>
      <c r="C316" s="238">
        <v>9.1</v>
      </c>
    </row>
    <row r="317" spans="1:3" x14ac:dyDescent="0.2">
      <c r="A317" s="241">
        <v>37323</v>
      </c>
      <c r="B317" s="242">
        <v>8.5</v>
      </c>
      <c r="C317" s="238">
        <v>4.7</v>
      </c>
    </row>
    <row r="318" spans="1:3" x14ac:dyDescent="0.2">
      <c r="A318" s="241">
        <v>37324</v>
      </c>
      <c r="B318" s="242">
        <v>7.5</v>
      </c>
      <c r="C318" s="238">
        <v>8.3000000000000007</v>
      </c>
    </row>
    <row r="319" spans="1:3" x14ac:dyDescent="0.2">
      <c r="A319" s="241">
        <v>37325</v>
      </c>
      <c r="B319" s="242">
        <v>8.3000000000000007</v>
      </c>
      <c r="C319" s="238">
        <v>8.6999999999999993</v>
      </c>
    </row>
    <row r="320" spans="1:3" x14ac:dyDescent="0.2">
      <c r="A320" s="241">
        <v>37326</v>
      </c>
      <c r="B320" s="242">
        <v>9.8000000000000007</v>
      </c>
      <c r="C320" s="238">
        <v>5.0999999999999996</v>
      </c>
    </row>
    <row r="321" spans="1:3" x14ac:dyDescent="0.2">
      <c r="A321" s="241">
        <v>37327</v>
      </c>
      <c r="B321" s="242">
        <v>9.5</v>
      </c>
      <c r="C321" s="238">
        <v>4.5</v>
      </c>
    </row>
    <row r="322" spans="1:3" x14ac:dyDescent="0.2">
      <c r="A322" s="241">
        <v>37328</v>
      </c>
      <c r="B322" s="242">
        <v>4.8</v>
      </c>
      <c r="C322" s="238">
        <v>0</v>
      </c>
    </row>
    <row r="323" spans="1:3" x14ac:dyDescent="0.2">
      <c r="A323" s="241">
        <v>37329</v>
      </c>
      <c r="B323" s="242">
        <v>4</v>
      </c>
      <c r="C323" s="238">
        <v>6.5</v>
      </c>
    </row>
    <row r="324" spans="1:3" x14ac:dyDescent="0.2">
      <c r="A324" s="241">
        <v>37330</v>
      </c>
      <c r="B324" s="242">
        <v>4</v>
      </c>
      <c r="C324" s="238">
        <v>0.4</v>
      </c>
    </row>
    <row r="325" spans="1:3" x14ac:dyDescent="0.2">
      <c r="A325" s="241">
        <v>37331</v>
      </c>
      <c r="B325" s="242">
        <v>10</v>
      </c>
      <c r="C325" s="238">
        <v>6</v>
      </c>
    </row>
    <row r="326" spans="1:3" x14ac:dyDescent="0.2">
      <c r="A326" s="241">
        <v>37332</v>
      </c>
      <c r="B326" s="242">
        <v>10.3</v>
      </c>
      <c r="C326" s="238">
        <v>1.8</v>
      </c>
    </row>
    <row r="327" spans="1:3" x14ac:dyDescent="0.2">
      <c r="A327" s="241">
        <v>37333</v>
      </c>
      <c r="B327" s="242">
        <v>9.6999999999999993</v>
      </c>
      <c r="C327" s="238">
        <v>1.4</v>
      </c>
    </row>
    <row r="328" spans="1:3" x14ac:dyDescent="0.2">
      <c r="A328" s="241">
        <v>37334</v>
      </c>
      <c r="B328" s="242">
        <v>8.1999999999999993</v>
      </c>
      <c r="C328" s="238">
        <v>5.4</v>
      </c>
    </row>
    <row r="329" spans="1:3" x14ac:dyDescent="0.2">
      <c r="A329" s="241">
        <v>37335</v>
      </c>
      <c r="B329" s="242">
        <v>8.8000000000000007</v>
      </c>
      <c r="C329" s="238">
        <v>2.1</v>
      </c>
    </row>
    <row r="330" spans="1:3" x14ac:dyDescent="0.2">
      <c r="A330" s="241">
        <v>37336</v>
      </c>
      <c r="B330" s="242">
        <v>9.1999999999999993</v>
      </c>
      <c r="C330" s="238">
        <v>9.1</v>
      </c>
    </row>
    <row r="331" spans="1:3" x14ac:dyDescent="0.2">
      <c r="A331" s="241">
        <v>37337</v>
      </c>
      <c r="B331" s="242">
        <v>7</v>
      </c>
      <c r="C331" s="238">
        <v>5.3</v>
      </c>
    </row>
    <row r="332" spans="1:3" x14ac:dyDescent="0.2">
      <c r="A332" s="241">
        <v>37338</v>
      </c>
      <c r="B332" s="242">
        <v>5.9</v>
      </c>
      <c r="C332" s="238">
        <v>7.2</v>
      </c>
    </row>
    <row r="333" spans="1:3" x14ac:dyDescent="0.2">
      <c r="A333" s="241">
        <v>37339</v>
      </c>
      <c r="B333" s="242">
        <v>3.2</v>
      </c>
      <c r="C333" s="238">
        <v>6.4</v>
      </c>
    </row>
    <row r="334" spans="1:3" x14ac:dyDescent="0.2">
      <c r="A334" s="241">
        <v>37340</v>
      </c>
      <c r="B334" s="242">
        <v>4.5</v>
      </c>
      <c r="C334" s="238">
        <v>9.8000000000000007</v>
      </c>
    </row>
    <row r="335" spans="1:3" x14ac:dyDescent="0.2">
      <c r="A335" s="241">
        <v>37341</v>
      </c>
      <c r="B335" s="242">
        <v>6.1</v>
      </c>
      <c r="C335" s="238">
        <v>0</v>
      </c>
    </row>
    <row r="336" spans="1:3" x14ac:dyDescent="0.2">
      <c r="A336" s="241">
        <v>37342</v>
      </c>
      <c r="B336" s="242">
        <v>5.0999999999999996</v>
      </c>
      <c r="C336" s="238">
        <v>11.5</v>
      </c>
    </row>
    <row r="337" spans="1:3" x14ac:dyDescent="0.2">
      <c r="A337" s="241">
        <v>37343</v>
      </c>
      <c r="B337" s="242">
        <v>6.2</v>
      </c>
      <c r="C337" s="238">
        <v>11.5</v>
      </c>
    </row>
    <row r="338" spans="1:3" x14ac:dyDescent="0.2">
      <c r="A338" s="241">
        <v>37344</v>
      </c>
      <c r="B338" s="242">
        <v>7.2</v>
      </c>
      <c r="C338" s="238">
        <v>11.7</v>
      </c>
    </row>
    <row r="339" spans="1:3" x14ac:dyDescent="0.2">
      <c r="A339" s="241">
        <v>37345</v>
      </c>
      <c r="B339" s="242">
        <v>11.4</v>
      </c>
      <c r="C339" s="238">
        <v>4.8</v>
      </c>
    </row>
    <row r="340" spans="1:3" x14ac:dyDescent="0.2">
      <c r="A340" s="241">
        <v>37346</v>
      </c>
      <c r="B340" s="242">
        <v>10.3</v>
      </c>
      <c r="C340" s="238">
        <v>7.5</v>
      </c>
    </row>
    <row r="341" spans="1:3" x14ac:dyDescent="0.2">
      <c r="A341" s="241">
        <v>37347</v>
      </c>
      <c r="B341" s="242">
        <v>11.7</v>
      </c>
      <c r="C341" s="238">
        <v>6.7</v>
      </c>
    </row>
    <row r="342" spans="1:3" x14ac:dyDescent="0.2">
      <c r="A342" s="241">
        <v>37348</v>
      </c>
      <c r="B342" s="242">
        <v>15.5</v>
      </c>
      <c r="C342" s="238">
        <v>10</v>
      </c>
    </row>
    <row r="343" spans="1:3" x14ac:dyDescent="0.2">
      <c r="A343" s="241">
        <v>37349</v>
      </c>
      <c r="B343" s="242">
        <v>14.2</v>
      </c>
      <c r="C343" s="238">
        <v>10.7</v>
      </c>
    </row>
    <row r="344" spans="1:3" x14ac:dyDescent="0.2">
      <c r="A344" s="241">
        <v>37350</v>
      </c>
      <c r="B344" s="242">
        <v>11</v>
      </c>
      <c r="C344" s="238">
        <v>12</v>
      </c>
    </row>
    <row r="345" spans="1:3" x14ac:dyDescent="0.2">
      <c r="A345" s="241">
        <v>37351</v>
      </c>
      <c r="B345" s="242">
        <v>9.1</v>
      </c>
      <c r="C345" s="238">
        <v>12</v>
      </c>
    </row>
    <row r="346" spans="1:3" x14ac:dyDescent="0.2">
      <c r="A346" s="241">
        <v>37352</v>
      </c>
      <c r="B346" s="242">
        <v>5.2</v>
      </c>
      <c r="C346" s="238">
        <v>12</v>
      </c>
    </row>
    <row r="347" spans="1:3" x14ac:dyDescent="0.2">
      <c r="A347" s="241">
        <v>37353</v>
      </c>
      <c r="B347" s="242">
        <v>5.6</v>
      </c>
      <c r="C347" s="238">
        <v>6.8</v>
      </c>
    </row>
    <row r="348" spans="1:3" x14ac:dyDescent="0.2">
      <c r="A348" s="241">
        <v>37354</v>
      </c>
      <c r="B348" s="242">
        <v>8</v>
      </c>
      <c r="C348" s="238">
        <v>12.3</v>
      </c>
    </row>
    <row r="349" spans="1:3" x14ac:dyDescent="0.2">
      <c r="A349" s="241">
        <v>37355</v>
      </c>
      <c r="B349" s="242">
        <v>5.6</v>
      </c>
      <c r="C349" s="238">
        <v>0.7</v>
      </c>
    </row>
    <row r="350" spans="1:3" x14ac:dyDescent="0.2">
      <c r="A350" s="241">
        <v>37356</v>
      </c>
      <c r="B350" s="242">
        <v>7.1</v>
      </c>
      <c r="C350" s="238">
        <v>10.4</v>
      </c>
    </row>
    <row r="351" spans="1:3" x14ac:dyDescent="0.2">
      <c r="A351" s="241">
        <v>37357</v>
      </c>
      <c r="B351" s="242">
        <v>7.8</v>
      </c>
      <c r="C351" s="238">
        <v>7.6</v>
      </c>
    </row>
    <row r="352" spans="1:3" x14ac:dyDescent="0.2">
      <c r="A352" s="241">
        <v>37358</v>
      </c>
      <c r="B352" s="242">
        <v>7.6</v>
      </c>
      <c r="C352" s="238">
        <v>7.1</v>
      </c>
    </row>
    <row r="353" spans="1:3" x14ac:dyDescent="0.2">
      <c r="A353" s="241">
        <v>37359</v>
      </c>
      <c r="B353" s="242">
        <v>6</v>
      </c>
      <c r="C353" s="238">
        <v>6.9</v>
      </c>
    </row>
    <row r="354" spans="1:3" x14ac:dyDescent="0.2">
      <c r="A354" s="241">
        <v>37360</v>
      </c>
      <c r="B354" s="242">
        <v>6.9</v>
      </c>
      <c r="C354" s="238">
        <v>4.8</v>
      </c>
    </row>
    <row r="355" spans="1:3" x14ac:dyDescent="0.2">
      <c r="A355" s="241">
        <v>37361</v>
      </c>
      <c r="B355" s="242">
        <v>7.2</v>
      </c>
      <c r="C355" s="238">
        <v>0</v>
      </c>
    </row>
    <row r="356" spans="1:3" x14ac:dyDescent="0.2">
      <c r="A356" s="241">
        <v>37362</v>
      </c>
      <c r="B356" s="242">
        <v>7.9</v>
      </c>
      <c r="C356" s="238">
        <v>0</v>
      </c>
    </row>
    <row r="357" spans="1:3" x14ac:dyDescent="0.2">
      <c r="A357" s="241">
        <v>37363</v>
      </c>
      <c r="B357" s="242">
        <v>7.3</v>
      </c>
      <c r="C357" s="238">
        <v>3.5</v>
      </c>
    </row>
    <row r="358" spans="1:3" x14ac:dyDescent="0.2">
      <c r="A358" s="241">
        <v>37364</v>
      </c>
      <c r="B358" s="242">
        <v>7.6</v>
      </c>
      <c r="C358" s="238">
        <v>4.7</v>
      </c>
    </row>
    <row r="359" spans="1:3" x14ac:dyDescent="0.2">
      <c r="A359" s="241">
        <v>37365</v>
      </c>
      <c r="B359" s="242">
        <v>8</v>
      </c>
      <c r="C359" s="238">
        <v>12.5</v>
      </c>
    </row>
    <row r="360" spans="1:3" x14ac:dyDescent="0.2">
      <c r="A360" s="241">
        <v>37366</v>
      </c>
      <c r="B360" s="242">
        <v>8.1</v>
      </c>
      <c r="C360" s="238">
        <v>2.7</v>
      </c>
    </row>
    <row r="361" spans="1:3" x14ac:dyDescent="0.2">
      <c r="A361" s="241">
        <v>37367</v>
      </c>
      <c r="B361" s="242">
        <v>9.4</v>
      </c>
      <c r="C361" s="238">
        <v>11</v>
      </c>
    </row>
    <row r="362" spans="1:3" x14ac:dyDescent="0.2">
      <c r="A362" s="241">
        <v>37368</v>
      </c>
      <c r="B362" s="242">
        <v>13.3</v>
      </c>
      <c r="C362" s="238">
        <v>5.2</v>
      </c>
    </row>
    <row r="363" spans="1:3" x14ac:dyDescent="0.2">
      <c r="A363" s="241">
        <v>37369</v>
      </c>
      <c r="B363" s="242">
        <v>11.2</v>
      </c>
      <c r="C363" s="238">
        <v>10.4</v>
      </c>
    </row>
    <row r="364" spans="1:3" x14ac:dyDescent="0.2">
      <c r="A364" s="241">
        <v>37370</v>
      </c>
      <c r="B364" s="242">
        <v>11.3</v>
      </c>
      <c r="C364" s="238">
        <v>8.1</v>
      </c>
    </row>
    <row r="365" spans="1:3" x14ac:dyDescent="0.2">
      <c r="A365" s="241">
        <v>37371</v>
      </c>
      <c r="B365" s="242">
        <v>9.5</v>
      </c>
      <c r="C365" s="238">
        <v>5.7</v>
      </c>
    </row>
    <row r="366" spans="1:3" x14ac:dyDescent="0.2">
      <c r="A366" s="241">
        <v>37372</v>
      </c>
      <c r="B366" s="242">
        <v>9.1999999999999993</v>
      </c>
      <c r="C366" s="238">
        <v>0.1</v>
      </c>
    </row>
    <row r="367" spans="1:3" x14ac:dyDescent="0.2">
      <c r="A367" s="241">
        <v>37373</v>
      </c>
      <c r="B367" s="242">
        <v>9.1999999999999993</v>
      </c>
      <c r="C367" s="238">
        <v>7</v>
      </c>
    </row>
    <row r="368" spans="1:3" x14ac:dyDescent="0.2">
      <c r="A368" s="241">
        <v>37374</v>
      </c>
      <c r="B368" s="242">
        <v>9.8000000000000007</v>
      </c>
      <c r="C368" s="238">
        <v>1.7</v>
      </c>
    </row>
    <row r="369" spans="1:3" x14ac:dyDescent="0.2">
      <c r="A369" s="241">
        <v>37375</v>
      </c>
      <c r="B369" s="242">
        <v>9.6</v>
      </c>
      <c r="C369" s="238">
        <v>6.5</v>
      </c>
    </row>
    <row r="370" spans="1:3" x14ac:dyDescent="0.2">
      <c r="A370" s="241">
        <v>37376</v>
      </c>
      <c r="B370" s="242">
        <v>10.8</v>
      </c>
      <c r="C370" s="238">
        <v>0</v>
      </c>
    </row>
    <row r="371" spans="1:3" x14ac:dyDescent="0.2">
      <c r="A371" s="241">
        <v>37377</v>
      </c>
      <c r="B371" s="242">
        <v>9.9</v>
      </c>
      <c r="C371" s="238">
        <v>10.8</v>
      </c>
    </row>
    <row r="372" spans="1:3" x14ac:dyDescent="0.2">
      <c r="A372" s="241">
        <v>37378</v>
      </c>
      <c r="B372" s="242">
        <v>9.6</v>
      </c>
      <c r="C372" s="238">
        <v>5.5</v>
      </c>
    </row>
    <row r="373" spans="1:3" x14ac:dyDescent="0.2">
      <c r="A373" s="241">
        <v>37379</v>
      </c>
      <c r="B373" s="242">
        <v>9.6</v>
      </c>
      <c r="C373" s="238">
        <v>11.4</v>
      </c>
    </row>
    <row r="374" spans="1:3" x14ac:dyDescent="0.2">
      <c r="A374" s="241">
        <v>37380</v>
      </c>
      <c r="B374" s="242">
        <v>8.8000000000000007</v>
      </c>
      <c r="C374" s="238">
        <v>3.5</v>
      </c>
    </row>
    <row r="375" spans="1:3" x14ac:dyDescent="0.2">
      <c r="A375" s="241">
        <v>37381</v>
      </c>
      <c r="B375" s="242">
        <v>8.8000000000000007</v>
      </c>
      <c r="C375" s="238">
        <v>0</v>
      </c>
    </row>
    <row r="376" spans="1:3" x14ac:dyDescent="0.2">
      <c r="A376" s="241">
        <v>37382</v>
      </c>
      <c r="B376" s="242">
        <v>11.3</v>
      </c>
      <c r="C376" s="238">
        <v>7.1</v>
      </c>
    </row>
    <row r="377" spans="1:3" x14ac:dyDescent="0.2">
      <c r="A377" s="241">
        <v>37383</v>
      </c>
      <c r="B377" s="242">
        <v>13.3</v>
      </c>
      <c r="C377" s="238">
        <v>12.3</v>
      </c>
    </row>
    <row r="378" spans="1:3" x14ac:dyDescent="0.2">
      <c r="A378" s="241">
        <v>37384</v>
      </c>
      <c r="B378" s="242">
        <v>11.7</v>
      </c>
      <c r="C378" s="238">
        <v>6.4</v>
      </c>
    </row>
    <row r="379" spans="1:3" x14ac:dyDescent="0.2">
      <c r="A379" s="241">
        <v>37385</v>
      </c>
      <c r="B379" s="242">
        <v>16.2</v>
      </c>
      <c r="C379" s="238">
        <v>8.1</v>
      </c>
    </row>
    <row r="380" spans="1:3" x14ac:dyDescent="0.2">
      <c r="A380" s="241">
        <v>37386</v>
      </c>
      <c r="B380" s="242">
        <v>11.6</v>
      </c>
      <c r="C380" s="238">
        <v>0.5</v>
      </c>
    </row>
    <row r="381" spans="1:3" x14ac:dyDescent="0.2">
      <c r="A381" s="241">
        <v>37387</v>
      </c>
      <c r="B381" s="242">
        <v>10.9</v>
      </c>
      <c r="C381" s="238">
        <v>0</v>
      </c>
    </row>
    <row r="382" spans="1:3" x14ac:dyDescent="0.2">
      <c r="A382" s="241">
        <v>37388</v>
      </c>
      <c r="B382" s="242">
        <v>10.7</v>
      </c>
      <c r="C382" s="238">
        <v>6.3</v>
      </c>
    </row>
    <row r="383" spans="1:3" x14ac:dyDescent="0.2">
      <c r="A383" s="241">
        <v>37389</v>
      </c>
      <c r="B383" s="242">
        <v>17</v>
      </c>
      <c r="C383" s="238">
        <v>9.1</v>
      </c>
    </row>
    <row r="384" spans="1:3" x14ac:dyDescent="0.2">
      <c r="A384" s="241">
        <v>37390</v>
      </c>
      <c r="B384" s="242">
        <v>12.7</v>
      </c>
      <c r="C384" s="238">
        <v>6.8</v>
      </c>
    </row>
    <row r="385" spans="1:3" x14ac:dyDescent="0.2">
      <c r="A385" s="241">
        <v>37391</v>
      </c>
      <c r="B385" s="242">
        <v>13.1</v>
      </c>
      <c r="C385" s="238">
        <v>9.9</v>
      </c>
    </row>
    <row r="386" spans="1:3" x14ac:dyDescent="0.2">
      <c r="A386" s="241">
        <v>37392</v>
      </c>
      <c r="B386" s="242">
        <v>14</v>
      </c>
      <c r="C386" s="238">
        <v>13</v>
      </c>
    </row>
    <row r="387" spans="1:3" x14ac:dyDescent="0.2">
      <c r="A387" s="241">
        <v>37393</v>
      </c>
      <c r="B387" s="242">
        <v>14.7</v>
      </c>
      <c r="C387" s="238">
        <v>13.4</v>
      </c>
    </row>
    <row r="388" spans="1:3" x14ac:dyDescent="0.2">
      <c r="A388" s="241">
        <v>37394</v>
      </c>
      <c r="B388" s="242">
        <v>13</v>
      </c>
      <c r="C388" s="238">
        <v>1.9</v>
      </c>
    </row>
    <row r="389" spans="1:3" x14ac:dyDescent="0.2">
      <c r="A389" s="241">
        <v>37395</v>
      </c>
      <c r="B389" s="242">
        <v>13.8</v>
      </c>
      <c r="C389" s="238">
        <v>9.8000000000000007</v>
      </c>
    </row>
    <row r="390" spans="1:3" x14ac:dyDescent="0.2">
      <c r="A390" s="241">
        <v>37396</v>
      </c>
      <c r="B390" s="242">
        <v>16.399999999999999</v>
      </c>
      <c r="C390" s="238">
        <v>8.1</v>
      </c>
    </row>
    <row r="391" spans="1:3" x14ac:dyDescent="0.2">
      <c r="A391" s="241">
        <v>37397</v>
      </c>
      <c r="B391" s="242">
        <v>18.600000000000001</v>
      </c>
      <c r="C391" s="238">
        <v>8.4</v>
      </c>
    </row>
    <row r="392" spans="1:3" x14ac:dyDescent="0.2">
      <c r="A392" s="241">
        <v>37398</v>
      </c>
      <c r="B392" s="242">
        <v>16.100000000000001</v>
      </c>
      <c r="C392" s="238">
        <v>0.8</v>
      </c>
    </row>
    <row r="393" spans="1:3" x14ac:dyDescent="0.2">
      <c r="A393" s="241">
        <v>37399</v>
      </c>
      <c r="B393" s="242">
        <v>14.1</v>
      </c>
      <c r="C393" s="238">
        <v>13.1</v>
      </c>
    </row>
    <row r="394" spans="1:3" x14ac:dyDescent="0.2">
      <c r="A394" s="241">
        <v>37400</v>
      </c>
      <c r="B394" s="242">
        <v>13.2</v>
      </c>
      <c r="C394" s="238">
        <v>3.9</v>
      </c>
    </row>
    <row r="395" spans="1:3" x14ac:dyDescent="0.2">
      <c r="A395" s="241">
        <v>37401</v>
      </c>
      <c r="B395" s="242">
        <v>13.1</v>
      </c>
      <c r="C395" s="238">
        <v>11.1</v>
      </c>
    </row>
    <row r="396" spans="1:3" x14ac:dyDescent="0.2">
      <c r="A396" s="241">
        <v>37402</v>
      </c>
      <c r="B396" s="242">
        <v>12.3</v>
      </c>
      <c r="C396" s="238">
        <v>1.8</v>
      </c>
    </row>
    <row r="397" spans="1:3" x14ac:dyDescent="0.2">
      <c r="A397" s="241">
        <v>37403</v>
      </c>
      <c r="B397" s="242">
        <v>12.5</v>
      </c>
      <c r="C397" s="238">
        <v>7.1</v>
      </c>
    </row>
    <row r="398" spans="1:3" x14ac:dyDescent="0.2">
      <c r="A398" s="241">
        <v>37404</v>
      </c>
      <c r="B398" s="242">
        <v>13.8</v>
      </c>
      <c r="C398" s="238">
        <v>7.8</v>
      </c>
    </row>
    <row r="399" spans="1:3" x14ac:dyDescent="0.2">
      <c r="A399" s="241">
        <v>37405</v>
      </c>
      <c r="B399" s="242">
        <v>13</v>
      </c>
      <c r="C399" s="238">
        <v>7.4</v>
      </c>
    </row>
    <row r="400" spans="1:3" x14ac:dyDescent="0.2">
      <c r="A400" s="241">
        <v>37406</v>
      </c>
      <c r="B400" s="242">
        <v>13.7</v>
      </c>
      <c r="C400" s="238">
        <v>10.8</v>
      </c>
    </row>
    <row r="401" spans="1:3" x14ac:dyDescent="0.2">
      <c r="A401" s="241">
        <v>37407</v>
      </c>
      <c r="B401" s="242">
        <v>12.3</v>
      </c>
      <c r="C401" s="238">
        <v>13.3</v>
      </c>
    </row>
    <row r="402" spans="1:3" x14ac:dyDescent="0.2">
      <c r="A402" s="241">
        <v>37408</v>
      </c>
      <c r="B402" s="242">
        <v>12.4</v>
      </c>
      <c r="C402" s="238">
        <v>14.1</v>
      </c>
    </row>
    <row r="403" spans="1:3" x14ac:dyDescent="0.2">
      <c r="A403" s="241">
        <v>37409</v>
      </c>
      <c r="B403" s="242">
        <v>17.899999999999999</v>
      </c>
      <c r="C403" s="238">
        <v>10.8</v>
      </c>
    </row>
    <row r="404" spans="1:3" x14ac:dyDescent="0.2">
      <c r="A404" s="241">
        <v>37410</v>
      </c>
      <c r="B404" s="242">
        <v>17</v>
      </c>
      <c r="C404" s="238">
        <v>3.1</v>
      </c>
    </row>
    <row r="405" spans="1:3" x14ac:dyDescent="0.2">
      <c r="A405" s="241">
        <v>37411</v>
      </c>
      <c r="B405" s="242">
        <v>16.3</v>
      </c>
      <c r="C405" s="238">
        <v>5.7</v>
      </c>
    </row>
    <row r="406" spans="1:3" x14ac:dyDescent="0.2">
      <c r="A406" s="241">
        <v>37412</v>
      </c>
      <c r="B406" s="242">
        <v>18.5</v>
      </c>
      <c r="C406" s="238">
        <v>0.5</v>
      </c>
    </row>
    <row r="407" spans="1:3" x14ac:dyDescent="0.2">
      <c r="A407" s="241">
        <v>37413</v>
      </c>
      <c r="B407" s="242">
        <v>15.5</v>
      </c>
      <c r="C407" s="238">
        <v>4.0999999999999996</v>
      </c>
    </row>
    <row r="408" spans="1:3" x14ac:dyDescent="0.2">
      <c r="A408" s="241">
        <v>37414</v>
      </c>
      <c r="B408" s="242">
        <v>14.5</v>
      </c>
      <c r="C408" s="238">
        <v>1.7</v>
      </c>
    </row>
    <row r="409" spans="1:3" x14ac:dyDescent="0.2">
      <c r="A409" s="241">
        <v>37415</v>
      </c>
      <c r="B409" s="242">
        <v>16.2</v>
      </c>
      <c r="C409" s="238">
        <v>6.2</v>
      </c>
    </row>
    <row r="410" spans="1:3" x14ac:dyDescent="0.2">
      <c r="A410" s="241">
        <v>37416</v>
      </c>
      <c r="B410" s="242">
        <v>15.1</v>
      </c>
      <c r="C410" s="238">
        <v>7.1</v>
      </c>
    </row>
    <row r="411" spans="1:3" x14ac:dyDescent="0.2">
      <c r="A411" s="241">
        <v>37417</v>
      </c>
      <c r="B411" s="242">
        <v>14</v>
      </c>
      <c r="C411" s="238">
        <v>6.6</v>
      </c>
    </row>
    <row r="412" spans="1:3" x14ac:dyDescent="0.2">
      <c r="A412" s="241">
        <v>37418</v>
      </c>
      <c r="B412" s="242">
        <v>14</v>
      </c>
      <c r="C412" s="238">
        <v>7.3</v>
      </c>
    </row>
    <row r="413" spans="1:3" x14ac:dyDescent="0.2">
      <c r="A413" s="241">
        <v>37419</v>
      </c>
      <c r="B413" s="242">
        <v>13.9</v>
      </c>
      <c r="C413" s="238">
        <v>1.8</v>
      </c>
    </row>
    <row r="414" spans="1:3" x14ac:dyDescent="0.2">
      <c r="A414" s="241">
        <v>37420</v>
      </c>
      <c r="B414" s="242">
        <v>14</v>
      </c>
      <c r="C414" s="238">
        <v>3.3</v>
      </c>
    </row>
    <row r="415" spans="1:3" x14ac:dyDescent="0.2">
      <c r="A415" s="241">
        <v>37421</v>
      </c>
      <c r="B415" s="242">
        <v>17.2</v>
      </c>
      <c r="C415" s="238">
        <v>1.7</v>
      </c>
    </row>
    <row r="416" spans="1:3" x14ac:dyDescent="0.2">
      <c r="A416" s="241">
        <v>37422</v>
      </c>
      <c r="B416" s="242">
        <v>16.399999999999999</v>
      </c>
      <c r="C416" s="238">
        <v>8.3000000000000007</v>
      </c>
    </row>
    <row r="417" spans="1:3" x14ac:dyDescent="0.2">
      <c r="A417" s="241">
        <v>37423</v>
      </c>
      <c r="B417" s="242">
        <v>16.7</v>
      </c>
      <c r="C417" s="238">
        <v>2.8</v>
      </c>
    </row>
    <row r="418" spans="1:3" x14ac:dyDescent="0.2">
      <c r="A418" s="241">
        <v>37424</v>
      </c>
      <c r="B418" s="242">
        <v>23</v>
      </c>
      <c r="C418" s="238">
        <v>12.8</v>
      </c>
    </row>
    <row r="419" spans="1:3" x14ac:dyDescent="0.2">
      <c r="A419" s="241">
        <v>37425</v>
      </c>
      <c r="B419" s="242">
        <v>18.399999999999999</v>
      </c>
      <c r="C419" s="238">
        <v>8.8000000000000007</v>
      </c>
    </row>
    <row r="420" spans="1:3" x14ac:dyDescent="0.2">
      <c r="A420" s="241">
        <v>37426</v>
      </c>
      <c r="B420" s="242">
        <v>16.3</v>
      </c>
      <c r="C420" s="238">
        <v>11.3</v>
      </c>
    </row>
    <row r="421" spans="1:3" x14ac:dyDescent="0.2">
      <c r="A421" s="241">
        <v>37427</v>
      </c>
      <c r="B421" s="242">
        <v>14.6</v>
      </c>
      <c r="C421" s="238">
        <v>0.3</v>
      </c>
    </row>
    <row r="422" spans="1:3" x14ac:dyDescent="0.2">
      <c r="A422" s="241">
        <v>37428</v>
      </c>
      <c r="B422" s="242">
        <v>15.4</v>
      </c>
      <c r="C422" s="238">
        <v>8.1</v>
      </c>
    </row>
    <row r="423" spans="1:3" x14ac:dyDescent="0.2">
      <c r="A423" s="241">
        <v>37429</v>
      </c>
      <c r="B423" s="242">
        <v>16.3</v>
      </c>
      <c r="C423" s="238">
        <v>1.6</v>
      </c>
    </row>
    <row r="424" spans="1:3" x14ac:dyDescent="0.2">
      <c r="A424" s="241">
        <v>37430</v>
      </c>
      <c r="B424" s="242">
        <v>15.7</v>
      </c>
      <c r="C424" s="238">
        <v>11</v>
      </c>
    </row>
    <row r="425" spans="1:3" x14ac:dyDescent="0.2">
      <c r="A425" s="241">
        <v>37431</v>
      </c>
      <c r="B425" s="242">
        <v>16.100000000000001</v>
      </c>
      <c r="C425" s="238">
        <v>15</v>
      </c>
    </row>
    <row r="426" spans="1:3" x14ac:dyDescent="0.2">
      <c r="A426" s="241">
        <v>37432</v>
      </c>
      <c r="B426" s="242">
        <v>16.2</v>
      </c>
      <c r="C426" s="238">
        <v>12.6</v>
      </c>
    </row>
    <row r="427" spans="1:3" x14ac:dyDescent="0.2">
      <c r="A427" s="241">
        <v>37433</v>
      </c>
      <c r="B427" s="242">
        <v>16.899999999999999</v>
      </c>
      <c r="C427" s="238">
        <v>9.6999999999999993</v>
      </c>
    </row>
    <row r="428" spans="1:3" x14ac:dyDescent="0.2">
      <c r="A428" s="241">
        <v>37434</v>
      </c>
      <c r="B428" s="242">
        <v>14.7</v>
      </c>
      <c r="C428" s="238">
        <v>9.9</v>
      </c>
    </row>
    <row r="429" spans="1:3" x14ac:dyDescent="0.2">
      <c r="A429" s="241">
        <v>37435</v>
      </c>
      <c r="B429" s="242">
        <v>13.8</v>
      </c>
      <c r="C429" s="238">
        <v>3.6</v>
      </c>
    </row>
    <row r="430" spans="1:3" x14ac:dyDescent="0.2">
      <c r="A430" s="241">
        <v>37436</v>
      </c>
      <c r="B430" s="242">
        <v>15.2</v>
      </c>
      <c r="C430" s="238">
        <v>11.4</v>
      </c>
    </row>
    <row r="431" spans="1:3" x14ac:dyDescent="0.2">
      <c r="A431" s="241">
        <v>37437</v>
      </c>
      <c r="B431" s="242">
        <v>15.7</v>
      </c>
      <c r="C431" s="238">
        <v>0.9</v>
      </c>
    </row>
    <row r="432" spans="1:3" x14ac:dyDescent="0.2">
      <c r="A432" s="241">
        <v>37438</v>
      </c>
      <c r="B432" s="242">
        <v>14.3</v>
      </c>
      <c r="C432" s="238">
        <v>1.4</v>
      </c>
    </row>
    <row r="433" spans="1:3" x14ac:dyDescent="0.2">
      <c r="A433" s="241">
        <v>37439</v>
      </c>
      <c r="B433" s="242">
        <v>15.1</v>
      </c>
      <c r="C433" s="238">
        <v>7.8</v>
      </c>
    </row>
    <row r="434" spans="1:3" x14ac:dyDescent="0.2">
      <c r="A434" s="241">
        <v>37440</v>
      </c>
      <c r="B434" s="242">
        <v>14.1</v>
      </c>
      <c r="C434" s="238">
        <v>1.2</v>
      </c>
    </row>
    <row r="435" spans="1:3" x14ac:dyDescent="0.2">
      <c r="A435" s="241">
        <v>37441</v>
      </c>
      <c r="B435" s="242">
        <v>15.6</v>
      </c>
      <c r="C435" s="238">
        <v>10.6</v>
      </c>
    </row>
    <row r="436" spans="1:3" x14ac:dyDescent="0.2">
      <c r="A436" s="241">
        <v>37442</v>
      </c>
      <c r="B436" s="242">
        <v>14.9</v>
      </c>
      <c r="C436" s="238">
        <v>0</v>
      </c>
    </row>
    <row r="437" spans="1:3" x14ac:dyDescent="0.2">
      <c r="A437" s="241">
        <v>37443</v>
      </c>
      <c r="B437" s="242">
        <v>15.4</v>
      </c>
      <c r="C437" s="238">
        <v>3</v>
      </c>
    </row>
    <row r="438" spans="1:3" x14ac:dyDescent="0.2">
      <c r="A438" s="241">
        <v>37444</v>
      </c>
      <c r="B438" s="242">
        <v>15.8</v>
      </c>
      <c r="C438" s="238">
        <v>0.9</v>
      </c>
    </row>
    <row r="439" spans="1:3" x14ac:dyDescent="0.2">
      <c r="A439" s="241">
        <v>37445</v>
      </c>
      <c r="B439" s="242">
        <v>17.899999999999999</v>
      </c>
      <c r="C439" s="238">
        <v>6.9</v>
      </c>
    </row>
    <row r="440" spans="1:3" x14ac:dyDescent="0.2">
      <c r="A440" s="241">
        <v>37446</v>
      </c>
      <c r="B440" s="242">
        <v>18.8</v>
      </c>
      <c r="C440" s="238">
        <v>3.2</v>
      </c>
    </row>
    <row r="441" spans="1:3" x14ac:dyDescent="0.2">
      <c r="A441" s="241">
        <v>37447</v>
      </c>
      <c r="B441" s="242">
        <v>15.7</v>
      </c>
      <c r="C441" s="238">
        <v>2.8</v>
      </c>
    </row>
    <row r="442" spans="1:3" x14ac:dyDescent="0.2">
      <c r="A442" s="241">
        <v>37448</v>
      </c>
      <c r="B442" s="242">
        <v>16.2</v>
      </c>
      <c r="C442" s="238">
        <v>13.2</v>
      </c>
    </row>
    <row r="443" spans="1:3" x14ac:dyDescent="0.2">
      <c r="A443" s="241">
        <v>37449</v>
      </c>
      <c r="B443" s="242">
        <v>15.9</v>
      </c>
      <c r="C443" s="238">
        <v>3.6</v>
      </c>
    </row>
    <row r="444" spans="1:3" x14ac:dyDescent="0.2">
      <c r="A444" s="241">
        <v>37450</v>
      </c>
      <c r="B444" s="242">
        <v>16.7</v>
      </c>
      <c r="C444" s="238">
        <v>3.2</v>
      </c>
    </row>
    <row r="445" spans="1:3" x14ac:dyDescent="0.2">
      <c r="A445" s="241">
        <v>37451</v>
      </c>
      <c r="B445" s="242">
        <v>16.600000000000001</v>
      </c>
      <c r="C445" s="238">
        <v>1.2</v>
      </c>
    </row>
    <row r="446" spans="1:3" x14ac:dyDescent="0.2">
      <c r="A446" s="241">
        <v>37452</v>
      </c>
      <c r="B446" s="242">
        <v>17.100000000000001</v>
      </c>
      <c r="C446" s="238">
        <v>10.7</v>
      </c>
    </row>
    <row r="447" spans="1:3" x14ac:dyDescent="0.2">
      <c r="A447" s="241">
        <v>37453</v>
      </c>
      <c r="B447" s="242">
        <v>18.100000000000001</v>
      </c>
      <c r="C447" s="238">
        <v>14.9</v>
      </c>
    </row>
    <row r="448" spans="1:3" x14ac:dyDescent="0.2">
      <c r="A448" s="241">
        <v>37454</v>
      </c>
      <c r="B448" s="242">
        <v>17.100000000000001</v>
      </c>
      <c r="C448" s="238">
        <v>8.1</v>
      </c>
    </row>
    <row r="449" spans="1:3" x14ac:dyDescent="0.2">
      <c r="A449" s="241">
        <v>37455</v>
      </c>
      <c r="B449" s="242">
        <v>16</v>
      </c>
      <c r="C449" s="238">
        <v>6.1</v>
      </c>
    </row>
    <row r="450" spans="1:3" x14ac:dyDescent="0.2">
      <c r="A450" s="241">
        <v>37456</v>
      </c>
      <c r="B450" s="242">
        <v>15</v>
      </c>
      <c r="C450" s="238">
        <v>8.4</v>
      </c>
    </row>
    <row r="451" spans="1:3" x14ac:dyDescent="0.2">
      <c r="A451" s="241">
        <v>37457</v>
      </c>
      <c r="B451" s="242">
        <v>15.2</v>
      </c>
      <c r="C451" s="238">
        <v>6.4</v>
      </c>
    </row>
    <row r="452" spans="1:3" x14ac:dyDescent="0.2">
      <c r="A452" s="241">
        <v>37458</v>
      </c>
      <c r="B452" s="242">
        <v>15.5</v>
      </c>
      <c r="C452" s="238">
        <v>5.3</v>
      </c>
    </row>
    <row r="453" spans="1:3" x14ac:dyDescent="0.2">
      <c r="A453" s="241">
        <v>37459</v>
      </c>
      <c r="B453" s="242">
        <v>16.5</v>
      </c>
      <c r="C453" s="238">
        <v>6.9</v>
      </c>
    </row>
    <row r="454" spans="1:3" x14ac:dyDescent="0.2">
      <c r="A454" s="241">
        <v>37460</v>
      </c>
      <c r="B454" s="242">
        <v>17.3</v>
      </c>
      <c r="C454" s="238">
        <v>1.3</v>
      </c>
    </row>
    <row r="455" spans="1:3" x14ac:dyDescent="0.2">
      <c r="A455" s="241">
        <v>37461</v>
      </c>
      <c r="B455" s="242">
        <v>16.3</v>
      </c>
      <c r="C455" s="238">
        <v>7.8</v>
      </c>
    </row>
    <row r="456" spans="1:3" x14ac:dyDescent="0.2">
      <c r="A456" s="241">
        <v>37462</v>
      </c>
      <c r="B456" s="242">
        <v>16.8</v>
      </c>
      <c r="C456" s="238">
        <v>3.9</v>
      </c>
    </row>
    <row r="457" spans="1:3" x14ac:dyDescent="0.2">
      <c r="A457" s="241">
        <v>37463</v>
      </c>
      <c r="B457" s="242">
        <v>18.399999999999999</v>
      </c>
      <c r="C457" s="238">
        <v>10.3</v>
      </c>
    </row>
    <row r="458" spans="1:3" x14ac:dyDescent="0.2">
      <c r="A458" s="241">
        <v>37464</v>
      </c>
      <c r="B458" s="242">
        <v>18.2</v>
      </c>
      <c r="C458" s="238">
        <v>9.6</v>
      </c>
    </row>
    <row r="459" spans="1:3" x14ac:dyDescent="0.2">
      <c r="A459" s="241">
        <v>37465</v>
      </c>
      <c r="B459" s="242">
        <v>23.8</v>
      </c>
      <c r="C459" s="238">
        <v>10.3</v>
      </c>
    </row>
    <row r="460" spans="1:3" x14ac:dyDescent="0.2">
      <c r="A460" s="241">
        <v>37466</v>
      </c>
      <c r="B460" s="242">
        <v>25.1</v>
      </c>
      <c r="C460" s="238">
        <v>13</v>
      </c>
    </row>
    <row r="461" spans="1:3" x14ac:dyDescent="0.2">
      <c r="A461" s="241">
        <v>37467</v>
      </c>
      <c r="B461" s="242">
        <v>22.8</v>
      </c>
      <c r="C461" s="238">
        <v>11</v>
      </c>
    </row>
    <row r="462" spans="1:3" x14ac:dyDescent="0.2">
      <c r="A462" s="241">
        <v>37468</v>
      </c>
      <c r="B462" s="242">
        <v>19.8</v>
      </c>
      <c r="C462" s="238">
        <v>2.4</v>
      </c>
    </row>
    <row r="463" spans="1:3" x14ac:dyDescent="0.2">
      <c r="A463" s="241">
        <v>37469</v>
      </c>
      <c r="B463" s="242">
        <v>16.8</v>
      </c>
      <c r="C463" s="238">
        <v>0</v>
      </c>
    </row>
    <row r="464" spans="1:3" x14ac:dyDescent="0.2">
      <c r="A464" s="241">
        <v>37470</v>
      </c>
      <c r="B464" s="242">
        <v>19.3</v>
      </c>
      <c r="C464" s="238">
        <v>10.5</v>
      </c>
    </row>
    <row r="465" spans="1:3" x14ac:dyDescent="0.2">
      <c r="A465" s="241">
        <v>37471</v>
      </c>
      <c r="B465" s="242">
        <v>16.399999999999999</v>
      </c>
      <c r="C465" s="238">
        <v>2.2999999999999998</v>
      </c>
    </row>
    <row r="466" spans="1:3" x14ac:dyDescent="0.2">
      <c r="A466" s="241">
        <v>37472</v>
      </c>
      <c r="B466" s="242">
        <v>16.3</v>
      </c>
      <c r="C466" s="238">
        <v>4.5</v>
      </c>
    </row>
    <row r="467" spans="1:3" x14ac:dyDescent="0.2">
      <c r="A467" s="241">
        <v>37473</v>
      </c>
      <c r="B467" s="242">
        <v>16.8</v>
      </c>
      <c r="C467" s="238">
        <v>0.1</v>
      </c>
    </row>
    <row r="468" spans="1:3" x14ac:dyDescent="0.2">
      <c r="A468" s="241">
        <v>37474</v>
      </c>
      <c r="B468" s="242">
        <v>17.600000000000001</v>
      </c>
      <c r="C468" s="238">
        <v>3.9</v>
      </c>
    </row>
    <row r="469" spans="1:3" x14ac:dyDescent="0.2">
      <c r="A469" s="241">
        <v>37475</v>
      </c>
      <c r="B469" s="242">
        <v>17.7</v>
      </c>
      <c r="C469" s="238">
        <v>7.3</v>
      </c>
    </row>
    <row r="470" spans="1:3" x14ac:dyDescent="0.2">
      <c r="A470" s="241">
        <v>37476</v>
      </c>
      <c r="B470" s="242">
        <v>18.100000000000001</v>
      </c>
      <c r="C470" s="238">
        <v>6.7</v>
      </c>
    </row>
    <row r="471" spans="1:3" x14ac:dyDescent="0.2">
      <c r="A471" s="241">
        <v>37477</v>
      </c>
      <c r="B471" s="242">
        <v>18.399999999999999</v>
      </c>
      <c r="C471" s="238">
        <v>4.5999999999999996</v>
      </c>
    </row>
    <row r="472" spans="1:3" x14ac:dyDescent="0.2">
      <c r="A472" s="241">
        <v>37478</v>
      </c>
      <c r="B472" s="242">
        <v>18.600000000000001</v>
      </c>
      <c r="C472" s="238">
        <v>1.2</v>
      </c>
    </row>
    <row r="473" spans="1:3" x14ac:dyDescent="0.2">
      <c r="A473" s="241">
        <v>37479</v>
      </c>
      <c r="B473" s="242">
        <v>18.100000000000001</v>
      </c>
      <c r="C473" s="238">
        <v>3.8</v>
      </c>
    </row>
    <row r="474" spans="1:3" x14ac:dyDescent="0.2">
      <c r="A474" s="241">
        <v>37480</v>
      </c>
      <c r="B474" s="242">
        <v>18.399999999999999</v>
      </c>
      <c r="C474" s="238">
        <v>10.6</v>
      </c>
    </row>
    <row r="475" spans="1:3" x14ac:dyDescent="0.2">
      <c r="A475" s="241">
        <v>37481</v>
      </c>
      <c r="B475" s="242">
        <v>18.7</v>
      </c>
      <c r="C475" s="238">
        <v>12.4</v>
      </c>
    </row>
    <row r="476" spans="1:3" x14ac:dyDescent="0.2">
      <c r="A476" s="241">
        <v>37482</v>
      </c>
      <c r="B476" s="242">
        <v>20</v>
      </c>
      <c r="C476" s="238">
        <v>7.3</v>
      </c>
    </row>
    <row r="477" spans="1:3" x14ac:dyDescent="0.2">
      <c r="A477" s="241">
        <v>37483</v>
      </c>
      <c r="B477" s="242">
        <v>22.3</v>
      </c>
      <c r="C477" s="238">
        <v>10.4</v>
      </c>
    </row>
    <row r="478" spans="1:3" x14ac:dyDescent="0.2">
      <c r="A478" s="241">
        <v>37484</v>
      </c>
      <c r="B478" s="242">
        <v>23.3</v>
      </c>
      <c r="C478" s="238">
        <v>11.3</v>
      </c>
    </row>
    <row r="479" spans="1:3" x14ac:dyDescent="0.2">
      <c r="A479" s="241">
        <v>37485</v>
      </c>
      <c r="B479" s="242">
        <v>23.3</v>
      </c>
      <c r="C479" s="238">
        <v>13.5</v>
      </c>
    </row>
    <row r="480" spans="1:3" x14ac:dyDescent="0.2">
      <c r="A480" s="241">
        <v>37486</v>
      </c>
      <c r="B480" s="242">
        <v>24</v>
      </c>
      <c r="C480" s="238">
        <v>9.9</v>
      </c>
    </row>
    <row r="481" spans="1:3" x14ac:dyDescent="0.2">
      <c r="A481" s="241">
        <v>37487</v>
      </c>
      <c r="B481" s="242">
        <v>21.8</v>
      </c>
      <c r="C481" s="238">
        <v>4.4000000000000004</v>
      </c>
    </row>
    <row r="482" spans="1:3" x14ac:dyDescent="0.2">
      <c r="A482" s="241">
        <v>37488</v>
      </c>
      <c r="B482" s="242">
        <v>18.399999999999999</v>
      </c>
      <c r="C482" s="238">
        <v>0.2</v>
      </c>
    </row>
    <row r="483" spans="1:3" x14ac:dyDescent="0.2">
      <c r="A483" s="241">
        <v>37489</v>
      </c>
      <c r="B483" s="242">
        <v>18.100000000000001</v>
      </c>
      <c r="C483" s="238">
        <v>0.2</v>
      </c>
    </row>
    <row r="484" spans="1:3" x14ac:dyDescent="0.2">
      <c r="A484" s="241">
        <v>37490</v>
      </c>
      <c r="B484" s="242">
        <v>16.3</v>
      </c>
      <c r="C484" s="238">
        <v>6.3</v>
      </c>
    </row>
    <row r="485" spans="1:3" x14ac:dyDescent="0.2">
      <c r="A485" s="241">
        <v>37491</v>
      </c>
      <c r="B485" s="242">
        <v>16.3</v>
      </c>
      <c r="C485" s="238">
        <v>4</v>
      </c>
    </row>
    <row r="486" spans="1:3" x14ac:dyDescent="0.2">
      <c r="A486" s="241">
        <v>37492</v>
      </c>
      <c r="B486" s="242">
        <v>16.399999999999999</v>
      </c>
      <c r="C486" s="238">
        <v>0</v>
      </c>
    </row>
    <row r="487" spans="1:3" x14ac:dyDescent="0.2">
      <c r="A487" s="241">
        <v>37493</v>
      </c>
      <c r="B487" s="242">
        <v>17.5</v>
      </c>
      <c r="C487" s="238">
        <v>8.4</v>
      </c>
    </row>
    <row r="488" spans="1:3" x14ac:dyDescent="0.2">
      <c r="A488" s="241">
        <v>37494</v>
      </c>
      <c r="B488" s="242">
        <v>17.5</v>
      </c>
      <c r="C488" s="238">
        <v>10.5</v>
      </c>
    </row>
    <row r="489" spans="1:3" x14ac:dyDescent="0.2">
      <c r="A489" s="241">
        <v>37495</v>
      </c>
      <c r="B489" s="242">
        <v>19.5</v>
      </c>
      <c r="C489" s="238">
        <v>1.9</v>
      </c>
    </row>
    <row r="490" spans="1:3" x14ac:dyDescent="0.2">
      <c r="A490" s="241">
        <v>37496</v>
      </c>
      <c r="B490" s="242">
        <v>18.7</v>
      </c>
      <c r="C490" s="238">
        <v>7.5</v>
      </c>
    </row>
    <row r="491" spans="1:3" x14ac:dyDescent="0.2">
      <c r="A491" s="241">
        <v>37497</v>
      </c>
      <c r="B491" s="242">
        <v>18.3</v>
      </c>
      <c r="C491" s="238">
        <v>8.1999999999999993</v>
      </c>
    </row>
    <row r="492" spans="1:3" x14ac:dyDescent="0.2">
      <c r="A492" s="241">
        <v>37498</v>
      </c>
      <c r="B492" s="242">
        <v>19.8</v>
      </c>
      <c r="C492" s="238">
        <v>5.2</v>
      </c>
    </row>
    <row r="493" spans="1:3" x14ac:dyDescent="0.2">
      <c r="A493" s="241">
        <v>37499</v>
      </c>
      <c r="B493" s="242">
        <v>17.399999999999999</v>
      </c>
      <c r="C493" s="238">
        <v>3.1</v>
      </c>
    </row>
    <row r="494" spans="1:3" x14ac:dyDescent="0.2">
      <c r="A494" s="241">
        <v>37500</v>
      </c>
      <c r="B494" s="242">
        <v>14.8</v>
      </c>
      <c r="C494" s="238">
        <v>7.2</v>
      </c>
    </row>
    <row r="495" spans="1:3" x14ac:dyDescent="0.2">
      <c r="A495" s="241">
        <v>37501</v>
      </c>
      <c r="B495" s="242">
        <v>16.2</v>
      </c>
      <c r="C495" s="238">
        <v>12.7</v>
      </c>
    </row>
    <row r="496" spans="1:3" x14ac:dyDescent="0.2">
      <c r="A496" s="241">
        <v>37502</v>
      </c>
      <c r="B496" s="242">
        <v>16.8</v>
      </c>
      <c r="C496" s="238">
        <v>10.199999999999999</v>
      </c>
    </row>
    <row r="497" spans="1:3" x14ac:dyDescent="0.2">
      <c r="A497" s="241">
        <v>37503</v>
      </c>
      <c r="B497" s="242">
        <v>15.2</v>
      </c>
      <c r="C497" s="238">
        <v>12.2</v>
      </c>
    </row>
    <row r="498" spans="1:3" x14ac:dyDescent="0.2">
      <c r="A498" s="241">
        <v>37504</v>
      </c>
      <c r="B498" s="242">
        <v>16.600000000000001</v>
      </c>
      <c r="C498" s="238">
        <v>11.3</v>
      </c>
    </row>
    <row r="499" spans="1:3" x14ac:dyDescent="0.2">
      <c r="A499" s="241">
        <v>37505</v>
      </c>
      <c r="B499" s="242">
        <v>18.399999999999999</v>
      </c>
      <c r="C499" s="238">
        <v>3</v>
      </c>
    </row>
    <row r="500" spans="1:3" x14ac:dyDescent="0.2">
      <c r="A500" s="241">
        <v>37506</v>
      </c>
      <c r="B500" s="242">
        <v>17.600000000000001</v>
      </c>
      <c r="C500" s="238">
        <v>1.1000000000000001</v>
      </c>
    </row>
    <row r="501" spans="1:3" x14ac:dyDescent="0.2">
      <c r="A501" s="241">
        <v>37507</v>
      </c>
      <c r="B501" s="242">
        <v>17.8</v>
      </c>
      <c r="C501" s="238">
        <v>2.6</v>
      </c>
    </row>
    <row r="502" spans="1:3" x14ac:dyDescent="0.2">
      <c r="A502" s="241">
        <v>37508</v>
      </c>
      <c r="B502" s="242">
        <v>19.100000000000001</v>
      </c>
      <c r="C502" s="238">
        <v>2.7</v>
      </c>
    </row>
    <row r="503" spans="1:3" x14ac:dyDescent="0.2">
      <c r="A503" s="241">
        <v>37509</v>
      </c>
      <c r="B503" s="242">
        <v>16.3</v>
      </c>
      <c r="C503" s="238">
        <v>0</v>
      </c>
    </row>
    <row r="504" spans="1:3" x14ac:dyDescent="0.2">
      <c r="A504" s="241">
        <v>37510</v>
      </c>
      <c r="B504" s="242">
        <v>17.8</v>
      </c>
      <c r="C504" s="238">
        <v>1.3</v>
      </c>
    </row>
    <row r="505" spans="1:3" x14ac:dyDescent="0.2">
      <c r="A505" s="241">
        <v>37511</v>
      </c>
      <c r="B505" s="242">
        <v>16.8</v>
      </c>
      <c r="C505" s="238">
        <v>11.8</v>
      </c>
    </row>
    <row r="506" spans="1:3" x14ac:dyDescent="0.2">
      <c r="A506" s="241">
        <v>37512</v>
      </c>
      <c r="B506" s="242">
        <v>17</v>
      </c>
      <c r="C506" s="238">
        <v>11.8</v>
      </c>
    </row>
    <row r="507" spans="1:3" x14ac:dyDescent="0.2">
      <c r="A507" s="241">
        <v>37513</v>
      </c>
      <c r="B507" s="242">
        <v>16.399999999999999</v>
      </c>
      <c r="C507" s="238">
        <v>1.2</v>
      </c>
    </row>
    <row r="508" spans="1:3" x14ac:dyDescent="0.2">
      <c r="A508" s="241">
        <v>37514</v>
      </c>
      <c r="B508" s="242">
        <v>15.8</v>
      </c>
      <c r="C508" s="238">
        <v>11.4</v>
      </c>
    </row>
    <row r="509" spans="1:3" x14ac:dyDescent="0.2">
      <c r="A509" s="241">
        <v>37515</v>
      </c>
      <c r="B509" s="242">
        <v>15.5</v>
      </c>
      <c r="C509" s="238">
        <v>4.7</v>
      </c>
    </row>
    <row r="510" spans="1:3" x14ac:dyDescent="0.2">
      <c r="A510" s="241">
        <v>37516</v>
      </c>
      <c r="B510" s="242">
        <v>15.9</v>
      </c>
      <c r="C510" s="238">
        <v>0.4</v>
      </c>
    </row>
    <row r="511" spans="1:3" x14ac:dyDescent="0.2">
      <c r="A511" s="241">
        <v>37517</v>
      </c>
      <c r="B511" s="242">
        <v>14.2</v>
      </c>
      <c r="C511" s="238">
        <v>0</v>
      </c>
    </row>
    <row r="512" spans="1:3" x14ac:dyDescent="0.2">
      <c r="A512" s="241">
        <v>37518</v>
      </c>
      <c r="B512" s="242">
        <v>14.7</v>
      </c>
      <c r="C512" s="238">
        <v>0</v>
      </c>
    </row>
    <row r="513" spans="1:3" x14ac:dyDescent="0.2">
      <c r="A513" s="241">
        <v>37519</v>
      </c>
      <c r="B513" s="242">
        <v>15.4</v>
      </c>
      <c r="C513" s="238">
        <v>7.1</v>
      </c>
    </row>
    <row r="514" spans="1:3" x14ac:dyDescent="0.2">
      <c r="A514" s="241">
        <v>37520</v>
      </c>
      <c r="B514" s="242">
        <v>14.5</v>
      </c>
      <c r="C514" s="238">
        <v>2.2000000000000002</v>
      </c>
    </row>
    <row r="515" spans="1:3" x14ac:dyDescent="0.2">
      <c r="A515" s="241">
        <v>37521</v>
      </c>
      <c r="B515" s="242">
        <v>13.5</v>
      </c>
      <c r="C515" s="238">
        <v>7.2</v>
      </c>
    </row>
    <row r="516" spans="1:3" x14ac:dyDescent="0.2">
      <c r="A516" s="241">
        <v>37522</v>
      </c>
      <c r="B516" s="242">
        <v>12.2</v>
      </c>
      <c r="C516" s="238">
        <v>9.3000000000000007</v>
      </c>
    </row>
    <row r="517" spans="1:3" x14ac:dyDescent="0.2">
      <c r="A517" s="241">
        <v>37523</v>
      </c>
      <c r="B517" s="242">
        <v>11.1</v>
      </c>
      <c r="C517" s="238">
        <v>10</v>
      </c>
    </row>
    <row r="518" spans="1:3" x14ac:dyDescent="0.2">
      <c r="A518" s="241">
        <v>37524</v>
      </c>
      <c r="B518" s="242">
        <v>14.7</v>
      </c>
      <c r="C518" s="238">
        <v>3.6</v>
      </c>
    </row>
    <row r="519" spans="1:3" x14ac:dyDescent="0.2">
      <c r="A519" s="241">
        <v>37525</v>
      </c>
      <c r="B519" s="242">
        <v>14</v>
      </c>
      <c r="C519" s="238">
        <v>3.8</v>
      </c>
    </row>
    <row r="520" spans="1:3" x14ac:dyDescent="0.2">
      <c r="A520" s="241">
        <v>37526</v>
      </c>
      <c r="B520" s="242">
        <v>13.2</v>
      </c>
      <c r="C520" s="238">
        <v>2.6</v>
      </c>
    </row>
    <row r="521" spans="1:3" x14ac:dyDescent="0.2">
      <c r="A521" s="241">
        <v>37527</v>
      </c>
      <c r="B521" s="242">
        <v>13.8</v>
      </c>
      <c r="C521" s="238">
        <v>6.8</v>
      </c>
    </row>
    <row r="522" spans="1:3" x14ac:dyDescent="0.2">
      <c r="A522" s="241">
        <v>37528</v>
      </c>
      <c r="B522" s="242">
        <v>14.7</v>
      </c>
      <c r="C522" s="238">
        <v>5.4</v>
      </c>
    </row>
    <row r="523" spans="1:3" x14ac:dyDescent="0.2">
      <c r="A523" s="241">
        <v>37529</v>
      </c>
      <c r="B523" s="242">
        <v>13.9</v>
      </c>
      <c r="C523" s="238">
        <v>10</v>
      </c>
    </row>
    <row r="524" spans="1:3" x14ac:dyDescent="0.2">
      <c r="A524" s="241">
        <v>37530</v>
      </c>
      <c r="B524" s="242">
        <v>13.5</v>
      </c>
      <c r="C524" s="238">
        <v>7.6</v>
      </c>
    </row>
    <row r="525" spans="1:3" x14ac:dyDescent="0.2">
      <c r="A525" s="241">
        <v>37531</v>
      </c>
      <c r="B525" s="242">
        <v>15.5</v>
      </c>
      <c r="C525" s="238">
        <v>3</v>
      </c>
    </row>
    <row r="526" spans="1:3" x14ac:dyDescent="0.2">
      <c r="A526" s="241">
        <v>37532</v>
      </c>
      <c r="B526" s="242">
        <v>15.7</v>
      </c>
      <c r="C526" s="238">
        <v>1.1000000000000001</v>
      </c>
    </row>
    <row r="527" spans="1:3" x14ac:dyDescent="0.2">
      <c r="A527" s="241">
        <v>37533</v>
      </c>
      <c r="B527" s="242">
        <v>15</v>
      </c>
      <c r="C527" s="238">
        <v>8</v>
      </c>
    </row>
    <row r="528" spans="1:3" x14ac:dyDescent="0.2">
      <c r="A528" s="241">
        <v>37534</v>
      </c>
      <c r="B528" s="242">
        <v>15.1</v>
      </c>
      <c r="C528" s="238">
        <v>0</v>
      </c>
    </row>
    <row r="529" spans="1:3" x14ac:dyDescent="0.2">
      <c r="A529" s="241">
        <v>37535</v>
      </c>
      <c r="B529" s="242">
        <v>10.8</v>
      </c>
      <c r="C529" s="238">
        <v>7.8</v>
      </c>
    </row>
    <row r="530" spans="1:3" x14ac:dyDescent="0.2">
      <c r="A530" s="241">
        <v>37536</v>
      </c>
      <c r="B530" s="242">
        <v>10.5</v>
      </c>
      <c r="C530" s="238">
        <v>0.1</v>
      </c>
    </row>
    <row r="531" spans="1:3" x14ac:dyDescent="0.2">
      <c r="A531" s="241">
        <v>37537</v>
      </c>
      <c r="B531" s="242">
        <v>10.5</v>
      </c>
      <c r="C531" s="238">
        <v>0.1</v>
      </c>
    </row>
    <row r="532" spans="1:3" x14ac:dyDescent="0.2">
      <c r="A532" s="241">
        <v>37538</v>
      </c>
      <c r="B532" s="242">
        <v>10.5</v>
      </c>
      <c r="C532" s="238">
        <v>0.1</v>
      </c>
    </row>
    <row r="533" spans="1:3" x14ac:dyDescent="0.2">
      <c r="A533" s="241">
        <v>37539</v>
      </c>
      <c r="B533" s="242">
        <v>10.5</v>
      </c>
      <c r="C533" s="238">
        <v>0.1</v>
      </c>
    </row>
    <row r="534" spans="1:3" x14ac:dyDescent="0.2">
      <c r="A534" s="241">
        <v>37540</v>
      </c>
      <c r="B534" s="242">
        <v>10.5</v>
      </c>
      <c r="C534" s="238">
        <v>0.1</v>
      </c>
    </row>
    <row r="535" spans="1:3" x14ac:dyDescent="0.2">
      <c r="A535" s="241">
        <v>37541</v>
      </c>
      <c r="B535" s="242">
        <v>10.5</v>
      </c>
      <c r="C535" s="238">
        <v>0.1</v>
      </c>
    </row>
    <row r="536" spans="1:3" x14ac:dyDescent="0.2">
      <c r="A536" s="241">
        <v>37542</v>
      </c>
      <c r="B536" s="242">
        <v>10.5</v>
      </c>
      <c r="C536" s="238">
        <v>0.1</v>
      </c>
    </row>
    <row r="537" spans="1:3" x14ac:dyDescent="0.2">
      <c r="A537" s="241">
        <v>37543</v>
      </c>
      <c r="B537" s="242">
        <v>10.5</v>
      </c>
      <c r="C537" s="238">
        <v>0.1</v>
      </c>
    </row>
    <row r="538" spans="1:3" x14ac:dyDescent="0.2">
      <c r="A538" s="241">
        <v>37544</v>
      </c>
      <c r="B538" s="242">
        <v>10.5</v>
      </c>
      <c r="C538" s="238">
        <v>0.1</v>
      </c>
    </row>
    <row r="539" spans="1:3" x14ac:dyDescent="0.2">
      <c r="A539" s="241">
        <v>37545</v>
      </c>
      <c r="B539" s="242">
        <v>10.5</v>
      </c>
      <c r="C539" s="238">
        <v>0.1</v>
      </c>
    </row>
    <row r="540" spans="1:3" x14ac:dyDescent="0.2">
      <c r="A540" s="241">
        <v>37546</v>
      </c>
      <c r="B540" s="242">
        <v>10.5</v>
      </c>
      <c r="C540" s="238">
        <v>0.1</v>
      </c>
    </row>
    <row r="541" spans="1:3" x14ac:dyDescent="0.2">
      <c r="A541" s="241">
        <v>37547</v>
      </c>
      <c r="B541" s="242">
        <v>10.5</v>
      </c>
      <c r="C541" s="238">
        <v>0.1</v>
      </c>
    </row>
    <row r="542" spans="1:3" x14ac:dyDescent="0.2">
      <c r="A542" s="241">
        <v>37548</v>
      </c>
      <c r="B542" s="242">
        <v>10.5</v>
      </c>
      <c r="C542" s="238">
        <v>0.1</v>
      </c>
    </row>
    <row r="543" spans="1:3" x14ac:dyDescent="0.2">
      <c r="A543" s="241">
        <v>37549</v>
      </c>
      <c r="B543" s="242">
        <v>10.5</v>
      </c>
      <c r="C543" s="238">
        <v>0.1</v>
      </c>
    </row>
    <row r="544" spans="1:3" x14ac:dyDescent="0.2">
      <c r="A544" s="241">
        <v>37550</v>
      </c>
      <c r="B544" s="242">
        <v>10.5</v>
      </c>
      <c r="C544" s="238">
        <v>0.1</v>
      </c>
    </row>
    <row r="545" spans="1:3" x14ac:dyDescent="0.2">
      <c r="A545" s="241">
        <v>37551</v>
      </c>
      <c r="B545" s="242">
        <v>10.5</v>
      </c>
      <c r="C545" s="238">
        <v>0.1</v>
      </c>
    </row>
    <row r="546" spans="1:3" x14ac:dyDescent="0.2">
      <c r="A546" s="241">
        <v>37552</v>
      </c>
      <c r="B546" s="242">
        <v>10.7</v>
      </c>
      <c r="C546" s="238">
        <v>3</v>
      </c>
    </row>
    <row r="547" spans="1:3" x14ac:dyDescent="0.2">
      <c r="A547" s="241">
        <v>37553</v>
      </c>
      <c r="B547" s="242">
        <v>9.4</v>
      </c>
      <c r="C547" s="238">
        <v>6</v>
      </c>
    </row>
    <row r="548" spans="1:3" x14ac:dyDescent="0.2">
      <c r="A548" s="241">
        <v>37554</v>
      </c>
      <c r="B548" s="242">
        <v>12.3</v>
      </c>
      <c r="C548" s="238">
        <v>0.2</v>
      </c>
    </row>
    <row r="549" spans="1:3" x14ac:dyDescent="0.2">
      <c r="A549" s="241">
        <v>37555</v>
      </c>
      <c r="B549" s="242">
        <v>11.7</v>
      </c>
      <c r="C549" s="238">
        <v>1.4</v>
      </c>
    </row>
    <row r="550" spans="1:3" x14ac:dyDescent="0.2">
      <c r="A550" s="241">
        <v>37556</v>
      </c>
      <c r="B550" s="242">
        <v>11.8</v>
      </c>
      <c r="C550" s="238">
        <v>0.9</v>
      </c>
    </row>
    <row r="551" spans="1:3" x14ac:dyDescent="0.2">
      <c r="A551" s="241">
        <v>37557</v>
      </c>
      <c r="B551" s="242">
        <v>10.8</v>
      </c>
      <c r="C551" s="238">
        <v>7.9</v>
      </c>
    </row>
    <row r="552" spans="1:3" x14ac:dyDescent="0.2">
      <c r="A552" s="241">
        <v>37558</v>
      </c>
      <c r="B552" s="242">
        <v>9.5</v>
      </c>
      <c r="C552" s="238">
        <v>0</v>
      </c>
    </row>
    <row r="553" spans="1:3" x14ac:dyDescent="0.2">
      <c r="A553" s="241">
        <v>37559</v>
      </c>
      <c r="B553" s="242">
        <v>7.7</v>
      </c>
      <c r="C553" s="238">
        <v>6.5</v>
      </c>
    </row>
    <row r="554" spans="1:3" x14ac:dyDescent="0.2">
      <c r="A554" s="241">
        <v>37560</v>
      </c>
      <c r="B554" s="242">
        <v>6.2</v>
      </c>
      <c r="C554" s="238">
        <v>6.3</v>
      </c>
    </row>
    <row r="555" spans="1:3" x14ac:dyDescent="0.2">
      <c r="A555" s="241">
        <v>37561</v>
      </c>
      <c r="B555" s="242">
        <v>10.1</v>
      </c>
      <c r="C555" s="238">
        <v>0</v>
      </c>
    </row>
    <row r="556" spans="1:3" x14ac:dyDescent="0.2">
      <c r="A556" s="241">
        <v>37562</v>
      </c>
      <c r="B556" s="242">
        <v>12.5</v>
      </c>
      <c r="C556" s="238">
        <v>5</v>
      </c>
    </row>
    <row r="557" spans="1:3" x14ac:dyDescent="0.2">
      <c r="A557" s="241">
        <v>37563</v>
      </c>
      <c r="B557" s="242">
        <v>12.1</v>
      </c>
      <c r="C557" s="238">
        <v>5.7</v>
      </c>
    </row>
    <row r="558" spans="1:3" x14ac:dyDescent="0.2">
      <c r="A558" s="241">
        <v>37564</v>
      </c>
      <c r="B558" s="242">
        <v>8</v>
      </c>
      <c r="C558" s="238">
        <v>3.3</v>
      </c>
    </row>
    <row r="559" spans="1:3" x14ac:dyDescent="0.2">
      <c r="A559" s="241">
        <v>37565</v>
      </c>
      <c r="B559" s="242">
        <v>7.2</v>
      </c>
      <c r="C559" s="238">
        <v>5.3</v>
      </c>
    </row>
    <row r="560" spans="1:3" x14ac:dyDescent="0.2">
      <c r="A560" s="241">
        <v>37566</v>
      </c>
      <c r="B560" s="242">
        <v>9.6999999999999993</v>
      </c>
      <c r="C560" s="238">
        <v>3.2</v>
      </c>
    </row>
    <row r="561" spans="1:3" x14ac:dyDescent="0.2">
      <c r="A561" s="241">
        <v>37567</v>
      </c>
      <c r="B561" s="242">
        <v>10</v>
      </c>
      <c r="C561" s="238">
        <v>3.7</v>
      </c>
    </row>
    <row r="562" spans="1:3" x14ac:dyDescent="0.2">
      <c r="A562" s="241">
        <v>37568</v>
      </c>
      <c r="B562" s="242">
        <v>9.3000000000000007</v>
      </c>
      <c r="C562" s="238">
        <v>0.7</v>
      </c>
    </row>
    <row r="563" spans="1:3" x14ac:dyDescent="0.2">
      <c r="A563" s="241">
        <v>37569</v>
      </c>
      <c r="B563" s="242">
        <v>8.1</v>
      </c>
      <c r="C563" s="238">
        <v>3.8</v>
      </c>
    </row>
    <row r="564" spans="1:3" x14ac:dyDescent="0.2">
      <c r="A564" s="241">
        <v>37570</v>
      </c>
      <c r="B564" s="242">
        <v>7.5</v>
      </c>
      <c r="C564" s="238">
        <v>0</v>
      </c>
    </row>
    <row r="565" spans="1:3" x14ac:dyDescent="0.2">
      <c r="A565" s="241">
        <v>37571</v>
      </c>
      <c r="B565" s="242">
        <v>11.2</v>
      </c>
      <c r="C565" s="238">
        <v>6.3</v>
      </c>
    </row>
    <row r="566" spans="1:3" x14ac:dyDescent="0.2">
      <c r="A566" s="241">
        <v>37572</v>
      </c>
      <c r="B566" s="242">
        <v>10.199999999999999</v>
      </c>
      <c r="C566" s="238">
        <v>0.7</v>
      </c>
    </row>
    <row r="567" spans="1:3" x14ac:dyDescent="0.2">
      <c r="A567" s="241">
        <v>37573</v>
      </c>
      <c r="B567" s="242">
        <v>10.1</v>
      </c>
      <c r="C567" s="238">
        <v>0</v>
      </c>
    </row>
    <row r="568" spans="1:3" x14ac:dyDescent="0.2">
      <c r="A568" s="241">
        <v>37574</v>
      </c>
      <c r="B568" s="242">
        <v>10.7</v>
      </c>
      <c r="C568" s="238">
        <v>3.2</v>
      </c>
    </row>
    <row r="569" spans="1:3" x14ac:dyDescent="0.2">
      <c r="A569" s="241">
        <v>37575</v>
      </c>
      <c r="B569" s="242">
        <v>7.4</v>
      </c>
      <c r="C569" s="238">
        <v>3.4</v>
      </c>
    </row>
    <row r="570" spans="1:3" x14ac:dyDescent="0.2">
      <c r="A570" s="241">
        <v>37576</v>
      </c>
      <c r="B570" s="242">
        <v>6.5</v>
      </c>
      <c r="C570" s="238">
        <v>0</v>
      </c>
    </row>
    <row r="571" spans="1:3" x14ac:dyDescent="0.2">
      <c r="A571" s="241">
        <v>37577</v>
      </c>
      <c r="B571" s="242">
        <v>10.199999999999999</v>
      </c>
      <c r="C571" s="238">
        <v>1.9</v>
      </c>
    </row>
    <row r="572" spans="1:3" x14ac:dyDescent="0.2">
      <c r="A572" s="241">
        <v>37578</v>
      </c>
      <c r="B572" s="242">
        <v>8.6</v>
      </c>
      <c r="C572" s="238">
        <v>4.8</v>
      </c>
    </row>
    <row r="573" spans="1:3" x14ac:dyDescent="0.2">
      <c r="A573" s="241">
        <v>37579</v>
      </c>
      <c r="B573" s="242">
        <v>6</v>
      </c>
      <c r="C573" s="238">
        <v>0.3</v>
      </c>
    </row>
    <row r="574" spans="1:3" x14ac:dyDescent="0.2">
      <c r="A574" s="241">
        <v>37580</v>
      </c>
      <c r="B574" s="242">
        <v>4.9000000000000004</v>
      </c>
      <c r="C574" s="238">
        <v>2.9</v>
      </c>
    </row>
    <row r="575" spans="1:3" x14ac:dyDescent="0.2">
      <c r="A575" s="241">
        <v>37581</v>
      </c>
      <c r="B575" s="242">
        <v>9.5</v>
      </c>
      <c r="C575" s="238">
        <v>0</v>
      </c>
    </row>
    <row r="576" spans="1:3" x14ac:dyDescent="0.2">
      <c r="A576" s="241">
        <v>37582</v>
      </c>
      <c r="B576" s="242">
        <v>8.8000000000000007</v>
      </c>
      <c r="C576" s="238">
        <v>2.5</v>
      </c>
    </row>
    <row r="577" spans="1:3" x14ac:dyDescent="0.2">
      <c r="A577" s="241">
        <v>37583</v>
      </c>
      <c r="B577" s="242">
        <v>7.6</v>
      </c>
      <c r="C577" s="238">
        <v>6.1</v>
      </c>
    </row>
    <row r="578" spans="1:3" x14ac:dyDescent="0.2">
      <c r="A578" s="241">
        <v>37584</v>
      </c>
      <c r="B578" s="242">
        <v>8.3000000000000007</v>
      </c>
      <c r="C578" s="238">
        <v>5.7</v>
      </c>
    </row>
    <row r="579" spans="1:3" x14ac:dyDescent="0.2">
      <c r="A579" s="241">
        <v>37585</v>
      </c>
      <c r="B579" s="242">
        <v>5</v>
      </c>
      <c r="C579" s="238">
        <v>0</v>
      </c>
    </row>
    <row r="580" spans="1:3" x14ac:dyDescent="0.2">
      <c r="A580" s="241">
        <v>37586</v>
      </c>
      <c r="B580" s="242">
        <v>9</v>
      </c>
      <c r="C580" s="238">
        <v>2.9</v>
      </c>
    </row>
    <row r="581" spans="1:3" x14ac:dyDescent="0.2">
      <c r="A581" s="241">
        <v>37587</v>
      </c>
      <c r="B581" s="242">
        <v>6.6</v>
      </c>
      <c r="C581" s="238">
        <v>4</v>
      </c>
    </row>
    <row r="582" spans="1:3" x14ac:dyDescent="0.2">
      <c r="A582" s="241">
        <v>37588</v>
      </c>
      <c r="B582" s="242">
        <v>8.1999999999999993</v>
      </c>
      <c r="C582" s="238">
        <v>0.5</v>
      </c>
    </row>
    <row r="583" spans="1:3" x14ac:dyDescent="0.2">
      <c r="A583" s="241">
        <v>37589</v>
      </c>
      <c r="B583" s="242">
        <v>8.6</v>
      </c>
      <c r="C583" s="238">
        <v>0</v>
      </c>
    </row>
    <row r="584" spans="1:3" x14ac:dyDescent="0.2">
      <c r="A584" s="241">
        <v>37590</v>
      </c>
      <c r="B584" s="242">
        <v>7.3</v>
      </c>
      <c r="C584" s="238">
        <v>0.8</v>
      </c>
    </row>
    <row r="585" spans="1:3" x14ac:dyDescent="0.2">
      <c r="A585" s="241">
        <v>37591</v>
      </c>
      <c r="B585" s="242">
        <v>8</v>
      </c>
      <c r="C585" s="238">
        <v>0</v>
      </c>
    </row>
    <row r="586" spans="1:3" x14ac:dyDescent="0.2">
      <c r="A586" s="241">
        <v>37592</v>
      </c>
      <c r="B586" s="242">
        <v>8.4</v>
      </c>
      <c r="C586" s="238">
        <v>0.2</v>
      </c>
    </row>
    <row r="587" spans="1:3" x14ac:dyDescent="0.2">
      <c r="A587" s="241">
        <v>37593</v>
      </c>
      <c r="B587" s="242">
        <v>6.6</v>
      </c>
      <c r="C587" s="238">
        <v>4.8</v>
      </c>
    </row>
    <row r="588" spans="1:3" x14ac:dyDescent="0.2">
      <c r="A588" s="241">
        <v>37594</v>
      </c>
      <c r="B588" s="242">
        <v>5.3</v>
      </c>
      <c r="C588" s="238">
        <v>0</v>
      </c>
    </row>
    <row r="589" spans="1:3" x14ac:dyDescent="0.2">
      <c r="A589" s="241">
        <v>37595</v>
      </c>
      <c r="B589" s="242">
        <v>5.4</v>
      </c>
      <c r="C589" s="238">
        <v>0.7</v>
      </c>
    </row>
    <row r="590" spans="1:3" x14ac:dyDescent="0.2">
      <c r="A590" s="241">
        <v>37596</v>
      </c>
      <c r="B590" s="242">
        <v>2.9</v>
      </c>
      <c r="C590" s="238">
        <v>0</v>
      </c>
    </row>
    <row r="591" spans="1:3" x14ac:dyDescent="0.2">
      <c r="A591" s="241">
        <v>37597</v>
      </c>
      <c r="B591" s="242">
        <v>0.4</v>
      </c>
      <c r="C591" s="238">
        <v>0</v>
      </c>
    </row>
    <row r="592" spans="1:3" x14ac:dyDescent="0.2">
      <c r="A592" s="241">
        <v>37598</v>
      </c>
      <c r="B592" s="242">
        <v>-2.2999999999999998</v>
      </c>
      <c r="C592" s="238">
        <v>1.2</v>
      </c>
    </row>
    <row r="593" spans="1:3" x14ac:dyDescent="0.2">
      <c r="A593" s="241">
        <v>37599</v>
      </c>
      <c r="B593" s="242">
        <v>-4.0999999999999996</v>
      </c>
      <c r="C593" s="238">
        <v>6.5</v>
      </c>
    </row>
    <row r="594" spans="1:3" x14ac:dyDescent="0.2">
      <c r="A594" s="241">
        <v>37600</v>
      </c>
      <c r="B594" s="242">
        <v>-5.9</v>
      </c>
      <c r="C594" s="238">
        <v>6.4</v>
      </c>
    </row>
    <row r="595" spans="1:3" x14ac:dyDescent="0.2">
      <c r="A595" s="241">
        <v>37601</v>
      </c>
      <c r="B595" s="242">
        <v>-5.5</v>
      </c>
      <c r="C595" s="238">
        <v>6.2</v>
      </c>
    </row>
    <row r="596" spans="1:3" x14ac:dyDescent="0.2">
      <c r="A596" s="241">
        <v>37602</v>
      </c>
      <c r="B596" s="242">
        <v>-3.5</v>
      </c>
      <c r="C596" s="238">
        <v>0.3</v>
      </c>
    </row>
    <row r="597" spans="1:3" x14ac:dyDescent="0.2">
      <c r="A597" s="241">
        <v>37603</v>
      </c>
      <c r="B597" s="242">
        <v>-1.6</v>
      </c>
      <c r="C597" s="238">
        <v>0.3</v>
      </c>
    </row>
    <row r="598" spans="1:3" x14ac:dyDescent="0.2">
      <c r="A598" s="241">
        <v>37604</v>
      </c>
      <c r="B598" s="242">
        <v>-1.1000000000000001</v>
      </c>
      <c r="C598" s="238">
        <v>0</v>
      </c>
    </row>
    <row r="599" spans="1:3" x14ac:dyDescent="0.2">
      <c r="A599" s="241">
        <v>37605</v>
      </c>
      <c r="B599" s="242">
        <v>1</v>
      </c>
      <c r="C599" s="238">
        <v>0</v>
      </c>
    </row>
    <row r="600" spans="1:3" x14ac:dyDescent="0.2">
      <c r="A600" s="241">
        <v>37606</v>
      </c>
      <c r="B600" s="242">
        <v>1.3</v>
      </c>
      <c r="C600" s="238">
        <v>0</v>
      </c>
    </row>
    <row r="601" spans="1:3" x14ac:dyDescent="0.2">
      <c r="A601" s="241">
        <v>37607</v>
      </c>
      <c r="B601" s="242">
        <v>1.6</v>
      </c>
      <c r="C601" s="238">
        <v>0</v>
      </c>
    </row>
    <row r="602" spans="1:3" x14ac:dyDescent="0.2">
      <c r="A602" s="241">
        <v>37608</v>
      </c>
      <c r="B602" s="242">
        <v>0.6</v>
      </c>
      <c r="C602" s="238">
        <v>1.8</v>
      </c>
    </row>
    <row r="603" spans="1:3" x14ac:dyDescent="0.2">
      <c r="A603" s="241">
        <v>37609</v>
      </c>
      <c r="B603" s="242">
        <v>1.4</v>
      </c>
      <c r="C603" s="238">
        <v>3.5</v>
      </c>
    </row>
    <row r="604" spans="1:3" x14ac:dyDescent="0.2">
      <c r="A604" s="241">
        <v>37610</v>
      </c>
      <c r="B604" s="242">
        <v>-0.1</v>
      </c>
      <c r="C604" s="238">
        <v>0</v>
      </c>
    </row>
    <row r="605" spans="1:3" x14ac:dyDescent="0.2">
      <c r="A605" s="241">
        <v>37611</v>
      </c>
      <c r="B605" s="242">
        <v>0.3</v>
      </c>
      <c r="C605" s="238">
        <v>1.1000000000000001</v>
      </c>
    </row>
    <row r="606" spans="1:3" x14ac:dyDescent="0.2">
      <c r="A606" s="241">
        <v>37612</v>
      </c>
      <c r="B606" s="242">
        <v>3</v>
      </c>
      <c r="C606" s="238">
        <v>0</v>
      </c>
    </row>
    <row r="607" spans="1:3" x14ac:dyDescent="0.2">
      <c r="A607" s="241">
        <v>37613</v>
      </c>
      <c r="B607" s="242">
        <v>2.5</v>
      </c>
      <c r="C607" s="238">
        <v>0</v>
      </c>
    </row>
    <row r="608" spans="1:3" x14ac:dyDescent="0.2">
      <c r="A608" s="241">
        <v>37614</v>
      </c>
      <c r="B608" s="242">
        <v>9.6999999999999993</v>
      </c>
      <c r="C608" s="238">
        <v>0.8</v>
      </c>
    </row>
    <row r="609" spans="1:5" x14ac:dyDescent="0.2">
      <c r="A609" s="241">
        <v>37615</v>
      </c>
      <c r="B609" s="242">
        <v>9.3000000000000007</v>
      </c>
      <c r="C609" s="238">
        <v>0</v>
      </c>
    </row>
    <row r="610" spans="1:5" x14ac:dyDescent="0.2">
      <c r="A610" s="241">
        <v>37616</v>
      </c>
      <c r="B610" s="242">
        <v>9.9</v>
      </c>
      <c r="C610" s="238">
        <v>0.6</v>
      </c>
    </row>
    <row r="611" spans="1:5" x14ac:dyDescent="0.2">
      <c r="A611" s="241">
        <v>37617</v>
      </c>
      <c r="B611" s="242">
        <v>11</v>
      </c>
      <c r="C611" s="238">
        <v>0</v>
      </c>
    </row>
    <row r="612" spans="1:5" x14ac:dyDescent="0.2">
      <c r="A612" s="241">
        <v>37618</v>
      </c>
      <c r="B612" s="242">
        <v>8.1</v>
      </c>
      <c r="C612" s="238">
        <v>0</v>
      </c>
    </row>
    <row r="613" spans="1:5" x14ac:dyDescent="0.2">
      <c r="A613" s="241">
        <v>37619</v>
      </c>
      <c r="B613" s="242">
        <v>7.1</v>
      </c>
      <c r="C613" s="238">
        <v>0</v>
      </c>
    </row>
    <row r="614" spans="1:5" x14ac:dyDescent="0.2">
      <c r="A614" s="241">
        <v>37620</v>
      </c>
      <c r="B614" s="242">
        <v>3.4</v>
      </c>
      <c r="C614" s="238">
        <v>0</v>
      </c>
      <c r="D614" s="238" t="s">
        <v>15</v>
      </c>
      <c r="E614" s="238" t="s">
        <v>16</v>
      </c>
    </row>
    <row r="615" spans="1:5" x14ac:dyDescent="0.2">
      <c r="A615" s="241">
        <v>37621</v>
      </c>
      <c r="B615" s="242">
        <v>0</v>
      </c>
      <c r="C615" s="238">
        <v>5</v>
      </c>
      <c r="D615" s="242">
        <f>AVERAGE(B251:B615)</f>
        <v>10.928219178082198</v>
      </c>
      <c r="E615" s="243">
        <f>SUM(C251:C615)</f>
        <v>1738.6999999999987</v>
      </c>
    </row>
    <row r="616" spans="1:5" x14ac:dyDescent="0.2">
      <c r="A616" s="241">
        <v>37622</v>
      </c>
      <c r="B616" s="242">
        <v>4.0999999999999996</v>
      </c>
      <c r="C616" s="238">
        <v>0</v>
      </c>
    </row>
    <row r="617" spans="1:5" x14ac:dyDescent="0.2">
      <c r="A617" s="241">
        <v>37623</v>
      </c>
      <c r="B617" s="242">
        <v>8</v>
      </c>
      <c r="C617" s="238">
        <v>0</v>
      </c>
    </row>
    <row r="618" spans="1:5" x14ac:dyDescent="0.2">
      <c r="A618" s="241">
        <v>37624</v>
      </c>
      <c r="B618" s="242">
        <v>3.2</v>
      </c>
      <c r="C618" s="238">
        <v>0</v>
      </c>
    </row>
    <row r="619" spans="1:5" x14ac:dyDescent="0.2">
      <c r="A619" s="241">
        <v>37625</v>
      </c>
      <c r="B619" s="242">
        <v>-2.2999999999999998</v>
      </c>
      <c r="C619" s="238">
        <v>2.5</v>
      </c>
    </row>
    <row r="620" spans="1:5" x14ac:dyDescent="0.2">
      <c r="A620" s="241">
        <v>37626</v>
      </c>
      <c r="B620" s="242">
        <v>0</v>
      </c>
      <c r="C620" s="238">
        <v>2.4</v>
      </c>
    </row>
    <row r="621" spans="1:5" x14ac:dyDescent="0.2">
      <c r="A621" s="241">
        <v>37627</v>
      </c>
      <c r="B621" s="242">
        <v>-0.7</v>
      </c>
      <c r="C621" s="238">
        <v>3.1</v>
      </c>
    </row>
    <row r="622" spans="1:5" x14ac:dyDescent="0.2">
      <c r="A622" s="241">
        <v>37628</v>
      </c>
      <c r="B622" s="242">
        <v>-4.5999999999999996</v>
      </c>
      <c r="C622" s="238">
        <v>6.6</v>
      </c>
    </row>
    <row r="623" spans="1:5" x14ac:dyDescent="0.2">
      <c r="A623" s="241">
        <v>37629</v>
      </c>
      <c r="B623" s="242">
        <v>-4.7</v>
      </c>
      <c r="C623" s="238">
        <v>4.3</v>
      </c>
    </row>
    <row r="624" spans="1:5" x14ac:dyDescent="0.2">
      <c r="A624" s="241">
        <v>37630</v>
      </c>
      <c r="B624" s="242">
        <v>-6.5</v>
      </c>
      <c r="C624" s="238">
        <v>6.7</v>
      </c>
    </row>
    <row r="625" spans="1:3" x14ac:dyDescent="0.2">
      <c r="A625" s="241">
        <v>37631</v>
      </c>
      <c r="B625" s="242">
        <v>-4.5</v>
      </c>
      <c r="C625" s="238">
        <v>3</v>
      </c>
    </row>
    <row r="626" spans="1:3" x14ac:dyDescent="0.2">
      <c r="A626" s="241">
        <v>37632</v>
      </c>
      <c r="B626" s="242">
        <v>-2.8</v>
      </c>
      <c r="C626" s="238">
        <v>4.0999999999999996</v>
      </c>
    </row>
    <row r="627" spans="1:3" x14ac:dyDescent="0.2">
      <c r="A627" s="241">
        <v>37633</v>
      </c>
      <c r="B627" s="242">
        <v>4.5</v>
      </c>
      <c r="C627" s="238">
        <v>2.9</v>
      </c>
    </row>
    <row r="628" spans="1:3" x14ac:dyDescent="0.2">
      <c r="A628" s="241">
        <v>37634</v>
      </c>
      <c r="B628" s="242">
        <v>6.7</v>
      </c>
      <c r="C628" s="238">
        <v>0.2</v>
      </c>
    </row>
    <row r="629" spans="1:3" x14ac:dyDescent="0.2">
      <c r="A629" s="241">
        <v>37635</v>
      </c>
      <c r="B629" s="242">
        <v>7</v>
      </c>
      <c r="C629" s="238">
        <v>1.7</v>
      </c>
    </row>
    <row r="630" spans="1:3" x14ac:dyDescent="0.2">
      <c r="A630" s="241">
        <v>37636</v>
      </c>
      <c r="B630" s="242">
        <v>6.3</v>
      </c>
      <c r="C630" s="238">
        <v>1.5</v>
      </c>
    </row>
    <row r="631" spans="1:3" x14ac:dyDescent="0.2">
      <c r="A631" s="241">
        <v>37637</v>
      </c>
      <c r="B631" s="242">
        <v>6.2</v>
      </c>
      <c r="C631" s="238">
        <v>6.7</v>
      </c>
    </row>
    <row r="632" spans="1:3" x14ac:dyDescent="0.2">
      <c r="A632" s="241">
        <v>37638</v>
      </c>
      <c r="B632" s="242">
        <v>3.9</v>
      </c>
      <c r="C632" s="238">
        <v>0.2</v>
      </c>
    </row>
    <row r="633" spans="1:3" x14ac:dyDescent="0.2">
      <c r="A633" s="241">
        <v>37639</v>
      </c>
      <c r="B633" s="242">
        <v>5</v>
      </c>
      <c r="C633" s="238">
        <v>0.5</v>
      </c>
    </row>
    <row r="634" spans="1:3" x14ac:dyDescent="0.2">
      <c r="A634" s="241">
        <v>37640</v>
      </c>
      <c r="B634" s="242">
        <v>4.9000000000000004</v>
      </c>
      <c r="C634" s="238">
        <v>0</v>
      </c>
    </row>
    <row r="635" spans="1:3" x14ac:dyDescent="0.2">
      <c r="A635" s="241">
        <v>37641</v>
      </c>
      <c r="B635" s="242">
        <v>7.7</v>
      </c>
      <c r="C635" s="238">
        <v>0</v>
      </c>
    </row>
    <row r="636" spans="1:3" x14ac:dyDescent="0.2">
      <c r="A636" s="241">
        <v>37642</v>
      </c>
      <c r="B636" s="242">
        <v>8</v>
      </c>
      <c r="C636" s="238">
        <v>5.6</v>
      </c>
    </row>
    <row r="637" spans="1:3" x14ac:dyDescent="0.2">
      <c r="A637" s="241">
        <v>37643</v>
      </c>
      <c r="B637" s="242">
        <v>6.7</v>
      </c>
      <c r="C637" s="238">
        <v>0</v>
      </c>
    </row>
    <row r="638" spans="1:3" x14ac:dyDescent="0.2">
      <c r="A638" s="241">
        <v>37644</v>
      </c>
      <c r="B638" s="242">
        <v>6</v>
      </c>
      <c r="C638" s="238">
        <v>0</v>
      </c>
    </row>
    <row r="639" spans="1:3" x14ac:dyDescent="0.2">
      <c r="A639" s="241">
        <v>37645</v>
      </c>
      <c r="B639" s="242">
        <v>4.2</v>
      </c>
      <c r="C639" s="238">
        <v>7.3</v>
      </c>
    </row>
    <row r="640" spans="1:3" x14ac:dyDescent="0.2">
      <c r="A640" s="241">
        <v>37646</v>
      </c>
      <c r="B640" s="242">
        <v>6.2</v>
      </c>
      <c r="C640" s="238">
        <v>0.8</v>
      </c>
    </row>
    <row r="641" spans="1:3" x14ac:dyDescent="0.2">
      <c r="A641" s="241">
        <v>37647</v>
      </c>
      <c r="B641" s="242">
        <v>6.7</v>
      </c>
      <c r="C641" s="238">
        <v>0</v>
      </c>
    </row>
    <row r="642" spans="1:3" x14ac:dyDescent="0.2">
      <c r="A642" s="241">
        <v>37648</v>
      </c>
      <c r="B642" s="242">
        <v>7.6</v>
      </c>
      <c r="C642" s="238">
        <v>6.6</v>
      </c>
    </row>
    <row r="643" spans="1:3" x14ac:dyDescent="0.2">
      <c r="A643" s="241">
        <v>37649</v>
      </c>
      <c r="B643" s="242">
        <v>6.2</v>
      </c>
      <c r="C643" s="238">
        <v>4.0999999999999996</v>
      </c>
    </row>
    <row r="644" spans="1:3" x14ac:dyDescent="0.2">
      <c r="A644" s="241">
        <v>37650</v>
      </c>
      <c r="B644" s="242">
        <v>4.5</v>
      </c>
      <c r="C644" s="238">
        <v>3.2</v>
      </c>
    </row>
    <row r="645" spans="1:3" x14ac:dyDescent="0.2">
      <c r="A645" s="241">
        <v>37651</v>
      </c>
      <c r="B645" s="242">
        <v>1</v>
      </c>
      <c r="C645" s="238">
        <v>1</v>
      </c>
    </row>
    <row r="646" spans="1:3" x14ac:dyDescent="0.2">
      <c r="A646" s="241">
        <v>37652</v>
      </c>
      <c r="B646" s="242">
        <v>-3.2</v>
      </c>
      <c r="C646" s="238">
        <v>4.5999999999999996</v>
      </c>
    </row>
    <row r="647" spans="1:3" x14ac:dyDescent="0.2">
      <c r="A647" s="241">
        <v>37653</v>
      </c>
      <c r="B647" s="242">
        <v>-1.2</v>
      </c>
      <c r="C647" s="238">
        <v>0</v>
      </c>
    </row>
    <row r="648" spans="1:3" x14ac:dyDescent="0.2">
      <c r="A648" s="241">
        <v>37654</v>
      </c>
      <c r="B648" s="242">
        <v>4.9000000000000004</v>
      </c>
      <c r="C648" s="238">
        <v>0.4</v>
      </c>
    </row>
    <row r="649" spans="1:3" x14ac:dyDescent="0.2">
      <c r="A649" s="241">
        <v>37655</v>
      </c>
      <c r="B649" s="242">
        <v>4.5</v>
      </c>
      <c r="C649" s="238">
        <v>3.4</v>
      </c>
    </row>
    <row r="650" spans="1:3" x14ac:dyDescent="0.2">
      <c r="A650" s="241">
        <v>37656</v>
      </c>
      <c r="B650" s="242">
        <v>3.8</v>
      </c>
      <c r="C650" s="238">
        <v>1.5</v>
      </c>
    </row>
    <row r="651" spans="1:3" x14ac:dyDescent="0.2">
      <c r="A651" s="241">
        <v>37657</v>
      </c>
      <c r="B651" s="242">
        <v>3.9</v>
      </c>
      <c r="C651" s="238">
        <v>5.9</v>
      </c>
    </row>
    <row r="652" spans="1:3" x14ac:dyDescent="0.2">
      <c r="A652" s="241">
        <v>37658</v>
      </c>
      <c r="B652" s="242">
        <v>1.1000000000000001</v>
      </c>
      <c r="C652" s="238">
        <v>3.9</v>
      </c>
    </row>
    <row r="653" spans="1:3" x14ac:dyDescent="0.2">
      <c r="A653" s="241">
        <v>37659</v>
      </c>
      <c r="B653" s="242">
        <v>4.8</v>
      </c>
      <c r="C653" s="238">
        <v>0</v>
      </c>
    </row>
    <row r="654" spans="1:3" x14ac:dyDescent="0.2">
      <c r="A654" s="241">
        <v>37660</v>
      </c>
      <c r="B654" s="242">
        <v>6.7</v>
      </c>
      <c r="C654" s="238">
        <v>0</v>
      </c>
    </row>
    <row r="655" spans="1:3" x14ac:dyDescent="0.2">
      <c r="A655" s="241">
        <v>37661</v>
      </c>
      <c r="B655" s="242">
        <v>6.4</v>
      </c>
      <c r="C655" s="238">
        <v>0</v>
      </c>
    </row>
    <row r="656" spans="1:3" x14ac:dyDescent="0.2">
      <c r="A656" s="241">
        <v>37662</v>
      </c>
      <c r="B656" s="242">
        <v>3.3</v>
      </c>
      <c r="C656" s="238">
        <v>8.1999999999999993</v>
      </c>
    </row>
    <row r="657" spans="1:3" x14ac:dyDescent="0.2">
      <c r="A657" s="241">
        <v>37663</v>
      </c>
      <c r="B657" s="242">
        <v>1</v>
      </c>
      <c r="C657" s="238">
        <v>2.1</v>
      </c>
    </row>
    <row r="658" spans="1:3" x14ac:dyDescent="0.2">
      <c r="A658" s="241">
        <v>37664</v>
      </c>
      <c r="B658" s="242">
        <v>-2</v>
      </c>
      <c r="C658" s="238">
        <v>0</v>
      </c>
    </row>
    <row r="659" spans="1:3" x14ac:dyDescent="0.2">
      <c r="A659" s="241">
        <v>37665</v>
      </c>
      <c r="B659" s="242">
        <v>-2.2999999999999998</v>
      </c>
      <c r="C659" s="238">
        <v>7.8</v>
      </c>
    </row>
    <row r="660" spans="1:3" x14ac:dyDescent="0.2">
      <c r="A660" s="241">
        <v>37666</v>
      </c>
      <c r="B660" s="242">
        <v>-1.4</v>
      </c>
      <c r="C660" s="238">
        <v>8.5</v>
      </c>
    </row>
    <row r="661" spans="1:3" x14ac:dyDescent="0.2">
      <c r="A661" s="241">
        <v>37667</v>
      </c>
      <c r="B661" s="242">
        <v>-0.4</v>
      </c>
      <c r="C661" s="238">
        <v>0</v>
      </c>
    </row>
    <row r="662" spans="1:3" x14ac:dyDescent="0.2">
      <c r="A662" s="241">
        <v>37668</v>
      </c>
      <c r="B662" s="242">
        <v>-1.8</v>
      </c>
      <c r="C662" s="238">
        <v>7.3</v>
      </c>
    </row>
    <row r="663" spans="1:3" x14ac:dyDescent="0.2">
      <c r="A663" s="241">
        <v>37669</v>
      </c>
      <c r="B663" s="242">
        <v>-2.8</v>
      </c>
      <c r="C663" s="238">
        <v>8.4</v>
      </c>
    </row>
    <row r="664" spans="1:3" x14ac:dyDescent="0.2">
      <c r="A664" s="241">
        <v>37670</v>
      </c>
      <c r="B664" s="242">
        <v>-2.8</v>
      </c>
      <c r="C664" s="238">
        <v>9.1</v>
      </c>
    </row>
    <row r="665" spans="1:3" x14ac:dyDescent="0.2">
      <c r="A665" s="241">
        <v>37671</v>
      </c>
      <c r="B665" s="242">
        <v>-1.3</v>
      </c>
      <c r="C665" s="238">
        <v>9</v>
      </c>
    </row>
    <row r="666" spans="1:3" x14ac:dyDescent="0.2">
      <c r="A666" s="241">
        <v>37672</v>
      </c>
      <c r="B666" s="242">
        <v>-0.2</v>
      </c>
      <c r="C666" s="238">
        <v>9</v>
      </c>
    </row>
    <row r="667" spans="1:3" x14ac:dyDescent="0.2">
      <c r="A667" s="241">
        <v>37673</v>
      </c>
      <c r="B667" s="242">
        <v>0.8</v>
      </c>
      <c r="C667" s="238">
        <v>9.1</v>
      </c>
    </row>
    <row r="668" spans="1:3" x14ac:dyDescent="0.2">
      <c r="A668" s="241">
        <v>37674</v>
      </c>
      <c r="B668" s="242">
        <v>1.4</v>
      </c>
      <c r="C668" s="238">
        <v>9.3000000000000007</v>
      </c>
    </row>
    <row r="669" spans="1:3" x14ac:dyDescent="0.2">
      <c r="A669" s="241">
        <v>37675</v>
      </c>
      <c r="B669" s="242">
        <v>5.8</v>
      </c>
      <c r="C669" s="238">
        <v>9.1999999999999993</v>
      </c>
    </row>
    <row r="670" spans="1:3" x14ac:dyDescent="0.2">
      <c r="A670" s="241">
        <v>37676</v>
      </c>
      <c r="B670" s="242">
        <v>7.6</v>
      </c>
      <c r="C670" s="238">
        <v>7.9</v>
      </c>
    </row>
    <row r="671" spans="1:3" x14ac:dyDescent="0.2">
      <c r="A671" s="241">
        <v>37677</v>
      </c>
      <c r="B671" s="242">
        <v>3.5</v>
      </c>
      <c r="C671" s="238">
        <v>9.3000000000000007</v>
      </c>
    </row>
    <row r="672" spans="1:3" x14ac:dyDescent="0.2">
      <c r="A672" s="241">
        <v>37678</v>
      </c>
      <c r="B672" s="242">
        <v>3.5</v>
      </c>
      <c r="C672" s="238">
        <v>9.3000000000000007</v>
      </c>
    </row>
    <row r="673" spans="1:3" x14ac:dyDescent="0.2">
      <c r="A673" s="241">
        <v>37679</v>
      </c>
      <c r="B673" s="242">
        <v>8.4</v>
      </c>
      <c r="C673" s="238">
        <v>8</v>
      </c>
    </row>
    <row r="674" spans="1:3" x14ac:dyDescent="0.2">
      <c r="A674" s="241">
        <v>37680</v>
      </c>
      <c r="B674" s="242">
        <v>10.199999999999999</v>
      </c>
      <c r="C674" s="238">
        <v>8</v>
      </c>
    </row>
    <row r="675" spans="1:3" x14ac:dyDescent="0.2">
      <c r="A675" s="241">
        <v>37681</v>
      </c>
      <c r="B675" s="242">
        <v>8.8000000000000007</v>
      </c>
      <c r="C675" s="238">
        <v>8.1999999999999993</v>
      </c>
    </row>
    <row r="676" spans="1:3" x14ac:dyDescent="0.2">
      <c r="A676" s="241">
        <v>37682</v>
      </c>
      <c r="B676" s="242">
        <v>6.4</v>
      </c>
      <c r="C676" s="238">
        <v>0.8</v>
      </c>
    </row>
    <row r="677" spans="1:3" x14ac:dyDescent="0.2">
      <c r="A677" s="241">
        <v>37683</v>
      </c>
      <c r="B677" s="242">
        <v>4.8</v>
      </c>
      <c r="C677" s="238">
        <v>8.6999999999999993</v>
      </c>
    </row>
    <row r="678" spans="1:3" x14ac:dyDescent="0.2">
      <c r="A678" s="241">
        <v>37684</v>
      </c>
      <c r="B678" s="242">
        <v>7.2</v>
      </c>
      <c r="C678" s="238">
        <v>2.2000000000000002</v>
      </c>
    </row>
    <row r="679" spans="1:3" x14ac:dyDescent="0.2">
      <c r="A679" s="241">
        <v>37685</v>
      </c>
      <c r="B679" s="242">
        <v>11.4</v>
      </c>
      <c r="C679" s="238">
        <v>0</v>
      </c>
    </row>
    <row r="680" spans="1:3" x14ac:dyDescent="0.2">
      <c r="A680" s="241">
        <v>37686</v>
      </c>
      <c r="B680" s="242">
        <v>6.8</v>
      </c>
      <c r="C680" s="238">
        <v>2.2999999999999998</v>
      </c>
    </row>
    <row r="681" spans="1:3" x14ac:dyDescent="0.2">
      <c r="A681" s="241">
        <v>37687</v>
      </c>
      <c r="B681" s="242">
        <v>6.5</v>
      </c>
      <c r="C681" s="238">
        <v>2.2000000000000002</v>
      </c>
    </row>
    <row r="682" spans="1:3" x14ac:dyDescent="0.2">
      <c r="A682" s="241">
        <v>37688</v>
      </c>
      <c r="B682" s="242">
        <v>6.8</v>
      </c>
      <c r="C682" s="238">
        <v>1.2</v>
      </c>
    </row>
    <row r="683" spans="1:3" x14ac:dyDescent="0.2">
      <c r="A683" s="241">
        <v>37689</v>
      </c>
      <c r="B683" s="242">
        <v>7.8</v>
      </c>
      <c r="C683" s="238">
        <v>6.1</v>
      </c>
    </row>
    <row r="684" spans="1:3" x14ac:dyDescent="0.2">
      <c r="A684" s="241">
        <v>37690</v>
      </c>
      <c r="B684" s="242">
        <v>8</v>
      </c>
      <c r="C684" s="238">
        <v>1</v>
      </c>
    </row>
    <row r="685" spans="1:3" x14ac:dyDescent="0.2">
      <c r="A685" s="241">
        <v>37691</v>
      </c>
      <c r="B685" s="242">
        <v>8.1999999999999993</v>
      </c>
      <c r="C685" s="238">
        <v>0</v>
      </c>
    </row>
    <row r="686" spans="1:3" x14ac:dyDescent="0.2">
      <c r="A686" s="241">
        <v>37692</v>
      </c>
      <c r="B686" s="242">
        <v>5.7</v>
      </c>
      <c r="C686" s="238">
        <v>2.6</v>
      </c>
    </row>
    <row r="687" spans="1:3" x14ac:dyDescent="0.2">
      <c r="A687" s="241">
        <v>37693</v>
      </c>
      <c r="B687" s="242">
        <v>4.7</v>
      </c>
      <c r="C687" s="238">
        <v>9.4</v>
      </c>
    </row>
    <row r="688" spans="1:3" x14ac:dyDescent="0.2">
      <c r="A688" s="241">
        <v>37694</v>
      </c>
      <c r="B688" s="242">
        <v>4.9000000000000004</v>
      </c>
      <c r="C688" s="238">
        <v>10.5</v>
      </c>
    </row>
    <row r="689" spans="1:3" x14ac:dyDescent="0.2">
      <c r="A689" s="241">
        <v>37695</v>
      </c>
      <c r="B689" s="242">
        <v>5.2</v>
      </c>
      <c r="C689" s="238">
        <v>10.7</v>
      </c>
    </row>
    <row r="690" spans="1:3" x14ac:dyDescent="0.2">
      <c r="A690" s="241">
        <v>37696</v>
      </c>
      <c r="B690" s="242">
        <v>3.1</v>
      </c>
      <c r="C690" s="238">
        <v>10.7</v>
      </c>
    </row>
    <row r="691" spans="1:3" x14ac:dyDescent="0.2">
      <c r="A691" s="241">
        <v>37697</v>
      </c>
      <c r="B691" s="242">
        <v>2.9</v>
      </c>
      <c r="C691" s="238">
        <v>9.3000000000000007</v>
      </c>
    </row>
    <row r="692" spans="1:3" x14ac:dyDescent="0.2">
      <c r="A692" s="241">
        <v>37698</v>
      </c>
      <c r="B692" s="242">
        <v>5.4</v>
      </c>
      <c r="C692" s="238">
        <v>9.4</v>
      </c>
    </row>
    <row r="693" spans="1:3" x14ac:dyDescent="0.2">
      <c r="A693" s="241">
        <v>37699</v>
      </c>
      <c r="B693" s="242">
        <v>3.2</v>
      </c>
      <c r="C693" s="238">
        <v>1.5</v>
      </c>
    </row>
    <row r="694" spans="1:3" x14ac:dyDescent="0.2">
      <c r="A694" s="241">
        <v>37700</v>
      </c>
      <c r="B694" s="242">
        <v>2.8</v>
      </c>
      <c r="C694" s="238">
        <v>2.9</v>
      </c>
    </row>
    <row r="695" spans="1:3" x14ac:dyDescent="0.2">
      <c r="A695" s="241">
        <v>37701</v>
      </c>
      <c r="B695" s="242">
        <v>5.7</v>
      </c>
      <c r="C695" s="238">
        <v>7.5</v>
      </c>
    </row>
    <row r="696" spans="1:3" x14ac:dyDescent="0.2">
      <c r="A696" s="241">
        <v>37702</v>
      </c>
      <c r="B696" s="242">
        <v>6.4</v>
      </c>
      <c r="C696" s="238">
        <v>10.8</v>
      </c>
    </row>
    <row r="697" spans="1:3" x14ac:dyDescent="0.2">
      <c r="A697" s="241">
        <v>37703</v>
      </c>
      <c r="B697" s="242">
        <v>8.6999999999999993</v>
      </c>
      <c r="C697" s="238">
        <v>11.1</v>
      </c>
    </row>
    <row r="698" spans="1:3" x14ac:dyDescent="0.2">
      <c r="A698" s="241">
        <v>37704</v>
      </c>
      <c r="B698" s="242">
        <v>10.7</v>
      </c>
      <c r="C698" s="238">
        <v>9.1999999999999993</v>
      </c>
    </row>
    <row r="699" spans="1:3" x14ac:dyDescent="0.2">
      <c r="A699" s="241">
        <v>37705</v>
      </c>
      <c r="B699" s="242">
        <v>7.9</v>
      </c>
      <c r="C699" s="238">
        <v>6.6</v>
      </c>
    </row>
    <row r="700" spans="1:3" x14ac:dyDescent="0.2">
      <c r="A700" s="241">
        <v>37706</v>
      </c>
      <c r="B700" s="242">
        <v>8.6</v>
      </c>
      <c r="C700" s="238">
        <v>10</v>
      </c>
    </row>
    <row r="701" spans="1:3" x14ac:dyDescent="0.2">
      <c r="A701" s="241">
        <v>37707</v>
      </c>
      <c r="B701" s="242">
        <v>6.6</v>
      </c>
      <c r="C701" s="238">
        <v>7.1</v>
      </c>
    </row>
    <row r="702" spans="1:3" x14ac:dyDescent="0.2">
      <c r="A702" s="241">
        <v>37708</v>
      </c>
      <c r="B702" s="242">
        <v>11</v>
      </c>
      <c r="C702" s="238">
        <v>8.6999999999999993</v>
      </c>
    </row>
    <row r="703" spans="1:3" x14ac:dyDescent="0.2">
      <c r="A703" s="241">
        <v>37709</v>
      </c>
      <c r="B703" s="242">
        <v>8.6</v>
      </c>
      <c r="C703" s="238">
        <v>4.8</v>
      </c>
    </row>
    <row r="704" spans="1:3" x14ac:dyDescent="0.2">
      <c r="A704" s="241">
        <v>37710</v>
      </c>
      <c r="B704" s="242">
        <v>5.2</v>
      </c>
      <c r="C704" s="238">
        <v>1.8</v>
      </c>
    </row>
    <row r="705" spans="1:3" x14ac:dyDescent="0.2">
      <c r="A705" s="241">
        <v>37711</v>
      </c>
      <c r="B705" s="242">
        <v>6.5</v>
      </c>
      <c r="C705" s="238">
        <v>7.6</v>
      </c>
    </row>
    <row r="706" spans="1:3" x14ac:dyDescent="0.2">
      <c r="A706" s="241">
        <v>37712</v>
      </c>
      <c r="B706" s="242">
        <v>7.4</v>
      </c>
      <c r="C706" s="238">
        <v>0.8</v>
      </c>
    </row>
    <row r="707" spans="1:3" x14ac:dyDescent="0.2">
      <c r="A707" s="241">
        <v>37713</v>
      </c>
      <c r="B707" s="242">
        <v>6.2</v>
      </c>
      <c r="C707" s="238">
        <v>6.4</v>
      </c>
    </row>
    <row r="708" spans="1:3" x14ac:dyDescent="0.2">
      <c r="A708" s="241">
        <v>37714</v>
      </c>
      <c r="B708" s="242">
        <v>5.8</v>
      </c>
      <c r="C708" s="238">
        <v>8.1</v>
      </c>
    </row>
    <row r="709" spans="1:3" x14ac:dyDescent="0.2">
      <c r="A709" s="241">
        <v>37715</v>
      </c>
      <c r="B709" s="242">
        <v>6.8</v>
      </c>
      <c r="C709" s="238">
        <v>1.6</v>
      </c>
    </row>
    <row r="710" spans="1:3" x14ac:dyDescent="0.2">
      <c r="A710" s="241">
        <v>37716</v>
      </c>
      <c r="B710" s="242">
        <v>7.1</v>
      </c>
      <c r="C710" s="238">
        <v>6.9</v>
      </c>
    </row>
    <row r="711" spans="1:3" x14ac:dyDescent="0.2">
      <c r="A711" s="241">
        <v>37717</v>
      </c>
      <c r="B711" s="242">
        <v>5.3</v>
      </c>
      <c r="C711" s="238">
        <v>7.8</v>
      </c>
    </row>
    <row r="712" spans="1:3" x14ac:dyDescent="0.2">
      <c r="A712" s="241">
        <v>37718</v>
      </c>
      <c r="B712" s="242">
        <v>2.1</v>
      </c>
      <c r="C712" s="238">
        <v>12</v>
      </c>
    </row>
    <row r="713" spans="1:3" x14ac:dyDescent="0.2">
      <c r="A713" s="241">
        <v>37719</v>
      </c>
      <c r="B713" s="242">
        <v>1.9</v>
      </c>
      <c r="C713" s="238">
        <v>10.199999999999999</v>
      </c>
    </row>
    <row r="714" spans="1:3" x14ac:dyDescent="0.2">
      <c r="A714" s="241">
        <v>37720</v>
      </c>
      <c r="B714" s="242">
        <v>2.1</v>
      </c>
      <c r="C714" s="238">
        <v>7.5</v>
      </c>
    </row>
    <row r="715" spans="1:3" x14ac:dyDescent="0.2">
      <c r="A715" s="241">
        <v>37721</v>
      </c>
      <c r="B715" s="242">
        <v>2.9</v>
      </c>
      <c r="C715" s="238">
        <v>4.5999999999999996</v>
      </c>
    </row>
    <row r="716" spans="1:3" x14ac:dyDescent="0.2">
      <c r="A716" s="241">
        <v>37722</v>
      </c>
      <c r="B716" s="242">
        <v>4.8</v>
      </c>
      <c r="C716" s="238">
        <v>12.3</v>
      </c>
    </row>
    <row r="717" spans="1:3" x14ac:dyDescent="0.2">
      <c r="A717" s="241">
        <v>37723</v>
      </c>
      <c r="B717" s="242">
        <v>6.8</v>
      </c>
      <c r="C717" s="238">
        <v>11.8</v>
      </c>
    </row>
    <row r="718" spans="1:3" x14ac:dyDescent="0.2">
      <c r="A718" s="241">
        <v>37724</v>
      </c>
      <c r="B718" s="242">
        <v>10.6</v>
      </c>
      <c r="C718" s="238">
        <v>11.2</v>
      </c>
    </row>
    <row r="719" spans="1:3" x14ac:dyDescent="0.2">
      <c r="A719" s="241">
        <v>37725</v>
      </c>
      <c r="B719" s="242">
        <v>14.4</v>
      </c>
      <c r="C719" s="238">
        <v>10</v>
      </c>
    </row>
    <row r="720" spans="1:3" x14ac:dyDescent="0.2">
      <c r="A720" s="241">
        <v>37726</v>
      </c>
      <c r="B720" s="242">
        <v>16.399999999999999</v>
      </c>
      <c r="C720" s="238">
        <v>12.8</v>
      </c>
    </row>
    <row r="721" spans="1:3" x14ac:dyDescent="0.2">
      <c r="A721" s="241">
        <v>37727</v>
      </c>
      <c r="B721" s="242">
        <v>16.600000000000001</v>
      </c>
      <c r="C721" s="238">
        <v>12.5</v>
      </c>
    </row>
    <row r="722" spans="1:3" x14ac:dyDescent="0.2">
      <c r="A722" s="241">
        <v>37728</v>
      </c>
      <c r="B722" s="242">
        <v>14.9</v>
      </c>
      <c r="C722" s="238">
        <v>12.5</v>
      </c>
    </row>
    <row r="723" spans="1:3" x14ac:dyDescent="0.2">
      <c r="A723" s="241">
        <v>37729</v>
      </c>
      <c r="B723" s="242">
        <v>11.3</v>
      </c>
      <c r="C723" s="238">
        <v>12.2</v>
      </c>
    </row>
    <row r="724" spans="1:3" x14ac:dyDescent="0.2">
      <c r="A724" s="241">
        <v>37730</v>
      </c>
      <c r="B724" s="242">
        <v>7.8</v>
      </c>
      <c r="C724" s="238">
        <v>5.2</v>
      </c>
    </row>
    <row r="725" spans="1:3" x14ac:dyDescent="0.2">
      <c r="A725" s="241">
        <v>37731</v>
      </c>
      <c r="B725" s="242">
        <v>11.5</v>
      </c>
      <c r="C725" s="238">
        <v>9.8000000000000007</v>
      </c>
    </row>
    <row r="726" spans="1:3" x14ac:dyDescent="0.2">
      <c r="A726" s="241">
        <v>37732</v>
      </c>
      <c r="B726" s="242">
        <v>13.2</v>
      </c>
      <c r="C726" s="238">
        <v>11.7</v>
      </c>
    </row>
    <row r="727" spans="1:3" x14ac:dyDescent="0.2">
      <c r="A727" s="241">
        <v>37733</v>
      </c>
      <c r="B727" s="242">
        <v>8.6999999999999993</v>
      </c>
      <c r="C727" s="238">
        <v>11.7</v>
      </c>
    </row>
    <row r="728" spans="1:3" x14ac:dyDescent="0.2">
      <c r="A728" s="241">
        <v>37734</v>
      </c>
      <c r="B728" s="242">
        <v>6.8</v>
      </c>
      <c r="C728" s="238">
        <v>9.6</v>
      </c>
    </row>
    <row r="729" spans="1:3" x14ac:dyDescent="0.2">
      <c r="A729" s="241">
        <v>37735</v>
      </c>
      <c r="B729" s="242">
        <v>14.6</v>
      </c>
      <c r="C729" s="238">
        <v>10.6</v>
      </c>
    </row>
    <row r="730" spans="1:3" x14ac:dyDescent="0.2">
      <c r="A730" s="241">
        <v>37736</v>
      </c>
      <c r="B730" s="242">
        <v>15.8</v>
      </c>
      <c r="C730" s="238">
        <v>2.1</v>
      </c>
    </row>
    <row r="731" spans="1:3" x14ac:dyDescent="0.2">
      <c r="A731" s="241">
        <v>37737</v>
      </c>
      <c r="B731" s="242">
        <v>10.6</v>
      </c>
      <c r="C731" s="238">
        <v>0.4</v>
      </c>
    </row>
    <row r="732" spans="1:3" x14ac:dyDescent="0.2">
      <c r="A732" s="241">
        <v>37738</v>
      </c>
      <c r="B732" s="242">
        <v>10.9</v>
      </c>
      <c r="C732" s="238">
        <v>7.2</v>
      </c>
    </row>
    <row r="733" spans="1:3" x14ac:dyDescent="0.2">
      <c r="A733" s="241">
        <v>37739</v>
      </c>
      <c r="B733" s="242">
        <v>14.4</v>
      </c>
      <c r="C733" s="238">
        <v>0.7</v>
      </c>
    </row>
    <row r="734" spans="1:3" x14ac:dyDescent="0.2">
      <c r="A734" s="241">
        <v>37740</v>
      </c>
      <c r="B734" s="242">
        <v>11.7</v>
      </c>
      <c r="C734" s="238">
        <v>11.1</v>
      </c>
    </row>
    <row r="735" spans="1:3" x14ac:dyDescent="0.2">
      <c r="A735" s="241">
        <v>37741</v>
      </c>
      <c r="B735" s="242">
        <v>11.6</v>
      </c>
      <c r="C735" s="238">
        <v>1.7</v>
      </c>
    </row>
    <row r="736" spans="1:3" x14ac:dyDescent="0.2">
      <c r="A736" s="241">
        <v>37742</v>
      </c>
      <c r="B736" s="242">
        <v>10.9</v>
      </c>
      <c r="C736" s="238">
        <v>7.7</v>
      </c>
    </row>
    <row r="737" spans="1:3" x14ac:dyDescent="0.2">
      <c r="A737" s="241">
        <v>37743</v>
      </c>
      <c r="B737" s="242">
        <v>12.6</v>
      </c>
      <c r="C737" s="238">
        <v>1</v>
      </c>
    </row>
    <row r="738" spans="1:3" x14ac:dyDescent="0.2">
      <c r="A738" s="241">
        <v>37744</v>
      </c>
      <c r="B738" s="242">
        <v>11</v>
      </c>
      <c r="C738" s="238">
        <v>9.9</v>
      </c>
    </row>
    <row r="739" spans="1:3" x14ac:dyDescent="0.2">
      <c r="A739" s="241">
        <v>37745</v>
      </c>
      <c r="B739" s="242">
        <v>17.7</v>
      </c>
      <c r="C739" s="238">
        <v>11.6</v>
      </c>
    </row>
    <row r="740" spans="1:3" x14ac:dyDescent="0.2">
      <c r="A740" s="241">
        <v>37746</v>
      </c>
      <c r="B740" s="242">
        <v>13</v>
      </c>
      <c r="C740" s="238">
        <v>0.6</v>
      </c>
    </row>
    <row r="741" spans="1:3" x14ac:dyDescent="0.2">
      <c r="A741" s="241">
        <v>37747</v>
      </c>
      <c r="B741" s="242">
        <v>10.7</v>
      </c>
      <c r="C741" s="238">
        <v>7.4</v>
      </c>
    </row>
    <row r="742" spans="1:3" x14ac:dyDescent="0.2">
      <c r="A742" s="241">
        <v>37748</v>
      </c>
      <c r="B742" s="242">
        <v>10.8</v>
      </c>
      <c r="C742" s="238">
        <v>11.6</v>
      </c>
    </row>
    <row r="743" spans="1:3" x14ac:dyDescent="0.2">
      <c r="A743" s="241">
        <v>37749</v>
      </c>
      <c r="B743" s="242">
        <v>10.199999999999999</v>
      </c>
      <c r="C743" s="238">
        <v>9.1</v>
      </c>
    </row>
    <row r="744" spans="1:3" x14ac:dyDescent="0.2">
      <c r="A744" s="241">
        <v>37750</v>
      </c>
      <c r="B744" s="242">
        <v>10.8</v>
      </c>
      <c r="C744" s="238">
        <v>6.9</v>
      </c>
    </row>
    <row r="745" spans="1:3" x14ac:dyDescent="0.2">
      <c r="A745" s="241">
        <v>37751</v>
      </c>
      <c r="B745" s="242">
        <v>11.1</v>
      </c>
      <c r="C745" s="238">
        <v>13</v>
      </c>
    </row>
    <row r="746" spans="1:3" x14ac:dyDescent="0.2">
      <c r="A746" s="241">
        <v>37752</v>
      </c>
      <c r="B746" s="242">
        <v>12.4</v>
      </c>
      <c r="C746" s="238">
        <v>8.1999999999999993</v>
      </c>
    </row>
    <row r="747" spans="1:3" x14ac:dyDescent="0.2">
      <c r="A747" s="241">
        <v>37753</v>
      </c>
      <c r="B747" s="242">
        <v>11.3</v>
      </c>
      <c r="C747" s="238">
        <v>7</v>
      </c>
    </row>
    <row r="748" spans="1:3" x14ac:dyDescent="0.2">
      <c r="A748" s="241">
        <v>37754</v>
      </c>
      <c r="B748" s="242">
        <v>10.199999999999999</v>
      </c>
      <c r="C748" s="238">
        <v>12.4</v>
      </c>
    </row>
    <row r="749" spans="1:3" x14ac:dyDescent="0.2">
      <c r="A749" s="241">
        <v>37755</v>
      </c>
      <c r="B749" s="242">
        <v>10</v>
      </c>
      <c r="C749" s="238">
        <v>6.7</v>
      </c>
    </row>
    <row r="750" spans="1:3" x14ac:dyDescent="0.2">
      <c r="A750" s="241">
        <v>37756</v>
      </c>
      <c r="B750" s="242">
        <v>9.5</v>
      </c>
      <c r="C750" s="238">
        <v>10.1</v>
      </c>
    </row>
    <row r="751" spans="1:3" x14ac:dyDescent="0.2">
      <c r="A751" s="241">
        <v>37757</v>
      </c>
      <c r="B751" s="242">
        <v>11.5</v>
      </c>
      <c r="C751" s="238">
        <v>5.5</v>
      </c>
    </row>
    <row r="752" spans="1:3" x14ac:dyDescent="0.2">
      <c r="A752" s="241">
        <v>37758</v>
      </c>
      <c r="B752" s="242">
        <v>13.7</v>
      </c>
      <c r="C752" s="238">
        <v>3.3</v>
      </c>
    </row>
    <row r="753" spans="1:3" x14ac:dyDescent="0.2">
      <c r="A753" s="241">
        <v>37759</v>
      </c>
      <c r="B753" s="242">
        <v>13.1</v>
      </c>
      <c r="C753" s="238">
        <v>5.7</v>
      </c>
    </row>
    <row r="754" spans="1:3" x14ac:dyDescent="0.2">
      <c r="A754" s="241">
        <v>37760</v>
      </c>
      <c r="B754" s="242">
        <v>12.3</v>
      </c>
      <c r="C754" s="238">
        <v>1.9</v>
      </c>
    </row>
    <row r="755" spans="1:3" x14ac:dyDescent="0.2">
      <c r="A755" s="241">
        <v>37761</v>
      </c>
      <c r="B755" s="242">
        <v>11.2</v>
      </c>
      <c r="C755" s="238">
        <v>4.4000000000000004</v>
      </c>
    </row>
    <row r="756" spans="1:3" x14ac:dyDescent="0.2">
      <c r="A756" s="241">
        <v>37762</v>
      </c>
      <c r="B756" s="242">
        <v>12.2</v>
      </c>
      <c r="C756" s="238">
        <v>4.3</v>
      </c>
    </row>
    <row r="757" spans="1:3" x14ac:dyDescent="0.2">
      <c r="A757" s="241">
        <v>37763</v>
      </c>
      <c r="B757" s="242">
        <v>12.5</v>
      </c>
      <c r="C757" s="238">
        <v>0.1</v>
      </c>
    </row>
    <row r="758" spans="1:3" x14ac:dyDescent="0.2">
      <c r="A758" s="241">
        <v>37764</v>
      </c>
      <c r="B758" s="242">
        <v>12.7</v>
      </c>
      <c r="C758" s="238">
        <v>2.2000000000000002</v>
      </c>
    </row>
    <row r="759" spans="1:3" x14ac:dyDescent="0.2">
      <c r="A759" s="241">
        <v>37765</v>
      </c>
      <c r="B759" s="242">
        <v>11.8</v>
      </c>
      <c r="C759" s="238">
        <v>1.1000000000000001</v>
      </c>
    </row>
    <row r="760" spans="1:3" x14ac:dyDescent="0.2">
      <c r="A760" s="241">
        <v>37766</v>
      </c>
      <c r="B760" s="242">
        <v>11.7</v>
      </c>
      <c r="C760" s="238">
        <v>5.2</v>
      </c>
    </row>
    <row r="761" spans="1:3" x14ac:dyDescent="0.2">
      <c r="A761" s="241">
        <v>37767</v>
      </c>
      <c r="B761" s="242">
        <v>12.3</v>
      </c>
      <c r="C761" s="238">
        <v>14.2</v>
      </c>
    </row>
    <row r="762" spans="1:3" x14ac:dyDescent="0.2">
      <c r="A762" s="241">
        <v>37768</v>
      </c>
      <c r="B762" s="242">
        <v>13.8</v>
      </c>
      <c r="C762" s="238">
        <v>10</v>
      </c>
    </row>
    <row r="763" spans="1:3" x14ac:dyDescent="0.2">
      <c r="A763" s="241">
        <v>37769</v>
      </c>
      <c r="B763" s="242">
        <v>17.2</v>
      </c>
      <c r="C763" s="238">
        <v>13.6</v>
      </c>
    </row>
    <row r="764" spans="1:3" x14ac:dyDescent="0.2">
      <c r="A764" s="241">
        <v>37770</v>
      </c>
      <c r="B764" s="242">
        <v>18.899999999999999</v>
      </c>
      <c r="C764" s="238">
        <v>13.7</v>
      </c>
    </row>
    <row r="765" spans="1:3" x14ac:dyDescent="0.2">
      <c r="A765" s="241">
        <v>37771</v>
      </c>
      <c r="B765" s="242">
        <v>19.8</v>
      </c>
      <c r="C765" s="238">
        <v>13.2</v>
      </c>
    </row>
    <row r="766" spans="1:3" x14ac:dyDescent="0.2">
      <c r="A766" s="241">
        <v>37772</v>
      </c>
      <c r="B766" s="242">
        <v>18.2</v>
      </c>
      <c r="C766" s="238">
        <v>13.7</v>
      </c>
    </row>
    <row r="767" spans="1:3" x14ac:dyDescent="0.2">
      <c r="A767" s="241">
        <v>37773</v>
      </c>
      <c r="B767" s="242">
        <v>20.9</v>
      </c>
      <c r="C767" s="238">
        <v>13.1</v>
      </c>
    </row>
    <row r="768" spans="1:3" x14ac:dyDescent="0.2">
      <c r="A768" s="241">
        <v>37774</v>
      </c>
      <c r="B768" s="242">
        <v>18.3</v>
      </c>
      <c r="C768" s="238">
        <v>5.9</v>
      </c>
    </row>
    <row r="769" spans="1:3" x14ac:dyDescent="0.2">
      <c r="A769" s="241">
        <v>37775</v>
      </c>
      <c r="B769" s="242">
        <v>19.3</v>
      </c>
      <c r="C769" s="238">
        <v>4.5999999999999996</v>
      </c>
    </row>
    <row r="770" spans="1:3" x14ac:dyDescent="0.2">
      <c r="A770" s="241">
        <v>37776</v>
      </c>
      <c r="B770" s="242">
        <v>19.399999999999999</v>
      </c>
      <c r="C770" s="238">
        <v>5.5</v>
      </c>
    </row>
    <row r="771" spans="1:3" x14ac:dyDescent="0.2">
      <c r="A771" s="241">
        <v>37777</v>
      </c>
      <c r="B771" s="242">
        <v>15</v>
      </c>
      <c r="C771" s="238">
        <v>9.6999999999999993</v>
      </c>
    </row>
    <row r="772" spans="1:3" x14ac:dyDescent="0.2">
      <c r="A772" s="241">
        <v>37778</v>
      </c>
      <c r="B772" s="242">
        <v>17.3</v>
      </c>
      <c r="C772" s="238">
        <v>11.8</v>
      </c>
    </row>
    <row r="773" spans="1:3" x14ac:dyDescent="0.2">
      <c r="A773" s="241">
        <v>37779</v>
      </c>
      <c r="B773" s="242">
        <v>17.8</v>
      </c>
      <c r="C773" s="238">
        <v>8.3000000000000007</v>
      </c>
    </row>
    <row r="774" spans="1:3" x14ac:dyDescent="0.2">
      <c r="A774" s="241">
        <v>37780</v>
      </c>
      <c r="B774" s="242">
        <v>16.600000000000001</v>
      </c>
      <c r="C774" s="238">
        <v>4.4000000000000004</v>
      </c>
    </row>
    <row r="775" spans="1:3" x14ac:dyDescent="0.2">
      <c r="A775" s="241">
        <v>37781</v>
      </c>
      <c r="B775" s="242">
        <v>14.9</v>
      </c>
      <c r="C775" s="238">
        <v>15</v>
      </c>
    </row>
    <row r="776" spans="1:3" x14ac:dyDescent="0.2">
      <c r="A776" s="241">
        <v>37782</v>
      </c>
      <c r="B776" s="242">
        <v>18.100000000000001</v>
      </c>
      <c r="C776" s="238">
        <v>3</v>
      </c>
    </row>
    <row r="777" spans="1:3" x14ac:dyDescent="0.2">
      <c r="A777" s="241">
        <v>37783</v>
      </c>
      <c r="B777" s="242">
        <v>15.4</v>
      </c>
      <c r="C777" s="238">
        <v>13.1</v>
      </c>
    </row>
    <row r="778" spans="1:3" x14ac:dyDescent="0.2">
      <c r="A778" s="241">
        <v>37784</v>
      </c>
      <c r="B778" s="242">
        <v>14.4</v>
      </c>
      <c r="C778" s="238">
        <v>7</v>
      </c>
    </row>
    <row r="779" spans="1:3" x14ac:dyDescent="0.2">
      <c r="A779" s="241">
        <v>37785</v>
      </c>
      <c r="B779" s="242">
        <v>15</v>
      </c>
      <c r="C779" s="238">
        <v>14.8</v>
      </c>
    </row>
    <row r="780" spans="1:3" x14ac:dyDescent="0.2">
      <c r="A780" s="241">
        <v>37786</v>
      </c>
      <c r="B780" s="242">
        <v>16.3</v>
      </c>
      <c r="C780" s="238">
        <v>8</v>
      </c>
    </row>
    <row r="781" spans="1:3" x14ac:dyDescent="0.2">
      <c r="A781" s="241">
        <v>37787</v>
      </c>
      <c r="B781" s="242">
        <v>14.8</v>
      </c>
      <c r="C781" s="238">
        <v>13.8</v>
      </c>
    </row>
    <row r="782" spans="1:3" x14ac:dyDescent="0.2">
      <c r="A782" s="241">
        <v>37788</v>
      </c>
      <c r="B782" s="242">
        <v>15.7</v>
      </c>
      <c r="C782" s="238">
        <v>12.1</v>
      </c>
    </row>
    <row r="783" spans="1:3" x14ac:dyDescent="0.2">
      <c r="A783" s="241">
        <v>37789</v>
      </c>
      <c r="B783" s="242">
        <v>18.5</v>
      </c>
      <c r="C783" s="238">
        <v>5.3</v>
      </c>
    </row>
    <row r="784" spans="1:3" x14ac:dyDescent="0.2">
      <c r="A784" s="241">
        <v>37790</v>
      </c>
      <c r="B784" s="242">
        <v>16.5</v>
      </c>
      <c r="C784" s="238">
        <v>6.4</v>
      </c>
    </row>
    <row r="785" spans="1:3" x14ac:dyDescent="0.2">
      <c r="A785" s="241">
        <v>37791</v>
      </c>
      <c r="B785" s="242">
        <v>16.7</v>
      </c>
      <c r="C785" s="238">
        <v>3.1</v>
      </c>
    </row>
    <row r="786" spans="1:3" x14ac:dyDescent="0.2">
      <c r="A786" s="241">
        <v>37792</v>
      </c>
      <c r="B786" s="242">
        <v>15.3</v>
      </c>
      <c r="C786" s="238">
        <v>13.9</v>
      </c>
    </row>
    <row r="787" spans="1:3" x14ac:dyDescent="0.2">
      <c r="A787" s="241">
        <v>37793</v>
      </c>
      <c r="B787" s="242">
        <v>14.7</v>
      </c>
      <c r="C787" s="238">
        <v>14.3</v>
      </c>
    </row>
    <row r="788" spans="1:3" x14ac:dyDescent="0.2">
      <c r="A788" s="241">
        <v>37794</v>
      </c>
      <c r="B788" s="242">
        <v>19.100000000000001</v>
      </c>
      <c r="C788" s="238">
        <v>2.9</v>
      </c>
    </row>
    <row r="789" spans="1:3" x14ac:dyDescent="0.2">
      <c r="A789" s="241">
        <v>37795</v>
      </c>
      <c r="B789" s="242">
        <v>19</v>
      </c>
      <c r="C789" s="238">
        <v>6.2</v>
      </c>
    </row>
    <row r="790" spans="1:3" x14ac:dyDescent="0.2">
      <c r="A790" s="241">
        <v>37796</v>
      </c>
      <c r="B790" s="242">
        <v>15.3</v>
      </c>
      <c r="C790" s="238">
        <v>14.4</v>
      </c>
    </row>
    <row r="791" spans="1:3" x14ac:dyDescent="0.2">
      <c r="A791" s="241">
        <v>37797</v>
      </c>
      <c r="B791" s="242">
        <v>14.7</v>
      </c>
      <c r="C791" s="238">
        <v>12.1</v>
      </c>
    </row>
    <row r="792" spans="1:3" x14ac:dyDescent="0.2">
      <c r="A792" s="241">
        <v>37798</v>
      </c>
      <c r="B792" s="242">
        <v>16.7</v>
      </c>
      <c r="C792" s="238">
        <v>11.3</v>
      </c>
    </row>
    <row r="793" spans="1:3" x14ac:dyDescent="0.2">
      <c r="A793" s="241">
        <v>37799</v>
      </c>
      <c r="B793" s="242">
        <v>20.3</v>
      </c>
      <c r="C793" s="238">
        <v>8.5</v>
      </c>
    </row>
    <row r="794" spans="1:3" x14ac:dyDescent="0.2">
      <c r="A794" s="241">
        <v>37800</v>
      </c>
      <c r="B794" s="242">
        <v>16.3</v>
      </c>
      <c r="C794" s="238">
        <v>2.9</v>
      </c>
    </row>
    <row r="795" spans="1:3" x14ac:dyDescent="0.2">
      <c r="A795" s="241">
        <v>37801</v>
      </c>
      <c r="B795" s="242">
        <v>15.5</v>
      </c>
      <c r="C795" s="238">
        <v>8.6</v>
      </c>
    </row>
    <row r="796" spans="1:3" x14ac:dyDescent="0.2">
      <c r="A796" s="241">
        <v>37802</v>
      </c>
      <c r="B796" s="242">
        <v>15.7</v>
      </c>
      <c r="C796" s="238">
        <v>0.4</v>
      </c>
    </row>
    <row r="797" spans="1:3" x14ac:dyDescent="0.2">
      <c r="A797" s="241">
        <v>37803</v>
      </c>
      <c r="B797" s="242">
        <v>17.100000000000001</v>
      </c>
      <c r="C797" s="238">
        <v>10.1</v>
      </c>
    </row>
    <row r="798" spans="1:3" x14ac:dyDescent="0.2">
      <c r="A798" s="241">
        <v>37804</v>
      </c>
      <c r="B798" s="242">
        <v>15.5</v>
      </c>
      <c r="C798" s="238">
        <v>2.5</v>
      </c>
    </row>
    <row r="799" spans="1:3" x14ac:dyDescent="0.2">
      <c r="A799" s="241">
        <v>37805</v>
      </c>
      <c r="B799" s="242">
        <v>15.8</v>
      </c>
      <c r="C799" s="238">
        <v>2.9</v>
      </c>
    </row>
    <row r="800" spans="1:3" x14ac:dyDescent="0.2">
      <c r="A800" s="241">
        <v>37806</v>
      </c>
      <c r="B800" s="242">
        <v>14.8</v>
      </c>
      <c r="C800" s="238">
        <v>0.1</v>
      </c>
    </row>
    <row r="801" spans="1:3" x14ac:dyDescent="0.2">
      <c r="A801" s="241">
        <v>37807</v>
      </c>
      <c r="B801" s="242">
        <v>15.2</v>
      </c>
      <c r="C801" s="238">
        <v>0.2</v>
      </c>
    </row>
    <row r="802" spans="1:3" x14ac:dyDescent="0.2">
      <c r="A802" s="241">
        <v>37808</v>
      </c>
      <c r="B802" s="242">
        <v>15.3</v>
      </c>
      <c r="C802" s="238">
        <v>3.8</v>
      </c>
    </row>
    <row r="803" spans="1:3" x14ac:dyDescent="0.2">
      <c r="A803" s="241">
        <v>37809</v>
      </c>
      <c r="B803" s="242">
        <v>16.5</v>
      </c>
      <c r="C803" s="238">
        <v>10.8</v>
      </c>
    </row>
    <row r="804" spans="1:3" x14ac:dyDescent="0.2">
      <c r="A804" s="241">
        <v>37810</v>
      </c>
      <c r="B804" s="242">
        <v>16.7</v>
      </c>
      <c r="C804" s="238">
        <v>4.2</v>
      </c>
    </row>
    <row r="805" spans="1:3" x14ac:dyDescent="0.2">
      <c r="A805" s="241">
        <v>37811</v>
      </c>
      <c r="B805" s="242">
        <v>17</v>
      </c>
      <c r="C805" s="238">
        <v>13.2</v>
      </c>
    </row>
    <row r="806" spans="1:3" x14ac:dyDescent="0.2">
      <c r="A806" s="241">
        <v>37812</v>
      </c>
      <c r="B806" s="242">
        <v>19.100000000000001</v>
      </c>
      <c r="C806" s="238">
        <v>13.6</v>
      </c>
    </row>
    <row r="807" spans="1:3" x14ac:dyDescent="0.2">
      <c r="A807" s="241">
        <v>37813</v>
      </c>
      <c r="B807" s="242">
        <v>18.399999999999999</v>
      </c>
      <c r="C807" s="238">
        <v>5.7</v>
      </c>
    </row>
    <row r="808" spans="1:3" x14ac:dyDescent="0.2">
      <c r="A808" s="241">
        <v>37814</v>
      </c>
      <c r="B808" s="242">
        <v>16.2</v>
      </c>
      <c r="C808" s="238">
        <v>12.9</v>
      </c>
    </row>
    <row r="809" spans="1:3" x14ac:dyDescent="0.2">
      <c r="A809" s="241">
        <v>37815</v>
      </c>
      <c r="B809" s="242">
        <v>17.100000000000001</v>
      </c>
      <c r="C809" s="238">
        <v>14.3</v>
      </c>
    </row>
    <row r="810" spans="1:3" x14ac:dyDescent="0.2">
      <c r="A810" s="241">
        <v>37816</v>
      </c>
      <c r="B810" s="242">
        <v>20.9</v>
      </c>
      <c r="C810" s="238">
        <v>14.8</v>
      </c>
    </row>
    <row r="811" spans="1:3" x14ac:dyDescent="0.2">
      <c r="A811" s="241">
        <v>37817</v>
      </c>
      <c r="B811" s="242">
        <v>23.7</v>
      </c>
      <c r="C811" s="238">
        <v>14.6</v>
      </c>
    </row>
    <row r="812" spans="1:3" x14ac:dyDescent="0.2">
      <c r="A812" s="241">
        <v>37818</v>
      </c>
      <c r="B812" s="242">
        <v>23.7</v>
      </c>
      <c r="C812" s="238">
        <v>10.3</v>
      </c>
    </row>
    <row r="813" spans="1:3" x14ac:dyDescent="0.2">
      <c r="A813" s="241">
        <v>37819</v>
      </c>
      <c r="B813" s="242">
        <v>18.3</v>
      </c>
      <c r="C813" s="238">
        <v>1.7</v>
      </c>
    </row>
    <row r="814" spans="1:3" x14ac:dyDescent="0.2">
      <c r="A814" s="241">
        <v>37820</v>
      </c>
      <c r="B814" s="242">
        <v>19.100000000000001</v>
      </c>
      <c r="C814" s="238">
        <v>9.3000000000000007</v>
      </c>
    </row>
    <row r="815" spans="1:3" x14ac:dyDescent="0.2">
      <c r="A815" s="241">
        <v>37821</v>
      </c>
      <c r="B815" s="242">
        <v>22.7</v>
      </c>
      <c r="C815" s="238">
        <v>13.3</v>
      </c>
    </row>
    <row r="816" spans="1:3" x14ac:dyDescent="0.2">
      <c r="A816" s="241">
        <v>37822</v>
      </c>
      <c r="B816" s="242">
        <v>20.6</v>
      </c>
      <c r="C816" s="238">
        <v>7.5</v>
      </c>
    </row>
    <row r="817" spans="1:3" x14ac:dyDescent="0.2">
      <c r="A817" s="241">
        <v>37823</v>
      </c>
      <c r="B817" s="242">
        <v>19.2</v>
      </c>
      <c r="C817" s="238">
        <v>9.5</v>
      </c>
    </row>
    <row r="818" spans="1:3" x14ac:dyDescent="0.2">
      <c r="A818" s="241">
        <v>37824</v>
      </c>
      <c r="B818" s="242">
        <v>18.899999999999999</v>
      </c>
      <c r="C818" s="238">
        <v>12</v>
      </c>
    </row>
    <row r="819" spans="1:3" x14ac:dyDescent="0.2">
      <c r="A819" s="241">
        <v>37825</v>
      </c>
      <c r="B819" s="242">
        <v>19.3</v>
      </c>
      <c r="C819" s="238">
        <v>8.3000000000000007</v>
      </c>
    </row>
    <row r="820" spans="1:3" x14ac:dyDescent="0.2">
      <c r="A820" s="241">
        <v>37826</v>
      </c>
      <c r="B820" s="242">
        <v>18.600000000000001</v>
      </c>
      <c r="C820" s="238">
        <v>5.8</v>
      </c>
    </row>
    <row r="821" spans="1:3" x14ac:dyDescent="0.2">
      <c r="A821" s="241">
        <v>37827</v>
      </c>
      <c r="B821" s="242">
        <v>18.8</v>
      </c>
      <c r="C821" s="238">
        <v>2</v>
      </c>
    </row>
    <row r="822" spans="1:3" x14ac:dyDescent="0.2">
      <c r="A822" s="241">
        <v>37828</v>
      </c>
      <c r="B822" s="242">
        <v>19.399999999999999</v>
      </c>
      <c r="C822" s="238">
        <v>7.7</v>
      </c>
    </row>
    <row r="823" spans="1:3" x14ac:dyDescent="0.2">
      <c r="A823" s="241">
        <v>37829</v>
      </c>
      <c r="B823" s="242">
        <v>18.3</v>
      </c>
      <c r="C823" s="238">
        <v>6.1</v>
      </c>
    </row>
    <row r="824" spans="1:3" x14ac:dyDescent="0.2">
      <c r="A824" s="241">
        <v>37830</v>
      </c>
      <c r="B824" s="242">
        <v>18.3</v>
      </c>
      <c r="C824" s="238">
        <v>12.9</v>
      </c>
    </row>
    <row r="825" spans="1:3" x14ac:dyDescent="0.2">
      <c r="A825" s="241">
        <v>37831</v>
      </c>
      <c r="B825" s="242">
        <v>19.8</v>
      </c>
      <c r="C825" s="238">
        <v>4.4000000000000004</v>
      </c>
    </row>
    <row r="826" spans="1:3" x14ac:dyDescent="0.2">
      <c r="A826" s="241">
        <v>37832</v>
      </c>
      <c r="B826" s="242">
        <v>18.5</v>
      </c>
      <c r="C826" s="238">
        <v>7.1</v>
      </c>
    </row>
    <row r="827" spans="1:3" x14ac:dyDescent="0.2">
      <c r="A827" s="241">
        <v>37833</v>
      </c>
      <c r="B827" s="242">
        <v>18.7</v>
      </c>
      <c r="C827" s="238">
        <v>10.1</v>
      </c>
    </row>
    <row r="828" spans="1:3" x14ac:dyDescent="0.2">
      <c r="A828" s="241">
        <v>37834</v>
      </c>
      <c r="B828" s="242">
        <v>20</v>
      </c>
      <c r="C828" s="238">
        <v>1.9</v>
      </c>
    </row>
    <row r="829" spans="1:3" x14ac:dyDescent="0.2">
      <c r="A829" s="241">
        <v>37835</v>
      </c>
      <c r="B829" s="242">
        <v>19.2</v>
      </c>
      <c r="C829" s="238">
        <v>10.3</v>
      </c>
    </row>
    <row r="830" spans="1:3" x14ac:dyDescent="0.2">
      <c r="A830" s="241">
        <v>37836</v>
      </c>
      <c r="B830" s="242">
        <v>19.2</v>
      </c>
      <c r="C830" s="238">
        <v>12.2</v>
      </c>
    </row>
    <row r="831" spans="1:3" x14ac:dyDescent="0.2">
      <c r="A831" s="241">
        <v>37837</v>
      </c>
      <c r="B831" s="242">
        <v>20.9</v>
      </c>
      <c r="C831" s="238">
        <v>13.3</v>
      </c>
    </row>
    <row r="832" spans="1:3" x14ac:dyDescent="0.2">
      <c r="A832" s="241">
        <v>37838</v>
      </c>
      <c r="B832" s="242">
        <v>21.7</v>
      </c>
      <c r="C832" s="238">
        <v>12.3</v>
      </c>
    </row>
    <row r="833" spans="1:3" x14ac:dyDescent="0.2">
      <c r="A833" s="241">
        <v>37839</v>
      </c>
      <c r="B833" s="242">
        <v>24.2</v>
      </c>
      <c r="C833" s="238">
        <v>10.7</v>
      </c>
    </row>
    <row r="834" spans="1:3" x14ac:dyDescent="0.2">
      <c r="A834" s="241">
        <v>37840</v>
      </c>
      <c r="B834" s="242">
        <v>22.1</v>
      </c>
      <c r="C834" s="238">
        <v>12</v>
      </c>
    </row>
    <row r="835" spans="1:3" x14ac:dyDescent="0.2">
      <c r="A835" s="241">
        <v>37841</v>
      </c>
      <c r="B835" s="242">
        <v>18.5</v>
      </c>
      <c r="C835" s="238">
        <v>0</v>
      </c>
    </row>
    <row r="836" spans="1:3" x14ac:dyDescent="0.2">
      <c r="A836" s="241">
        <v>37842</v>
      </c>
      <c r="B836" s="242">
        <v>18.100000000000001</v>
      </c>
      <c r="C836" s="238">
        <v>0</v>
      </c>
    </row>
    <row r="837" spans="1:3" x14ac:dyDescent="0.2">
      <c r="A837" s="241">
        <v>37843</v>
      </c>
      <c r="B837" s="242">
        <v>19.2</v>
      </c>
      <c r="C837" s="238">
        <v>10.199999999999999</v>
      </c>
    </row>
    <row r="838" spans="1:3" x14ac:dyDescent="0.2">
      <c r="A838" s="241">
        <v>37844</v>
      </c>
      <c r="B838" s="242">
        <v>22.1</v>
      </c>
      <c r="C838" s="238">
        <v>4.2</v>
      </c>
    </row>
    <row r="839" spans="1:3" x14ac:dyDescent="0.2">
      <c r="A839" s="241">
        <v>37845</v>
      </c>
      <c r="B839" s="242">
        <v>21.9</v>
      </c>
      <c r="C839" s="238">
        <v>7.4</v>
      </c>
    </row>
    <row r="840" spans="1:3" x14ac:dyDescent="0.2">
      <c r="A840" s="241">
        <v>37846</v>
      </c>
      <c r="B840" s="242">
        <v>19.5</v>
      </c>
      <c r="C840" s="238">
        <v>6.5</v>
      </c>
    </row>
    <row r="841" spans="1:3" x14ac:dyDescent="0.2">
      <c r="A841" s="241">
        <v>37847</v>
      </c>
      <c r="B841" s="242">
        <v>18.3</v>
      </c>
      <c r="C841" s="238">
        <v>11.8</v>
      </c>
    </row>
    <row r="842" spans="1:3" x14ac:dyDescent="0.2">
      <c r="A842" s="241">
        <v>37848</v>
      </c>
      <c r="B842" s="242">
        <v>17.3</v>
      </c>
      <c r="C842" s="238">
        <v>11.1</v>
      </c>
    </row>
    <row r="843" spans="1:3" x14ac:dyDescent="0.2">
      <c r="A843" s="241">
        <v>37849</v>
      </c>
      <c r="B843" s="242">
        <v>15.7</v>
      </c>
      <c r="C843" s="238">
        <v>9.1999999999999993</v>
      </c>
    </row>
    <row r="844" spans="1:3" x14ac:dyDescent="0.2">
      <c r="A844" s="241">
        <v>37850</v>
      </c>
      <c r="B844" s="242">
        <v>17.8</v>
      </c>
      <c r="C844" s="238">
        <v>4.7</v>
      </c>
    </row>
    <row r="845" spans="1:3" x14ac:dyDescent="0.2">
      <c r="A845" s="241">
        <v>37851</v>
      </c>
      <c r="B845" s="242">
        <v>20.2</v>
      </c>
      <c r="C845" s="238">
        <v>8.6999999999999993</v>
      </c>
    </row>
    <row r="846" spans="1:3" x14ac:dyDescent="0.2">
      <c r="A846" s="241">
        <v>37852</v>
      </c>
      <c r="B846" s="242">
        <v>19.2</v>
      </c>
      <c r="C846" s="238">
        <v>8.9</v>
      </c>
    </row>
    <row r="847" spans="1:3" x14ac:dyDescent="0.2">
      <c r="A847" s="241">
        <v>37853</v>
      </c>
      <c r="B847" s="242">
        <v>17.3</v>
      </c>
      <c r="C847" s="238">
        <v>11.3</v>
      </c>
    </row>
    <row r="848" spans="1:3" x14ac:dyDescent="0.2">
      <c r="A848" s="241">
        <v>37854</v>
      </c>
      <c r="B848" s="242">
        <v>18.2</v>
      </c>
      <c r="C848" s="238">
        <v>7.3</v>
      </c>
    </row>
    <row r="849" spans="1:3" x14ac:dyDescent="0.2">
      <c r="A849" s="241">
        <v>37855</v>
      </c>
      <c r="B849" s="242">
        <v>20</v>
      </c>
      <c r="C849" s="238">
        <v>1</v>
      </c>
    </row>
    <row r="850" spans="1:3" x14ac:dyDescent="0.2">
      <c r="A850" s="241">
        <v>37856</v>
      </c>
      <c r="B850" s="242">
        <v>17.8</v>
      </c>
      <c r="C850" s="238">
        <v>8.9</v>
      </c>
    </row>
    <row r="851" spans="1:3" x14ac:dyDescent="0.2">
      <c r="A851" s="241">
        <v>37857</v>
      </c>
      <c r="B851" s="242">
        <v>16.899999999999999</v>
      </c>
      <c r="C851" s="238">
        <v>0</v>
      </c>
    </row>
    <row r="852" spans="1:3" x14ac:dyDescent="0.2">
      <c r="A852" s="241">
        <v>37858</v>
      </c>
      <c r="B852" s="242">
        <v>17.8</v>
      </c>
      <c r="C852" s="238">
        <v>6.1</v>
      </c>
    </row>
    <row r="853" spans="1:3" x14ac:dyDescent="0.2">
      <c r="A853" s="241">
        <v>37859</v>
      </c>
      <c r="B853" s="242">
        <v>17</v>
      </c>
      <c r="C853" s="238">
        <v>7.2</v>
      </c>
    </row>
    <row r="854" spans="1:3" x14ac:dyDescent="0.2">
      <c r="A854" s="241">
        <v>37860</v>
      </c>
      <c r="B854" s="242">
        <v>16.3</v>
      </c>
      <c r="C854" s="238">
        <v>0.9</v>
      </c>
    </row>
    <row r="855" spans="1:3" x14ac:dyDescent="0.2">
      <c r="A855" s="241">
        <v>37861</v>
      </c>
      <c r="B855" s="242">
        <v>14.8</v>
      </c>
      <c r="C855" s="238">
        <v>0</v>
      </c>
    </row>
    <row r="856" spans="1:3" x14ac:dyDescent="0.2">
      <c r="A856" s="241">
        <v>37862</v>
      </c>
      <c r="B856" s="242">
        <v>14.7</v>
      </c>
      <c r="C856" s="238">
        <v>0</v>
      </c>
    </row>
    <row r="857" spans="1:3" x14ac:dyDescent="0.2">
      <c r="A857" s="241">
        <v>37863</v>
      </c>
      <c r="B857" s="242">
        <v>15.8</v>
      </c>
      <c r="C857" s="238">
        <v>8.9</v>
      </c>
    </row>
    <row r="858" spans="1:3" x14ac:dyDescent="0.2">
      <c r="A858" s="241">
        <v>37864</v>
      </c>
      <c r="B858" s="242">
        <v>15.3</v>
      </c>
      <c r="C858" s="238">
        <v>6.6</v>
      </c>
    </row>
    <row r="859" spans="1:3" x14ac:dyDescent="0.2">
      <c r="A859" s="241">
        <v>37865</v>
      </c>
      <c r="B859" s="242">
        <v>14.7</v>
      </c>
      <c r="C859" s="238">
        <v>6.1</v>
      </c>
    </row>
    <row r="860" spans="1:3" x14ac:dyDescent="0.2">
      <c r="A860" s="241">
        <v>37866</v>
      </c>
      <c r="B860" s="242">
        <v>13.3</v>
      </c>
      <c r="C860" s="238">
        <v>6.3</v>
      </c>
    </row>
    <row r="861" spans="1:3" x14ac:dyDescent="0.2">
      <c r="A861" s="241">
        <v>37867</v>
      </c>
      <c r="B861" s="242">
        <v>12.9</v>
      </c>
      <c r="C861" s="238">
        <v>8.3000000000000007</v>
      </c>
    </row>
    <row r="862" spans="1:3" x14ac:dyDescent="0.2">
      <c r="A862" s="241">
        <v>37868</v>
      </c>
      <c r="B862" s="242">
        <v>14.3</v>
      </c>
      <c r="C862" s="238">
        <v>11.5</v>
      </c>
    </row>
    <row r="863" spans="1:3" x14ac:dyDescent="0.2">
      <c r="A863" s="241">
        <v>37869</v>
      </c>
      <c r="B863" s="242">
        <v>18</v>
      </c>
      <c r="C863" s="238">
        <v>7.9</v>
      </c>
    </row>
    <row r="864" spans="1:3" x14ac:dyDescent="0.2">
      <c r="A864" s="241">
        <v>37870</v>
      </c>
      <c r="B864" s="242">
        <v>18.399999999999999</v>
      </c>
      <c r="C864" s="238">
        <v>2.2000000000000002</v>
      </c>
    </row>
    <row r="865" spans="1:3" x14ac:dyDescent="0.2">
      <c r="A865" s="241">
        <v>37871</v>
      </c>
      <c r="B865" s="242">
        <v>15.8</v>
      </c>
      <c r="C865" s="238">
        <v>4.7</v>
      </c>
    </row>
    <row r="866" spans="1:3" x14ac:dyDescent="0.2">
      <c r="A866" s="241">
        <v>37872</v>
      </c>
      <c r="B866" s="242">
        <v>14.4</v>
      </c>
      <c r="C866" s="238">
        <v>7.9</v>
      </c>
    </row>
    <row r="867" spans="1:3" x14ac:dyDescent="0.2">
      <c r="A867" s="241">
        <v>37873</v>
      </c>
      <c r="B867" s="242">
        <v>16.399999999999999</v>
      </c>
      <c r="C867" s="238">
        <v>7.3</v>
      </c>
    </row>
    <row r="868" spans="1:3" x14ac:dyDescent="0.2">
      <c r="A868" s="241">
        <v>37874</v>
      </c>
      <c r="B868" s="242">
        <v>13</v>
      </c>
      <c r="C868" s="238">
        <v>0.7</v>
      </c>
    </row>
    <row r="869" spans="1:3" x14ac:dyDescent="0.2">
      <c r="A869" s="241">
        <v>37875</v>
      </c>
      <c r="B869" s="242">
        <v>16.3</v>
      </c>
      <c r="C869" s="238">
        <v>8.4</v>
      </c>
    </row>
    <row r="870" spans="1:3" x14ac:dyDescent="0.2">
      <c r="A870" s="241">
        <v>37876</v>
      </c>
      <c r="B870" s="242">
        <v>14.9</v>
      </c>
      <c r="C870" s="238">
        <v>2.8</v>
      </c>
    </row>
    <row r="871" spans="1:3" x14ac:dyDescent="0.2">
      <c r="A871" s="241">
        <v>37877</v>
      </c>
      <c r="B871" s="242">
        <v>12.7</v>
      </c>
      <c r="C871" s="238">
        <v>10.8</v>
      </c>
    </row>
    <row r="872" spans="1:3" x14ac:dyDescent="0.2">
      <c r="A872" s="241">
        <v>37878</v>
      </c>
      <c r="B872" s="242">
        <v>14.3</v>
      </c>
      <c r="C872" s="238">
        <v>11.3</v>
      </c>
    </row>
    <row r="873" spans="1:3" x14ac:dyDescent="0.2">
      <c r="A873" s="241">
        <v>37879</v>
      </c>
      <c r="B873" s="242">
        <v>14.2</v>
      </c>
      <c r="C873" s="238">
        <v>7.5</v>
      </c>
    </row>
    <row r="874" spans="1:3" x14ac:dyDescent="0.2">
      <c r="A874" s="241">
        <v>37880</v>
      </c>
      <c r="B874" s="242">
        <v>15</v>
      </c>
      <c r="C874" s="238">
        <v>8.8000000000000007</v>
      </c>
    </row>
    <row r="875" spans="1:3" x14ac:dyDescent="0.2">
      <c r="A875" s="241">
        <v>37881</v>
      </c>
      <c r="B875" s="242">
        <v>17.600000000000001</v>
      </c>
      <c r="C875" s="238">
        <v>10.5</v>
      </c>
    </row>
    <row r="876" spans="1:3" x14ac:dyDescent="0.2">
      <c r="A876" s="241">
        <v>37882</v>
      </c>
      <c r="B876" s="242">
        <v>19</v>
      </c>
      <c r="C876" s="238">
        <v>10.1</v>
      </c>
    </row>
    <row r="877" spans="1:3" x14ac:dyDescent="0.2">
      <c r="A877" s="241">
        <v>37883</v>
      </c>
      <c r="B877" s="242">
        <v>17.3</v>
      </c>
      <c r="C877" s="238">
        <v>8.9</v>
      </c>
    </row>
    <row r="878" spans="1:3" x14ac:dyDescent="0.2">
      <c r="A878" s="241">
        <v>37884</v>
      </c>
      <c r="B878" s="242">
        <v>17</v>
      </c>
      <c r="C878" s="238">
        <v>7.6</v>
      </c>
    </row>
    <row r="879" spans="1:3" x14ac:dyDescent="0.2">
      <c r="A879" s="241">
        <v>37885</v>
      </c>
      <c r="B879" s="242">
        <v>19.5</v>
      </c>
      <c r="C879" s="238">
        <v>9.6</v>
      </c>
    </row>
    <row r="880" spans="1:3" x14ac:dyDescent="0.2">
      <c r="A880" s="241">
        <v>37886</v>
      </c>
      <c r="B880" s="242">
        <v>18.5</v>
      </c>
      <c r="C880" s="238">
        <v>8.1999999999999993</v>
      </c>
    </row>
    <row r="881" spans="1:3" x14ac:dyDescent="0.2">
      <c r="A881" s="241">
        <v>37887</v>
      </c>
      <c r="B881" s="242">
        <v>12.5</v>
      </c>
      <c r="C881" s="238">
        <v>4.8</v>
      </c>
    </row>
    <row r="882" spans="1:3" x14ac:dyDescent="0.2">
      <c r="A882" s="241">
        <v>37888</v>
      </c>
      <c r="B882" s="242">
        <v>11.2</v>
      </c>
      <c r="C882" s="238">
        <v>4.8</v>
      </c>
    </row>
    <row r="883" spans="1:3" x14ac:dyDescent="0.2">
      <c r="A883" s="241">
        <v>37889</v>
      </c>
      <c r="B883" s="242">
        <v>12.3</v>
      </c>
      <c r="C883" s="238">
        <v>9.8000000000000007</v>
      </c>
    </row>
    <row r="884" spans="1:3" x14ac:dyDescent="0.2">
      <c r="A884" s="241">
        <v>37890</v>
      </c>
      <c r="B884" s="242">
        <v>14.1</v>
      </c>
      <c r="C884" s="238">
        <v>5.4</v>
      </c>
    </row>
    <row r="885" spans="1:3" x14ac:dyDescent="0.2">
      <c r="A885" s="241">
        <v>37891</v>
      </c>
      <c r="B885" s="242">
        <v>12.4</v>
      </c>
      <c r="C885" s="238">
        <v>8.5</v>
      </c>
    </row>
    <row r="886" spans="1:3" x14ac:dyDescent="0.2">
      <c r="A886" s="241">
        <v>37892</v>
      </c>
      <c r="B886" s="242">
        <v>11.3</v>
      </c>
      <c r="C886" s="238">
        <v>1.1000000000000001</v>
      </c>
    </row>
    <row r="887" spans="1:3" x14ac:dyDescent="0.2">
      <c r="A887" s="241">
        <v>37893</v>
      </c>
      <c r="B887" s="242">
        <v>12.4</v>
      </c>
      <c r="C887" s="238">
        <v>7.2</v>
      </c>
    </row>
    <row r="888" spans="1:3" x14ac:dyDescent="0.2">
      <c r="A888" s="241">
        <v>37894</v>
      </c>
      <c r="B888" s="242">
        <v>12.9</v>
      </c>
      <c r="C888" s="238">
        <v>8.3000000000000007</v>
      </c>
    </row>
    <row r="889" spans="1:3" x14ac:dyDescent="0.2">
      <c r="A889" s="241">
        <v>37895</v>
      </c>
      <c r="B889" s="242">
        <v>12.3</v>
      </c>
      <c r="C889" s="238">
        <v>6.4</v>
      </c>
    </row>
    <row r="890" spans="1:3" x14ac:dyDescent="0.2">
      <c r="A890" s="241">
        <v>37896</v>
      </c>
      <c r="B890" s="242">
        <v>14.2</v>
      </c>
      <c r="C890" s="238">
        <v>5.7</v>
      </c>
    </row>
    <row r="891" spans="1:3" x14ac:dyDescent="0.2">
      <c r="A891" s="241">
        <v>37897</v>
      </c>
      <c r="B891" s="242">
        <v>14.8</v>
      </c>
      <c r="C891" s="238">
        <v>4</v>
      </c>
    </row>
    <row r="892" spans="1:3" x14ac:dyDescent="0.2">
      <c r="A892" s="241">
        <v>37898</v>
      </c>
      <c r="B892" s="242">
        <v>11.5</v>
      </c>
      <c r="C892" s="238">
        <v>3.3</v>
      </c>
    </row>
    <row r="893" spans="1:3" x14ac:dyDescent="0.2">
      <c r="A893" s="241">
        <v>37899</v>
      </c>
      <c r="B893" s="242">
        <v>9.8000000000000007</v>
      </c>
      <c r="C893" s="238">
        <v>6</v>
      </c>
    </row>
    <row r="894" spans="1:3" x14ac:dyDescent="0.2">
      <c r="A894" s="241">
        <v>37900</v>
      </c>
      <c r="B894" s="242">
        <v>12.5</v>
      </c>
      <c r="C894" s="238">
        <v>4.5</v>
      </c>
    </row>
    <row r="895" spans="1:3" x14ac:dyDescent="0.2">
      <c r="A895" s="241">
        <v>37901</v>
      </c>
      <c r="B895" s="242">
        <v>10.6</v>
      </c>
      <c r="C895" s="238">
        <v>2.2000000000000002</v>
      </c>
    </row>
    <row r="896" spans="1:3" x14ac:dyDescent="0.2">
      <c r="A896" s="241">
        <v>37902</v>
      </c>
      <c r="B896" s="242">
        <v>13.2</v>
      </c>
      <c r="C896" s="238">
        <v>0</v>
      </c>
    </row>
    <row r="897" spans="1:3" x14ac:dyDescent="0.2">
      <c r="A897" s="241">
        <v>37903</v>
      </c>
      <c r="B897" s="242">
        <v>14.5</v>
      </c>
      <c r="C897" s="238">
        <v>0.2</v>
      </c>
    </row>
    <row r="898" spans="1:3" x14ac:dyDescent="0.2">
      <c r="A898" s="241">
        <v>37904</v>
      </c>
      <c r="B898" s="242">
        <v>14.8</v>
      </c>
      <c r="C898" s="238">
        <v>6.5</v>
      </c>
    </row>
    <row r="899" spans="1:3" x14ac:dyDescent="0.2">
      <c r="A899" s="241">
        <v>37905</v>
      </c>
      <c r="B899" s="242">
        <v>12.3</v>
      </c>
      <c r="C899" s="238">
        <v>0.3</v>
      </c>
    </row>
    <row r="900" spans="1:3" x14ac:dyDescent="0.2">
      <c r="A900" s="241">
        <v>37906</v>
      </c>
      <c r="B900" s="242">
        <v>8.8000000000000007</v>
      </c>
      <c r="C900" s="238">
        <v>8.8000000000000007</v>
      </c>
    </row>
    <row r="901" spans="1:3" x14ac:dyDescent="0.2">
      <c r="A901" s="241">
        <v>37907</v>
      </c>
      <c r="B901" s="242">
        <v>9.5</v>
      </c>
      <c r="C901" s="238">
        <v>3</v>
      </c>
    </row>
    <row r="902" spans="1:3" x14ac:dyDescent="0.2">
      <c r="A902" s="241">
        <v>37908</v>
      </c>
      <c r="B902" s="242">
        <v>8.4</v>
      </c>
      <c r="C902" s="238">
        <v>7.5</v>
      </c>
    </row>
    <row r="903" spans="1:3" x14ac:dyDescent="0.2">
      <c r="A903" s="241">
        <v>37909</v>
      </c>
      <c r="B903" s="242">
        <v>7.3</v>
      </c>
      <c r="C903" s="238">
        <v>9.6999999999999993</v>
      </c>
    </row>
    <row r="904" spans="1:3" x14ac:dyDescent="0.2">
      <c r="A904" s="241">
        <v>37910</v>
      </c>
      <c r="B904" s="242">
        <v>6.8</v>
      </c>
      <c r="C904" s="238">
        <v>9.6999999999999993</v>
      </c>
    </row>
    <row r="905" spans="1:3" x14ac:dyDescent="0.2">
      <c r="A905" s="241">
        <v>37911</v>
      </c>
      <c r="B905" s="242">
        <v>6.7</v>
      </c>
      <c r="C905" s="238">
        <v>9.5</v>
      </c>
    </row>
    <row r="906" spans="1:3" x14ac:dyDescent="0.2">
      <c r="A906" s="241">
        <v>37912</v>
      </c>
      <c r="B906" s="242">
        <v>5.6</v>
      </c>
      <c r="C906" s="238">
        <v>9</v>
      </c>
    </row>
    <row r="907" spans="1:3" x14ac:dyDescent="0.2">
      <c r="A907" s="241">
        <v>37913</v>
      </c>
      <c r="B907" s="242">
        <v>6.8</v>
      </c>
      <c r="C907" s="238">
        <v>8.6</v>
      </c>
    </row>
    <row r="908" spans="1:3" x14ac:dyDescent="0.2">
      <c r="A908" s="241">
        <v>37914</v>
      </c>
      <c r="B908" s="242">
        <v>6.2</v>
      </c>
      <c r="C908" s="238">
        <v>2.1</v>
      </c>
    </row>
    <row r="909" spans="1:3" x14ac:dyDescent="0.2">
      <c r="A909" s="241">
        <v>37915</v>
      </c>
      <c r="B909" s="242">
        <v>4.7</v>
      </c>
      <c r="C909" s="238">
        <v>5.9</v>
      </c>
    </row>
    <row r="910" spans="1:3" x14ac:dyDescent="0.2">
      <c r="A910" s="241">
        <v>37916</v>
      </c>
      <c r="B910" s="242">
        <v>5.3</v>
      </c>
      <c r="C910" s="238">
        <v>5</v>
      </c>
    </row>
    <row r="911" spans="1:3" x14ac:dyDescent="0.2">
      <c r="A911" s="241">
        <v>37917</v>
      </c>
      <c r="B911" s="242">
        <v>2.1</v>
      </c>
      <c r="C911" s="238">
        <v>9</v>
      </c>
    </row>
    <row r="912" spans="1:3" x14ac:dyDescent="0.2">
      <c r="A912" s="241">
        <v>37918</v>
      </c>
      <c r="B912" s="242">
        <v>4.5</v>
      </c>
      <c r="C912" s="238">
        <v>2.8</v>
      </c>
    </row>
    <row r="913" spans="1:3" x14ac:dyDescent="0.2">
      <c r="A913" s="241">
        <v>37919</v>
      </c>
      <c r="B913" s="242">
        <v>8.8000000000000007</v>
      </c>
      <c r="C913" s="238">
        <v>3.1</v>
      </c>
    </row>
    <row r="914" spans="1:3" x14ac:dyDescent="0.2">
      <c r="A914" s="241">
        <v>37920</v>
      </c>
      <c r="B914" s="242">
        <v>5.6</v>
      </c>
      <c r="C914" s="238">
        <v>7.3</v>
      </c>
    </row>
    <row r="915" spans="1:3" x14ac:dyDescent="0.2">
      <c r="A915" s="241">
        <v>37921</v>
      </c>
      <c r="B915" s="242">
        <v>2.1</v>
      </c>
      <c r="C915" s="238">
        <v>8.6999999999999993</v>
      </c>
    </row>
    <row r="916" spans="1:3" x14ac:dyDescent="0.2">
      <c r="A916" s="241">
        <v>37922</v>
      </c>
      <c r="B916" s="242">
        <v>5.3</v>
      </c>
      <c r="C916" s="238">
        <v>8.5</v>
      </c>
    </row>
    <row r="917" spans="1:3" x14ac:dyDescent="0.2">
      <c r="A917" s="241">
        <v>37923</v>
      </c>
      <c r="B917" s="242">
        <v>6.3</v>
      </c>
      <c r="C917" s="238">
        <v>1.5</v>
      </c>
    </row>
    <row r="918" spans="1:3" x14ac:dyDescent="0.2">
      <c r="A918" s="241">
        <v>37924</v>
      </c>
      <c r="B918" s="242">
        <v>7.8</v>
      </c>
      <c r="C918" s="238">
        <v>2</v>
      </c>
    </row>
    <row r="919" spans="1:3" x14ac:dyDescent="0.2">
      <c r="A919" s="241">
        <v>37925</v>
      </c>
      <c r="B919" s="242">
        <v>8.6999999999999993</v>
      </c>
      <c r="C919" s="238">
        <v>1.1000000000000001</v>
      </c>
    </row>
    <row r="920" spans="1:3" x14ac:dyDescent="0.2">
      <c r="A920" s="241">
        <v>37926</v>
      </c>
      <c r="B920" s="242">
        <v>9.9</v>
      </c>
      <c r="C920" s="238">
        <v>1</v>
      </c>
    </row>
    <row r="921" spans="1:3" x14ac:dyDescent="0.2">
      <c r="A921" s="241">
        <v>37927</v>
      </c>
      <c r="B921" s="242">
        <v>10.1</v>
      </c>
      <c r="C921" s="238">
        <v>0.1</v>
      </c>
    </row>
    <row r="922" spans="1:3" x14ac:dyDescent="0.2">
      <c r="A922" s="241">
        <v>37928</v>
      </c>
      <c r="B922" s="242">
        <v>11.2</v>
      </c>
      <c r="C922" s="238">
        <v>1.7</v>
      </c>
    </row>
    <row r="923" spans="1:3" x14ac:dyDescent="0.2">
      <c r="A923" s="241">
        <v>37929</v>
      </c>
      <c r="B923" s="242">
        <v>10.7</v>
      </c>
      <c r="C923" s="238">
        <v>6.2</v>
      </c>
    </row>
    <row r="924" spans="1:3" x14ac:dyDescent="0.2">
      <c r="A924" s="241">
        <v>37930</v>
      </c>
      <c r="B924" s="242">
        <v>10.199999999999999</v>
      </c>
      <c r="C924" s="238">
        <v>6.3</v>
      </c>
    </row>
    <row r="925" spans="1:3" x14ac:dyDescent="0.2">
      <c r="A925" s="241">
        <v>37931</v>
      </c>
      <c r="B925" s="242">
        <v>8.6</v>
      </c>
      <c r="C925" s="238">
        <v>7.7</v>
      </c>
    </row>
    <row r="926" spans="1:3" x14ac:dyDescent="0.2">
      <c r="A926" s="241">
        <v>37932</v>
      </c>
      <c r="B926" s="242">
        <v>6</v>
      </c>
      <c r="C926" s="238">
        <v>8</v>
      </c>
    </row>
    <row r="927" spans="1:3" x14ac:dyDescent="0.2">
      <c r="A927" s="241">
        <v>37933</v>
      </c>
      <c r="B927" s="242">
        <v>6.4</v>
      </c>
      <c r="C927" s="238">
        <v>6.1</v>
      </c>
    </row>
    <row r="928" spans="1:3" x14ac:dyDescent="0.2">
      <c r="A928" s="241">
        <v>37934</v>
      </c>
      <c r="B928" s="242">
        <v>7.1</v>
      </c>
      <c r="C928" s="238">
        <v>5.7</v>
      </c>
    </row>
    <row r="929" spans="1:3" x14ac:dyDescent="0.2">
      <c r="A929" s="241">
        <v>37935</v>
      </c>
      <c r="B929" s="242">
        <v>8.6</v>
      </c>
      <c r="C929" s="238">
        <v>5.8</v>
      </c>
    </row>
    <row r="930" spans="1:3" x14ac:dyDescent="0.2">
      <c r="A930" s="241">
        <v>37936</v>
      </c>
      <c r="B930" s="242">
        <v>3.3</v>
      </c>
      <c r="C930" s="238">
        <v>0</v>
      </c>
    </row>
    <row r="931" spans="1:3" x14ac:dyDescent="0.2">
      <c r="A931" s="241">
        <v>37937</v>
      </c>
      <c r="B931" s="242">
        <v>5.0999999999999996</v>
      </c>
      <c r="C931" s="238">
        <v>0.6</v>
      </c>
    </row>
    <row r="932" spans="1:3" x14ac:dyDescent="0.2">
      <c r="A932" s="241">
        <v>37938</v>
      </c>
      <c r="B932" s="242">
        <v>10.1</v>
      </c>
      <c r="C932" s="238">
        <v>4</v>
      </c>
    </row>
    <row r="933" spans="1:3" x14ac:dyDescent="0.2">
      <c r="A933" s="241">
        <v>37939</v>
      </c>
      <c r="B933" s="242">
        <v>8.1999999999999993</v>
      </c>
      <c r="C933" s="238">
        <v>0.7</v>
      </c>
    </row>
    <row r="934" spans="1:3" x14ac:dyDescent="0.2">
      <c r="A934" s="241">
        <v>37940</v>
      </c>
      <c r="B934" s="242">
        <v>9.8000000000000007</v>
      </c>
      <c r="C934" s="238">
        <v>2.1</v>
      </c>
    </row>
    <row r="935" spans="1:3" x14ac:dyDescent="0.2">
      <c r="A935" s="241">
        <v>37941</v>
      </c>
      <c r="B935" s="242">
        <v>8.3000000000000007</v>
      </c>
      <c r="C935" s="238">
        <v>0</v>
      </c>
    </row>
    <row r="936" spans="1:3" x14ac:dyDescent="0.2">
      <c r="A936" s="241">
        <v>37942</v>
      </c>
      <c r="B936" s="242">
        <v>9.6999999999999993</v>
      </c>
      <c r="C936" s="238">
        <v>0.2</v>
      </c>
    </row>
    <row r="937" spans="1:3" x14ac:dyDescent="0.2">
      <c r="A937" s="241">
        <v>37943</v>
      </c>
      <c r="B937" s="242">
        <v>11.2</v>
      </c>
      <c r="C937" s="238">
        <v>0</v>
      </c>
    </row>
    <row r="938" spans="1:3" x14ac:dyDescent="0.2">
      <c r="A938" s="241">
        <v>37944</v>
      </c>
      <c r="B938" s="242">
        <v>11.4</v>
      </c>
      <c r="C938" s="238">
        <v>1.7</v>
      </c>
    </row>
    <row r="939" spans="1:3" x14ac:dyDescent="0.2">
      <c r="A939" s="241">
        <v>37945</v>
      </c>
      <c r="B939" s="242">
        <v>9.9</v>
      </c>
      <c r="C939" s="238">
        <v>0</v>
      </c>
    </row>
    <row r="940" spans="1:3" x14ac:dyDescent="0.2">
      <c r="A940" s="241">
        <v>37946</v>
      </c>
      <c r="B940" s="242">
        <v>9.6</v>
      </c>
      <c r="C940" s="238">
        <v>0</v>
      </c>
    </row>
    <row r="941" spans="1:3" x14ac:dyDescent="0.2">
      <c r="A941" s="241">
        <v>37947</v>
      </c>
      <c r="B941" s="242">
        <v>12</v>
      </c>
      <c r="C941" s="238">
        <v>0</v>
      </c>
    </row>
    <row r="942" spans="1:3" x14ac:dyDescent="0.2">
      <c r="A942" s="241">
        <v>37948</v>
      </c>
      <c r="B942" s="242">
        <v>9.4</v>
      </c>
      <c r="C942" s="238">
        <v>0</v>
      </c>
    </row>
    <row r="943" spans="1:3" x14ac:dyDescent="0.2">
      <c r="A943" s="241">
        <v>37949</v>
      </c>
      <c r="B943" s="242">
        <v>6.8</v>
      </c>
      <c r="C943" s="238">
        <v>0</v>
      </c>
    </row>
    <row r="944" spans="1:3" x14ac:dyDescent="0.2">
      <c r="A944" s="241">
        <v>37950</v>
      </c>
      <c r="B944" s="242">
        <v>7.3</v>
      </c>
      <c r="C944" s="238">
        <v>3</v>
      </c>
    </row>
    <row r="945" spans="1:5" x14ac:dyDescent="0.2">
      <c r="A945" s="241">
        <v>37951</v>
      </c>
      <c r="B945" s="242">
        <v>8.6999999999999993</v>
      </c>
      <c r="C945" s="238">
        <v>0</v>
      </c>
    </row>
    <row r="946" spans="1:5" x14ac:dyDescent="0.2">
      <c r="A946" s="241">
        <v>37952</v>
      </c>
      <c r="B946" s="242">
        <v>5.9</v>
      </c>
      <c r="C946" s="238">
        <v>4</v>
      </c>
    </row>
    <row r="947" spans="1:5" x14ac:dyDescent="0.2">
      <c r="A947" s="241">
        <v>37953</v>
      </c>
      <c r="B947" s="242">
        <v>7</v>
      </c>
      <c r="C947" s="238">
        <v>6.4</v>
      </c>
    </row>
    <row r="948" spans="1:5" x14ac:dyDescent="0.2">
      <c r="A948" s="241">
        <v>37954</v>
      </c>
      <c r="B948" s="242">
        <v>3.8</v>
      </c>
      <c r="C948" s="238">
        <v>1.2</v>
      </c>
    </row>
    <row r="949" spans="1:5" x14ac:dyDescent="0.2">
      <c r="A949" s="241">
        <v>37955</v>
      </c>
      <c r="B949" s="242">
        <v>6.6</v>
      </c>
      <c r="C949" s="238">
        <v>2</v>
      </c>
      <c r="D949" s="242"/>
      <c r="E949" s="243"/>
    </row>
    <row r="950" spans="1:5" x14ac:dyDescent="0.2">
      <c r="A950" s="241">
        <v>37956</v>
      </c>
      <c r="B950" s="242">
        <v>9.1</v>
      </c>
      <c r="C950" s="238">
        <v>0.7</v>
      </c>
    </row>
    <row r="951" spans="1:5" x14ac:dyDescent="0.2">
      <c r="A951" s="241">
        <v>37957</v>
      </c>
      <c r="B951" s="242">
        <v>6.3</v>
      </c>
      <c r="C951" s="238">
        <v>0.5</v>
      </c>
    </row>
    <row r="952" spans="1:5" x14ac:dyDescent="0.2">
      <c r="A952" s="241">
        <v>37958</v>
      </c>
      <c r="B952" s="242">
        <v>5.6</v>
      </c>
      <c r="C952" s="238">
        <v>0</v>
      </c>
    </row>
    <row r="953" spans="1:5" x14ac:dyDescent="0.2">
      <c r="A953" s="241">
        <v>37959</v>
      </c>
      <c r="B953" s="242">
        <v>6.3</v>
      </c>
      <c r="C953" s="238">
        <v>0</v>
      </c>
    </row>
    <row r="954" spans="1:5" x14ac:dyDescent="0.2">
      <c r="A954" s="241">
        <v>37960</v>
      </c>
      <c r="B954" s="242">
        <v>6.7</v>
      </c>
      <c r="C954" s="238">
        <v>0</v>
      </c>
    </row>
    <row r="955" spans="1:5" x14ac:dyDescent="0.2">
      <c r="A955" s="241">
        <v>37961</v>
      </c>
      <c r="B955" s="242">
        <v>5.3</v>
      </c>
      <c r="C955" s="238">
        <v>2.8</v>
      </c>
    </row>
    <row r="956" spans="1:5" x14ac:dyDescent="0.2">
      <c r="A956" s="241">
        <v>37962</v>
      </c>
      <c r="B956" s="242">
        <v>-1.2</v>
      </c>
      <c r="C956" s="238">
        <v>6.7</v>
      </c>
    </row>
    <row r="957" spans="1:5" x14ac:dyDescent="0.2">
      <c r="A957" s="241">
        <v>37963</v>
      </c>
      <c r="B957" s="242">
        <v>-0.9</v>
      </c>
      <c r="C957" s="238">
        <v>6.4</v>
      </c>
    </row>
    <row r="958" spans="1:5" x14ac:dyDescent="0.2">
      <c r="A958" s="241">
        <v>37964</v>
      </c>
      <c r="B958" s="242">
        <v>0.1</v>
      </c>
      <c r="C958" s="238">
        <v>6.2</v>
      </c>
    </row>
    <row r="959" spans="1:5" x14ac:dyDescent="0.2">
      <c r="A959" s="241">
        <v>37965</v>
      </c>
      <c r="B959" s="242">
        <v>0</v>
      </c>
      <c r="C959" s="238">
        <v>6.7</v>
      </c>
    </row>
    <row r="960" spans="1:5" x14ac:dyDescent="0.2">
      <c r="A960" s="241">
        <v>37966</v>
      </c>
      <c r="B960" s="242">
        <v>4.8</v>
      </c>
      <c r="C960" s="238">
        <v>0</v>
      </c>
    </row>
    <row r="961" spans="1:3" x14ac:dyDescent="0.2">
      <c r="A961" s="241">
        <v>37967</v>
      </c>
      <c r="B961" s="242">
        <v>5.4</v>
      </c>
      <c r="C961" s="238">
        <v>0</v>
      </c>
    </row>
    <row r="962" spans="1:3" x14ac:dyDescent="0.2">
      <c r="A962" s="241">
        <v>37968</v>
      </c>
      <c r="B962" s="242">
        <v>10</v>
      </c>
      <c r="C962" s="238">
        <v>0</v>
      </c>
    </row>
    <row r="963" spans="1:3" x14ac:dyDescent="0.2">
      <c r="A963" s="241">
        <v>37969</v>
      </c>
      <c r="B963" s="242">
        <v>7.5</v>
      </c>
      <c r="C963" s="238">
        <v>1.4</v>
      </c>
    </row>
    <row r="964" spans="1:3" x14ac:dyDescent="0.2">
      <c r="A964" s="241">
        <v>37970</v>
      </c>
      <c r="B964" s="242">
        <v>5.6</v>
      </c>
      <c r="C964" s="238">
        <v>3.3</v>
      </c>
    </row>
    <row r="965" spans="1:3" x14ac:dyDescent="0.2">
      <c r="A965" s="241">
        <v>37971</v>
      </c>
      <c r="B965" s="242">
        <v>6.9</v>
      </c>
      <c r="C965" s="238">
        <v>0</v>
      </c>
    </row>
    <row r="966" spans="1:3" x14ac:dyDescent="0.2">
      <c r="A966" s="241">
        <v>37972</v>
      </c>
      <c r="B966" s="242">
        <v>6</v>
      </c>
      <c r="C966" s="238">
        <v>3.4</v>
      </c>
    </row>
    <row r="967" spans="1:3" x14ac:dyDescent="0.2">
      <c r="A967" s="241">
        <v>37973</v>
      </c>
      <c r="B967" s="242">
        <v>4.5999999999999996</v>
      </c>
      <c r="C967" s="238">
        <v>6.2</v>
      </c>
    </row>
    <row r="968" spans="1:3" x14ac:dyDescent="0.2">
      <c r="A968" s="241">
        <v>37974</v>
      </c>
      <c r="B968" s="242">
        <v>6.3</v>
      </c>
      <c r="C968" s="238">
        <v>0</v>
      </c>
    </row>
    <row r="969" spans="1:3" x14ac:dyDescent="0.2">
      <c r="A969" s="241">
        <v>37975</v>
      </c>
      <c r="B969" s="242">
        <v>7.7</v>
      </c>
      <c r="C969" s="238">
        <v>0</v>
      </c>
    </row>
    <row r="970" spans="1:3" x14ac:dyDescent="0.2">
      <c r="A970" s="241">
        <v>37976</v>
      </c>
      <c r="B970" s="242">
        <v>6.4</v>
      </c>
      <c r="C970" s="238">
        <v>0.6</v>
      </c>
    </row>
    <row r="971" spans="1:3" x14ac:dyDescent="0.2">
      <c r="A971" s="241">
        <v>37977</v>
      </c>
      <c r="B971" s="242">
        <v>2.9</v>
      </c>
      <c r="C971" s="238">
        <v>1.7</v>
      </c>
    </row>
    <row r="972" spans="1:3" x14ac:dyDescent="0.2">
      <c r="A972" s="241">
        <v>37978</v>
      </c>
      <c r="B972" s="242">
        <v>4.9000000000000004</v>
      </c>
      <c r="C972" s="238">
        <v>0</v>
      </c>
    </row>
    <row r="973" spans="1:3" x14ac:dyDescent="0.2">
      <c r="A973" s="241">
        <v>37979</v>
      </c>
      <c r="B973" s="242">
        <v>5.8</v>
      </c>
      <c r="C973" s="238">
        <v>0</v>
      </c>
    </row>
    <row r="974" spans="1:3" x14ac:dyDescent="0.2">
      <c r="A974" s="241">
        <v>37980</v>
      </c>
      <c r="B974" s="242">
        <v>8.1</v>
      </c>
      <c r="C974" s="238">
        <v>0</v>
      </c>
    </row>
    <row r="975" spans="1:3" x14ac:dyDescent="0.2">
      <c r="A975" s="241">
        <v>37981</v>
      </c>
      <c r="B975" s="242">
        <v>7.6</v>
      </c>
      <c r="C975" s="238">
        <v>0</v>
      </c>
    </row>
    <row r="976" spans="1:3" x14ac:dyDescent="0.2">
      <c r="A976" s="241">
        <v>37982</v>
      </c>
      <c r="B976" s="242">
        <v>7.3</v>
      </c>
      <c r="C976" s="238">
        <v>5</v>
      </c>
    </row>
    <row r="977" spans="1:5" x14ac:dyDescent="0.2">
      <c r="A977" s="241">
        <v>37983</v>
      </c>
      <c r="B977" s="242">
        <v>5.0999999999999996</v>
      </c>
      <c r="C977" s="238">
        <v>0.7</v>
      </c>
    </row>
    <row r="978" spans="1:5" x14ac:dyDescent="0.2">
      <c r="A978" s="241">
        <v>37984</v>
      </c>
      <c r="B978" s="242">
        <v>5.0999999999999996</v>
      </c>
      <c r="C978" s="238">
        <v>0.9</v>
      </c>
    </row>
    <row r="979" spans="1:5" x14ac:dyDescent="0.2">
      <c r="A979" s="241">
        <v>37985</v>
      </c>
      <c r="B979" s="242">
        <v>3.2</v>
      </c>
      <c r="C979" s="238">
        <v>0</v>
      </c>
      <c r="D979" s="238" t="s">
        <v>15</v>
      </c>
      <c r="E979" s="238" t="s">
        <v>16</v>
      </c>
    </row>
    <row r="980" spans="1:5" x14ac:dyDescent="0.2">
      <c r="A980" s="241">
        <v>37986</v>
      </c>
      <c r="B980" s="242">
        <v>-0.2</v>
      </c>
      <c r="C980" s="238">
        <v>2.2999999999999998</v>
      </c>
      <c r="D980" s="242">
        <f>AVERAGE(B616:B980)</f>
        <v>10.468219178082199</v>
      </c>
      <c r="E980" s="243">
        <f>SUM(C616:C980)</f>
        <v>2132.2999999999993</v>
      </c>
    </row>
    <row r="981" spans="1:5" x14ac:dyDescent="0.2">
      <c r="A981" s="241">
        <v>37987</v>
      </c>
      <c r="B981" s="242">
        <v>0</v>
      </c>
      <c r="C981" s="238">
        <v>0</v>
      </c>
    </row>
    <row r="982" spans="1:5" x14ac:dyDescent="0.2">
      <c r="A982" s="241">
        <v>37988</v>
      </c>
      <c r="B982" s="242">
        <v>-2.5</v>
      </c>
      <c r="C982" s="238">
        <v>3.5</v>
      </c>
    </row>
    <row r="983" spans="1:5" x14ac:dyDescent="0.2">
      <c r="A983" s="241">
        <v>37989</v>
      </c>
      <c r="B983" s="242">
        <v>-3.3</v>
      </c>
      <c r="C983" s="238">
        <v>1.3</v>
      </c>
    </row>
    <row r="984" spans="1:5" x14ac:dyDescent="0.2">
      <c r="A984" s="241">
        <v>37990</v>
      </c>
      <c r="B984" s="242">
        <v>5.4</v>
      </c>
      <c r="C984" s="238">
        <v>0.9</v>
      </c>
    </row>
    <row r="985" spans="1:5" x14ac:dyDescent="0.2">
      <c r="A985" s="241">
        <v>37991</v>
      </c>
      <c r="B985" s="242">
        <v>5.9</v>
      </c>
      <c r="C985" s="238">
        <v>0</v>
      </c>
    </row>
    <row r="986" spans="1:5" x14ac:dyDescent="0.2">
      <c r="A986" s="241">
        <v>37992</v>
      </c>
      <c r="B986" s="242">
        <v>7.3</v>
      </c>
      <c r="C986" s="238">
        <v>0</v>
      </c>
    </row>
    <row r="987" spans="1:5" x14ac:dyDescent="0.2">
      <c r="A987" s="241">
        <v>37993</v>
      </c>
      <c r="B987" s="242">
        <v>7.1</v>
      </c>
      <c r="C987" s="238">
        <v>0</v>
      </c>
    </row>
    <row r="988" spans="1:5" x14ac:dyDescent="0.2">
      <c r="A988" s="241">
        <v>37994</v>
      </c>
      <c r="B988" s="242">
        <v>6.1</v>
      </c>
      <c r="C988" s="238">
        <v>0</v>
      </c>
    </row>
    <row r="989" spans="1:5" x14ac:dyDescent="0.2">
      <c r="A989" s="241">
        <v>37995</v>
      </c>
      <c r="B989" s="242">
        <v>6.6</v>
      </c>
      <c r="C989" s="238">
        <v>0.5</v>
      </c>
    </row>
    <row r="990" spans="1:5" x14ac:dyDescent="0.2">
      <c r="A990" s="241">
        <v>37996</v>
      </c>
      <c r="B990" s="242">
        <v>7.2</v>
      </c>
      <c r="C990" s="238">
        <v>2.6</v>
      </c>
    </row>
    <row r="991" spans="1:5" x14ac:dyDescent="0.2">
      <c r="A991" s="241">
        <v>37997</v>
      </c>
      <c r="B991" s="242">
        <v>8.9</v>
      </c>
      <c r="C991" s="238">
        <v>1.2</v>
      </c>
    </row>
    <row r="992" spans="1:5" x14ac:dyDescent="0.2">
      <c r="A992" s="241">
        <v>37998</v>
      </c>
      <c r="B992" s="242">
        <v>6.2</v>
      </c>
      <c r="C992" s="238">
        <v>0</v>
      </c>
    </row>
    <row r="993" spans="1:3" x14ac:dyDescent="0.2">
      <c r="A993" s="241">
        <v>37999</v>
      </c>
      <c r="B993" s="242">
        <v>7.5</v>
      </c>
      <c r="C993" s="238">
        <v>0.4</v>
      </c>
    </row>
    <row r="994" spans="1:3" x14ac:dyDescent="0.2">
      <c r="A994" s="241">
        <v>38000</v>
      </c>
      <c r="B994" s="242">
        <v>5.0999999999999996</v>
      </c>
      <c r="C994" s="238">
        <v>0</v>
      </c>
    </row>
    <row r="995" spans="1:3" x14ac:dyDescent="0.2">
      <c r="A995" s="241">
        <v>38001</v>
      </c>
      <c r="B995" s="242">
        <v>5.9</v>
      </c>
      <c r="C995" s="238">
        <v>2.9</v>
      </c>
    </row>
    <row r="996" spans="1:3" x14ac:dyDescent="0.2">
      <c r="A996" s="241">
        <v>38002</v>
      </c>
      <c r="B996" s="242">
        <v>6.3</v>
      </c>
      <c r="C996" s="238">
        <v>0.3</v>
      </c>
    </row>
    <row r="997" spans="1:3" x14ac:dyDescent="0.2">
      <c r="A997" s="241">
        <v>38003</v>
      </c>
      <c r="B997" s="242">
        <v>5</v>
      </c>
      <c r="C997" s="238">
        <v>0.2</v>
      </c>
    </row>
    <row r="998" spans="1:3" x14ac:dyDescent="0.2">
      <c r="A998" s="241">
        <v>38004</v>
      </c>
      <c r="B998" s="242">
        <v>3.5</v>
      </c>
      <c r="C998" s="238">
        <v>7</v>
      </c>
    </row>
    <row r="999" spans="1:3" x14ac:dyDescent="0.2">
      <c r="A999" s="241">
        <v>38005</v>
      </c>
      <c r="B999" s="242">
        <v>6.9</v>
      </c>
      <c r="C999" s="238">
        <v>0</v>
      </c>
    </row>
    <row r="1000" spans="1:3" x14ac:dyDescent="0.2">
      <c r="A1000" s="241">
        <v>38006</v>
      </c>
      <c r="B1000" s="242">
        <v>3.5</v>
      </c>
      <c r="C1000" s="238">
        <v>1.8</v>
      </c>
    </row>
    <row r="1001" spans="1:3" x14ac:dyDescent="0.2">
      <c r="A1001" s="241">
        <v>38007</v>
      </c>
      <c r="B1001" s="242">
        <v>2.6</v>
      </c>
      <c r="C1001" s="238">
        <v>5.2</v>
      </c>
    </row>
    <row r="1002" spans="1:3" x14ac:dyDescent="0.2">
      <c r="A1002" s="241">
        <v>38008</v>
      </c>
      <c r="B1002" s="242">
        <v>3.1</v>
      </c>
      <c r="C1002" s="238">
        <v>0</v>
      </c>
    </row>
    <row r="1003" spans="1:3" x14ac:dyDescent="0.2">
      <c r="A1003" s="241">
        <v>38009</v>
      </c>
      <c r="B1003" s="242">
        <v>3</v>
      </c>
      <c r="C1003" s="238">
        <v>1.1000000000000001</v>
      </c>
    </row>
    <row r="1004" spans="1:3" x14ac:dyDescent="0.2">
      <c r="A1004" s="241">
        <v>38010</v>
      </c>
      <c r="B1004" s="242">
        <v>4.9000000000000004</v>
      </c>
      <c r="C1004" s="238">
        <v>1.7</v>
      </c>
    </row>
    <row r="1005" spans="1:3" x14ac:dyDescent="0.2">
      <c r="A1005" s="241">
        <v>38011</v>
      </c>
      <c r="B1005" s="242">
        <v>4.7</v>
      </c>
      <c r="C1005" s="238">
        <v>3.1</v>
      </c>
    </row>
    <row r="1006" spans="1:3" x14ac:dyDescent="0.2">
      <c r="A1006" s="241">
        <v>38012</v>
      </c>
      <c r="B1006" s="242">
        <v>0.3</v>
      </c>
      <c r="C1006" s="238">
        <v>0.1</v>
      </c>
    </row>
    <row r="1007" spans="1:3" x14ac:dyDescent="0.2">
      <c r="A1007" s="241">
        <v>38013</v>
      </c>
      <c r="B1007" s="242">
        <v>1.3</v>
      </c>
      <c r="C1007" s="238">
        <v>1.9</v>
      </c>
    </row>
    <row r="1008" spans="1:3" x14ac:dyDescent="0.2">
      <c r="A1008" s="241">
        <v>38014</v>
      </c>
      <c r="B1008" s="242">
        <v>2.2999999999999998</v>
      </c>
      <c r="C1008" s="238">
        <v>3.9</v>
      </c>
    </row>
    <row r="1009" spans="1:3" x14ac:dyDescent="0.2">
      <c r="A1009" s="241">
        <v>38015</v>
      </c>
      <c r="B1009" s="242">
        <v>3.4</v>
      </c>
      <c r="C1009" s="238">
        <v>2.7</v>
      </c>
    </row>
    <row r="1010" spans="1:3" x14ac:dyDescent="0.2">
      <c r="A1010" s="241">
        <v>38016</v>
      </c>
      <c r="B1010" s="242">
        <v>4.0999999999999996</v>
      </c>
      <c r="C1010" s="238">
        <v>1</v>
      </c>
    </row>
    <row r="1011" spans="1:3" x14ac:dyDescent="0.2">
      <c r="A1011" s="241">
        <v>38017</v>
      </c>
      <c r="B1011" s="242">
        <v>6.9</v>
      </c>
      <c r="C1011" s="238">
        <v>0</v>
      </c>
    </row>
    <row r="1012" spans="1:3" x14ac:dyDescent="0.2">
      <c r="A1012" s="241">
        <v>38018</v>
      </c>
      <c r="B1012" s="242">
        <v>8.3000000000000007</v>
      </c>
      <c r="C1012" s="238">
        <v>5.0999999999999996</v>
      </c>
    </row>
    <row r="1013" spans="1:3" x14ac:dyDescent="0.2">
      <c r="A1013" s="241">
        <v>38019</v>
      </c>
      <c r="B1013" s="242">
        <v>8.4</v>
      </c>
      <c r="C1013" s="238">
        <v>0</v>
      </c>
    </row>
    <row r="1014" spans="1:3" x14ac:dyDescent="0.2">
      <c r="A1014" s="241">
        <v>38020</v>
      </c>
      <c r="B1014" s="242">
        <v>11.7</v>
      </c>
      <c r="C1014" s="238">
        <v>0.2</v>
      </c>
    </row>
    <row r="1015" spans="1:3" x14ac:dyDescent="0.2">
      <c r="A1015" s="241">
        <v>38021</v>
      </c>
      <c r="B1015" s="242">
        <v>10.199999999999999</v>
      </c>
      <c r="C1015" s="238">
        <v>0</v>
      </c>
    </row>
    <row r="1016" spans="1:3" x14ac:dyDescent="0.2">
      <c r="A1016" s="241">
        <v>38022</v>
      </c>
      <c r="B1016" s="242">
        <v>8.1999999999999993</v>
      </c>
      <c r="C1016" s="238">
        <v>0</v>
      </c>
    </row>
    <row r="1017" spans="1:3" x14ac:dyDescent="0.2">
      <c r="A1017" s="241">
        <v>38023</v>
      </c>
      <c r="B1017" s="242">
        <v>8.3000000000000007</v>
      </c>
      <c r="C1017" s="238">
        <v>0</v>
      </c>
    </row>
    <row r="1018" spans="1:3" x14ac:dyDescent="0.2">
      <c r="A1018" s="241">
        <v>38024</v>
      </c>
      <c r="B1018" s="242">
        <v>6.8</v>
      </c>
      <c r="C1018" s="238">
        <v>3.9</v>
      </c>
    </row>
    <row r="1019" spans="1:3" x14ac:dyDescent="0.2">
      <c r="A1019" s="241">
        <v>38025</v>
      </c>
      <c r="B1019" s="242">
        <v>4.7</v>
      </c>
      <c r="C1019" s="238">
        <v>4</v>
      </c>
    </row>
    <row r="1020" spans="1:3" x14ac:dyDescent="0.2">
      <c r="A1020" s="241">
        <v>38026</v>
      </c>
      <c r="B1020" s="242">
        <v>4.5</v>
      </c>
      <c r="C1020" s="238">
        <v>3.3</v>
      </c>
    </row>
    <row r="1021" spans="1:3" x14ac:dyDescent="0.2">
      <c r="A1021" s="241">
        <v>38027</v>
      </c>
      <c r="B1021" s="242">
        <v>5.7</v>
      </c>
      <c r="C1021" s="238">
        <v>0</v>
      </c>
    </row>
    <row r="1022" spans="1:3" x14ac:dyDescent="0.2">
      <c r="A1022" s="241">
        <v>38028</v>
      </c>
      <c r="B1022" s="242">
        <v>5.5</v>
      </c>
      <c r="C1022" s="238">
        <v>0</v>
      </c>
    </row>
    <row r="1023" spans="1:3" x14ac:dyDescent="0.2">
      <c r="A1023" s="241">
        <v>38029</v>
      </c>
      <c r="B1023" s="242">
        <v>5.5</v>
      </c>
      <c r="C1023" s="238">
        <v>0.5</v>
      </c>
    </row>
    <row r="1024" spans="1:3" x14ac:dyDescent="0.2">
      <c r="A1024" s="241">
        <v>38030</v>
      </c>
      <c r="B1024" s="242">
        <v>6.9</v>
      </c>
      <c r="C1024" s="238">
        <v>0</v>
      </c>
    </row>
    <row r="1025" spans="1:3" x14ac:dyDescent="0.2">
      <c r="A1025" s="241">
        <v>38031</v>
      </c>
      <c r="B1025" s="242">
        <v>6.3</v>
      </c>
      <c r="C1025" s="238">
        <v>0</v>
      </c>
    </row>
    <row r="1026" spans="1:3" x14ac:dyDescent="0.2">
      <c r="A1026" s="241">
        <v>38032</v>
      </c>
      <c r="B1026" s="242">
        <v>5.3</v>
      </c>
      <c r="C1026" s="238">
        <v>0</v>
      </c>
    </row>
    <row r="1027" spans="1:3" x14ac:dyDescent="0.2">
      <c r="A1027" s="241">
        <v>38033</v>
      </c>
      <c r="B1027" s="242">
        <v>2.6</v>
      </c>
      <c r="C1027" s="238">
        <v>1.9</v>
      </c>
    </row>
    <row r="1028" spans="1:3" x14ac:dyDescent="0.2">
      <c r="A1028" s="241">
        <v>38034</v>
      </c>
      <c r="B1028" s="242">
        <v>5.3</v>
      </c>
      <c r="C1028" s="238">
        <v>0.4</v>
      </c>
    </row>
    <row r="1029" spans="1:3" x14ac:dyDescent="0.2">
      <c r="A1029" s="241">
        <v>38035</v>
      </c>
      <c r="B1029" s="242">
        <v>5.7</v>
      </c>
      <c r="C1029" s="238">
        <v>1.2</v>
      </c>
    </row>
    <row r="1030" spans="1:3" x14ac:dyDescent="0.2">
      <c r="A1030" s="241">
        <v>38036</v>
      </c>
      <c r="B1030" s="242">
        <v>1.7</v>
      </c>
      <c r="C1030" s="238">
        <v>8</v>
      </c>
    </row>
    <row r="1031" spans="1:3" x14ac:dyDescent="0.2">
      <c r="A1031" s="241">
        <v>38037</v>
      </c>
      <c r="B1031" s="242">
        <v>0.3</v>
      </c>
      <c r="C1031" s="238">
        <v>9</v>
      </c>
    </row>
    <row r="1032" spans="1:3" x14ac:dyDescent="0.2">
      <c r="A1032" s="241">
        <v>38038</v>
      </c>
      <c r="B1032" s="242">
        <v>0.2</v>
      </c>
      <c r="C1032" s="238">
        <v>2.6</v>
      </c>
    </row>
    <row r="1033" spans="1:3" x14ac:dyDescent="0.2">
      <c r="A1033" s="241">
        <v>38039</v>
      </c>
      <c r="B1033" s="242">
        <v>3.5</v>
      </c>
      <c r="C1033" s="238">
        <v>4.4000000000000004</v>
      </c>
    </row>
    <row r="1034" spans="1:3" x14ac:dyDescent="0.2">
      <c r="A1034" s="241">
        <v>38040</v>
      </c>
      <c r="B1034" s="242">
        <v>2.7</v>
      </c>
      <c r="C1034" s="238">
        <v>8.1999999999999993</v>
      </c>
    </row>
    <row r="1035" spans="1:3" x14ac:dyDescent="0.2">
      <c r="A1035" s="241">
        <v>38041</v>
      </c>
      <c r="B1035" s="242">
        <v>3.6</v>
      </c>
      <c r="C1035" s="238">
        <v>2</v>
      </c>
    </row>
    <row r="1036" spans="1:3" x14ac:dyDescent="0.2">
      <c r="A1036" s="241">
        <v>38042</v>
      </c>
      <c r="B1036" s="242">
        <v>1.8</v>
      </c>
      <c r="C1036" s="238">
        <v>4.5</v>
      </c>
    </row>
    <row r="1037" spans="1:3" x14ac:dyDescent="0.2">
      <c r="A1037" s="241">
        <v>38043</v>
      </c>
      <c r="B1037" s="242">
        <v>2.5</v>
      </c>
      <c r="C1037" s="238">
        <v>7.4</v>
      </c>
    </row>
    <row r="1038" spans="1:3" x14ac:dyDescent="0.2">
      <c r="A1038" s="241">
        <v>38044</v>
      </c>
      <c r="B1038" s="242">
        <v>-1.2</v>
      </c>
      <c r="C1038" s="238">
        <v>1.4</v>
      </c>
    </row>
    <row r="1039" spans="1:3" x14ac:dyDescent="0.2">
      <c r="A1039" s="241">
        <v>38045</v>
      </c>
      <c r="B1039" s="242">
        <v>-1.9</v>
      </c>
      <c r="C1039" s="238">
        <v>6.5</v>
      </c>
    </row>
    <row r="1040" spans="1:3" x14ac:dyDescent="0.2">
      <c r="A1040" s="241">
        <v>38046</v>
      </c>
      <c r="B1040" s="242">
        <v>0</v>
      </c>
      <c r="C1040" s="238">
        <v>9.3000000000000007</v>
      </c>
    </row>
    <row r="1041" spans="1:3" x14ac:dyDescent="0.2">
      <c r="A1041" s="241">
        <v>38047</v>
      </c>
      <c r="B1041" s="242">
        <v>1.5</v>
      </c>
      <c r="C1041" s="238">
        <v>6.3</v>
      </c>
    </row>
    <row r="1042" spans="1:3" x14ac:dyDescent="0.2">
      <c r="A1042" s="241">
        <v>38048</v>
      </c>
      <c r="B1042" s="242">
        <v>4.8</v>
      </c>
      <c r="C1042" s="238">
        <v>4.9000000000000004</v>
      </c>
    </row>
    <row r="1043" spans="1:3" x14ac:dyDescent="0.2">
      <c r="A1043" s="241">
        <v>38049</v>
      </c>
      <c r="B1043" s="242">
        <v>4.8</v>
      </c>
      <c r="C1043" s="238">
        <v>9.3000000000000007</v>
      </c>
    </row>
    <row r="1044" spans="1:3" x14ac:dyDescent="0.2">
      <c r="A1044" s="241">
        <v>38050</v>
      </c>
      <c r="B1044" s="242">
        <v>6</v>
      </c>
      <c r="C1044" s="238">
        <v>2.5</v>
      </c>
    </row>
    <row r="1045" spans="1:3" x14ac:dyDescent="0.2">
      <c r="A1045" s="241">
        <v>38051</v>
      </c>
      <c r="B1045" s="242">
        <v>3.7</v>
      </c>
      <c r="C1045" s="238">
        <v>0.2</v>
      </c>
    </row>
    <row r="1046" spans="1:3" x14ac:dyDescent="0.2">
      <c r="A1046" s="241">
        <v>38052</v>
      </c>
      <c r="B1046" s="242">
        <v>2.9</v>
      </c>
      <c r="C1046" s="238">
        <v>1.3</v>
      </c>
    </row>
    <row r="1047" spans="1:3" x14ac:dyDescent="0.2">
      <c r="A1047" s="241">
        <v>38053</v>
      </c>
      <c r="B1047" s="242">
        <v>4.2</v>
      </c>
      <c r="C1047" s="238">
        <v>8</v>
      </c>
    </row>
    <row r="1048" spans="1:3" x14ac:dyDescent="0.2">
      <c r="A1048" s="241">
        <v>38054</v>
      </c>
      <c r="B1048" s="242">
        <v>2.2999999999999998</v>
      </c>
      <c r="C1048" s="238">
        <v>3.2</v>
      </c>
    </row>
    <row r="1049" spans="1:3" x14ac:dyDescent="0.2">
      <c r="A1049" s="241">
        <v>38055</v>
      </c>
      <c r="B1049" s="242">
        <v>2.2000000000000002</v>
      </c>
      <c r="C1049" s="238">
        <v>6.3</v>
      </c>
    </row>
    <row r="1050" spans="1:3" x14ac:dyDescent="0.2">
      <c r="A1050" s="241">
        <v>38056</v>
      </c>
      <c r="B1050" s="242">
        <v>1.3</v>
      </c>
      <c r="C1050" s="238">
        <v>0.3</v>
      </c>
    </row>
    <row r="1051" spans="1:3" x14ac:dyDescent="0.2">
      <c r="A1051" s="241">
        <v>38057</v>
      </c>
      <c r="B1051" s="242">
        <v>2.5</v>
      </c>
      <c r="C1051" s="238">
        <v>2.8</v>
      </c>
    </row>
    <row r="1052" spans="1:3" x14ac:dyDescent="0.2">
      <c r="A1052" s="241">
        <v>38058</v>
      </c>
      <c r="B1052" s="242">
        <v>4</v>
      </c>
      <c r="C1052" s="238">
        <v>3</v>
      </c>
    </row>
    <row r="1053" spans="1:3" x14ac:dyDescent="0.2">
      <c r="A1053" s="241">
        <v>38059</v>
      </c>
      <c r="B1053" s="242">
        <v>7</v>
      </c>
      <c r="C1053" s="238">
        <v>2</v>
      </c>
    </row>
    <row r="1054" spans="1:3" x14ac:dyDescent="0.2">
      <c r="A1054" s="241">
        <v>38060</v>
      </c>
      <c r="B1054" s="242">
        <v>8.9</v>
      </c>
      <c r="C1054" s="238">
        <v>1.4</v>
      </c>
    </row>
    <row r="1055" spans="1:3" x14ac:dyDescent="0.2">
      <c r="A1055" s="241">
        <v>38061</v>
      </c>
      <c r="B1055" s="242">
        <v>8.6999999999999993</v>
      </c>
      <c r="C1055" s="238">
        <v>3.9</v>
      </c>
    </row>
    <row r="1056" spans="1:3" x14ac:dyDescent="0.2">
      <c r="A1056" s="241">
        <v>38062</v>
      </c>
      <c r="B1056" s="242">
        <v>9.9</v>
      </c>
      <c r="C1056" s="238">
        <v>2.5</v>
      </c>
    </row>
    <row r="1057" spans="1:3" x14ac:dyDescent="0.2">
      <c r="A1057" s="241">
        <v>38063</v>
      </c>
      <c r="B1057" s="242">
        <v>9.6</v>
      </c>
      <c r="C1057" s="238">
        <v>9.1</v>
      </c>
    </row>
    <row r="1058" spans="1:3" x14ac:dyDescent="0.2">
      <c r="A1058" s="241">
        <v>38064</v>
      </c>
      <c r="B1058" s="242">
        <v>9.1999999999999993</v>
      </c>
      <c r="C1058" s="238">
        <v>0.9</v>
      </c>
    </row>
    <row r="1059" spans="1:3" x14ac:dyDescent="0.2">
      <c r="A1059" s="241">
        <v>38065</v>
      </c>
      <c r="B1059" s="242">
        <v>7.9</v>
      </c>
      <c r="C1059" s="238">
        <v>0.7</v>
      </c>
    </row>
    <row r="1060" spans="1:3" x14ac:dyDescent="0.2">
      <c r="A1060" s="241">
        <v>38066</v>
      </c>
      <c r="B1060" s="242">
        <v>8.3000000000000007</v>
      </c>
      <c r="C1060" s="238">
        <v>0</v>
      </c>
    </row>
    <row r="1061" spans="1:3" x14ac:dyDescent="0.2">
      <c r="A1061" s="241">
        <v>38067</v>
      </c>
      <c r="B1061" s="242">
        <v>7.5</v>
      </c>
      <c r="C1061" s="238">
        <v>7.8</v>
      </c>
    </row>
    <row r="1062" spans="1:3" x14ac:dyDescent="0.2">
      <c r="A1062" s="241">
        <v>38068</v>
      </c>
      <c r="B1062" s="242">
        <v>6.6</v>
      </c>
      <c r="C1062" s="238">
        <v>6.2</v>
      </c>
    </row>
    <row r="1063" spans="1:3" x14ac:dyDescent="0.2">
      <c r="A1063" s="241">
        <v>38069</v>
      </c>
      <c r="B1063" s="242">
        <v>4.5999999999999996</v>
      </c>
      <c r="C1063" s="238">
        <v>10.199999999999999</v>
      </c>
    </row>
    <row r="1064" spans="1:3" x14ac:dyDescent="0.2">
      <c r="A1064" s="241">
        <v>38070</v>
      </c>
      <c r="B1064" s="242">
        <v>3.7</v>
      </c>
      <c r="C1064" s="238">
        <v>4.5999999999999996</v>
      </c>
    </row>
    <row r="1065" spans="1:3" x14ac:dyDescent="0.2">
      <c r="A1065" s="241">
        <v>38071</v>
      </c>
      <c r="B1065" s="242">
        <v>3</v>
      </c>
      <c r="C1065" s="238">
        <v>6.9</v>
      </c>
    </row>
    <row r="1066" spans="1:3" x14ac:dyDescent="0.2">
      <c r="A1066" s="241">
        <v>38072</v>
      </c>
      <c r="B1066" s="242">
        <v>2.4</v>
      </c>
      <c r="C1066" s="238">
        <v>9.9</v>
      </c>
    </row>
    <row r="1067" spans="1:3" x14ac:dyDescent="0.2">
      <c r="A1067" s="241">
        <v>38073</v>
      </c>
      <c r="B1067" s="242">
        <v>4.0999999999999996</v>
      </c>
      <c r="C1067" s="238">
        <v>9.5</v>
      </c>
    </row>
    <row r="1068" spans="1:3" x14ac:dyDescent="0.2">
      <c r="A1068" s="241">
        <v>38074</v>
      </c>
      <c r="B1068" s="242">
        <v>7</v>
      </c>
      <c r="C1068" s="238">
        <v>2.9</v>
      </c>
    </row>
    <row r="1069" spans="1:3" x14ac:dyDescent="0.2">
      <c r="A1069" s="241">
        <v>38075</v>
      </c>
      <c r="B1069" s="242">
        <v>7.9</v>
      </c>
      <c r="C1069" s="238">
        <v>6.5</v>
      </c>
    </row>
    <row r="1070" spans="1:3" x14ac:dyDescent="0.2">
      <c r="A1070" s="241">
        <v>38076</v>
      </c>
      <c r="B1070" s="242">
        <v>9.5</v>
      </c>
      <c r="C1070" s="238">
        <v>11.5</v>
      </c>
    </row>
    <row r="1071" spans="1:3" x14ac:dyDescent="0.2">
      <c r="A1071" s="241">
        <v>38077</v>
      </c>
      <c r="B1071" s="242">
        <v>10.7</v>
      </c>
      <c r="C1071" s="238">
        <v>10.6</v>
      </c>
    </row>
    <row r="1072" spans="1:3" x14ac:dyDescent="0.2">
      <c r="A1072" s="241">
        <v>38078</v>
      </c>
      <c r="B1072" s="242">
        <v>13.7</v>
      </c>
      <c r="C1072" s="238">
        <v>8.1</v>
      </c>
    </row>
    <row r="1073" spans="1:3" x14ac:dyDescent="0.2">
      <c r="A1073" s="241">
        <v>38079</v>
      </c>
      <c r="B1073" s="242">
        <v>11</v>
      </c>
      <c r="C1073" s="238">
        <v>1.9</v>
      </c>
    </row>
    <row r="1074" spans="1:3" x14ac:dyDescent="0.2">
      <c r="A1074" s="241">
        <v>38080</v>
      </c>
      <c r="B1074" s="242">
        <v>11.2</v>
      </c>
      <c r="C1074" s="238">
        <v>3</v>
      </c>
    </row>
    <row r="1075" spans="1:3" x14ac:dyDescent="0.2">
      <c r="A1075" s="241">
        <v>38081</v>
      </c>
      <c r="B1075" s="242">
        <v>9.3000000000000007</v>
      </c>
      <c r="C1075" s="238">
        <v>8.3000000000000007</v>
      </c>
    </row>
    <row r="1076" spans="1:3" x14ac:dyDescent="0.2">
      <c r="A1076" s="241">
        <v>38082</v>
      </c>
      <c r="B1076" s="242">
        <v>7.5</v>
      </c>
      <c r="C1076" s="238">
        <v>3.8</v>
      </c>
    </row>
    <row r="1077" spans="1:3" x14ac:dyDescent="0.2">
      <c r="A1077" s="241">
        <v>38083</v>
      </c>
      <c r="B1077" s="242">
        <v>6.6</v>
      </c>
      <c r="C1077" s="238">
        <v>6.2</v>
      </c>
    </row>
    <row r="1078" spans="1:3" x14ac:dyDescent="0.2">
      <c r="A1078" s="241">
        <v>38084</v>
      </c>
      <c r="B1078" s="242">
        <v>6.8</v>
      </c>
      <c r="C1078" s="238">
        <v>6</v>
      </c>
    </row>
    <row r="1079" spans="1:3" x14ac:dyDescent="0.2">
      <c r="A1079" s="241">
        <v>38085</v>
      </c>
      <c r="B1079" s="242">
        <v>6.2</v>
      </c>
      <c r="C1079" s="238">
        <v>6.6</v>
      </c>
    </row>
    <row r="1080" spans="1:3" x14ac:dyDescent="0.2">
      <c r="A1080" s="241">
        <v>38086</v>
      </c>
      <c r="B1080" s="242">
        <v>6</v>
      </c>
      <c r="C1080" s="238">
        <v>1.2</v>
      </c>
    </row>
    <row r="1081" spans="1:3" x14ac:dyDescent="0.2">
      <c r="A1081" s="241">
        <v>38087</v>
      </c>
      <c r="B1081" s="242">
        <v>6.4</v>
      </c>
      <c r="C1081" s="238">
        <v>1</v>
      </c>
    </row>
    <row r="1082" spans="1:3" x14ac:dyDescent="0.2">
      <c r="A1082" s="241">
        <v>38088</v>
      </c>
      <c r="B1082" s="242">
        <v>5.5</v>
      </c>
      <c r="C1082" s="238">
        <v>5.0999999999999996</v>
      </c>
    </row>
    <row r="1083" spans="1:3" x14ac:dyDescent="0.2">
      <c r="A1083" s="241">
        <v>38089</v>
      </c>
      <c r="B1083" s="242">
        <v>6.4</v>
      </c>
      <c r="C1083" s="238">
        <v>8.8000000000000007</v>
      </c>
    </row>
    <row r="1084" spans="1:3" x14ac:dyDescent="0.2">
      <c r="A1084" s="241">
        <v>38090</v>
      </c>
      <c r="B1084" s="242">
        <v>7.7</v>
      </c>
      <c r="C1084" s="238">
        <v>4.2</v>
      </c>
    </row>
    <row r="1085" spans="1:3" x14ac:dyDescent="0.2">
      <c r="A1085" s="241">
        <v>38091</v>
      </c>
      <c r="B1085" s="242">
        <v>7.8</v>
      </c>
      <c r="C1085" s="238">
        <v>10.5</v>
      </c>
    </row>
    <row r="1086" spans="1:3" x14ac:dyDescent="0.2">
      <c r="A1086" s="241">
        <v>38092</v>
      </c>
      <c r="B1086" s="242">
        <v>10.7</v>
      </c>
      <c r="C1086" s="238">
        <v>8.1</v>
      </c>
    </row>
    <row r="1087" spans="1:3" x14ac:dyDescent="0.2">
      <c r="A1087" s="241">
        <v>38093</v>
      </c>
      <c r="B1087" s="242">
        <v>14.5</v>
      </c>
      <c r="C1087" s="238">
        <v>8.4</v>
      </c>
    </row>
    <row r="1088" spans="1:3" x14ac:dyDescent="0.2">
      <c r="A1088" s="241">
        <v>38094</v>
      </c>
      <c r="B1088" s="242">
        <v>12.2</v>
      </c>
      <c r="C1088" s="238">
        <v>6.7</v>
      </c>
    </row>
    <row r="1089" spans="1:3" x14ac:dyDescent="0.2">
      <c r="A1089" s="241">
        <v>38095</v>
      </c>
      <c r="B1089" s="242">
        <v>9.1999999999999993</v>
      </c>
      <c r="C1089" s="238">
        <v>1.8</v>
      </c>
    </row>
    <row r="1090" spans="1:3" x14ac:dyDescent="0.2">
      <c r="A1090" s="241">
        <v>38096</v>
      </c>
      <c r="B1090" s="242">
        <v>6.7</v>
      </c>
      <c r="C1090" s="238">
        <v>2.2999999999999998</v>
      </c>
    </row>
    <row r="1091" spans="1:3" x14ac:dyDescent="0.2">
      <c r="A1091" s="241">
        <v>38097</v>
      </c>
      <c r="B1091" s="242">
        <v>7.7</v>
      </c>
      <c r="C1091" s="238">
        <v>12</v>
      </c>
    </row>
    <row r="1092" spans="1:3" x14ac:dyDescent="0.2">
      <c r="A1092" s="241">
        <v>38098</v>
      </c>
      <c r="B1092" s="242">
        <v>14.2</v>
      </c>
      <c r="C1092" s="238">
        <v>1.8</v>
      </c>
    </row>
    <row r="1093" spans="1:3" x14ac:dyDescent="0.2">
      <c r="A1093" s="241">
        <v>38099</v>
      </c>
      <c r="B1093" s="242">
        <v>10.1</v>
      </c>
      <c r="C1093" s="238">
        <v>10.1</v>
      </c>
    </row>
    <row r="1094" spans="1:3" x14ac:dyDescent="0.2">
      <c r="A1094" s="241">
        <v>38100</v>
      </c>
      <c r="B1094" s="242">
        <v>7.8</v>
      </c>
      <c r="C1094" s="238">
        <v>12.6</v>
      </c>
    </row>
    <row r="1095" spans="1:3" x14ac:dyDescent="0.2">
      <c r="A1095" s="241">
        <v>38101</v>
      </c>
      <c r="B1095" s="242">
        <v>9.5</v>
      </c>
      <c r="C1095" s="238">
        <v>4.0999999999999996</v>
      </c>
    </row>
    <row r="1096" spans="1:3" x14ac:dyDescent="0.2">
      <c r="A1096" s="241">
        <v>38102</v>
      </c>
      <c r="B1096" s="242">
        <v>11.2</v>
      </c>
      <c r="C1096" s="238">
        <v>9.6999999999999993</v>
      </c>
    </row>
    <row r="1097" spans="1:3" x14ac:dyDescent="0.2">
      <c r="A1097" s="241">
        <v>38103</v>
      </c>
      <c r="B1097" s="242">
        <v>13.2</v>
      </c>
      <c r="C1097" s="238">
        <v>8.3000000000000007</v>
      </c>
    </row>
    <row r="1098" spans="1:3" x14ac:dyDescent="0.2">
      <c r="A1098" s="241">
        <v>38104</v>
      </c>
      <c r="B1098" s="242">
        <v>15.4</v>
      </c>
      <c r="C1098" s="238">
        <v>5.3</v>
      </c>
    </row>
    <row r="1099" spans="1:3" x14ac:dyDescent="0.2">
      <c r="A1099" s="241">
        <v>38105</v>
      </c>
      <c r="B1099" s="242">
        <v>14</v>
      </c>
      <c r="C1099" s="238">
        <v>4.4000000000000004</v>
      </c>
    </row>
    <row r="1100" spans="1:3" x14ac:dyDescent="0.2">
      <c r="A1100" s="241">
        <v>38106</v>
      </c>
      <c r="B1100" s="242">
        <v>13</v>
      </c>
      <c r="C1100" s="238">
        <v>1.1000000000000001</v>
      </c>
    </row>
    <row r="1101" spans="1:3" x14ac:dyDescent="0.2">
      <c r="A1101" s="241">
        <v>38107</v>
      </c>
      <c r="B1101" s="242">
        <v>16.5</v>
      </c>
      <c r="C1101" s="238">
        <v>8.6999999999999993</v>
      </c>
    </row>
    <row r="1102" spans="1:3" x14ac:dyDescent="0.2">
      <c r="A1102" s="241">
        <v>38108</v>
      </c>
      <c r="B1102" s="242">
        <v>12.6</v>
      </c>
      <c r="C1102" s="238">
        <v>4</v>
      </c>
    </row>
    <row r="1103" spans="1:3" x14ac:dyDescent="0.2">
      <c r="A1103" s="241">
        <v>38109</v>
      </c>
      <c r="B1103" s="242">
        <v>10.4</v>
      </c>
      <c r="C1103" s="238">
        <v>2.6</v>
      </c>
    </row>
    <row r="1104" spans="1:3" x14ac:dyDescent="0.2">
      <c r="A1104" s="241">
        <v>38110</v>
      </c>
      <c r="B1104" s="242">
        <v>11.2</v>
      </c>
      <c r="C1104" s="238">
        <v>5.2</v>
      </c>
    </row>
    <row r="1105" spans="1:3" x14ac:dyDescent="0.2">
      <c r="A1105" s="241">
        <v>38111</v>
      </c>
      <c r="B1105" s="242">
        <v>9.1999999999999993</v>
      </c>
      <c r="C1105" s="238">
        <v>1.6</v>
      </c>
    </row>
    <row r="1106" spans="1:3" x14ac:dyDescent="0.2">
      <c r="A1106" s="241">
        <v>38112</v>
      </c>
      <c r="B1106" s="242">
        <v>10.6</v>
      </c>
      <c r="C1106" s="238">
        <v>9.1999999999999993</v>
      </c>
    </row>
    <row r="1107" spans="1:3" x14ac:dyDescent="0.2">
      <c r="A1107" s="241">
        <v>38113</v>
      </c>
      <c r="B1107" s="242">
        <v>9.1</v>
      </c>
      <c r="C1107" s="238">
        <v>8.3000000000000007</v>
      </c>
    </row>
    <row r="1108" spans="1:3" x14ac:dyDescent="0.2">
      <c r="A1108" s="241">
        <v>38114</v>
      </c>
      <c r="B1108" s="242">
        <v>9.8000000000000007</v>
      </c>
      <c r="C1108" s="238">
        <v>0</v>
      </c>
    </row>
    <row r="1109" spans="1:3" x14ac:dyDescent="0.2">
      <c r="A1109" s="241">
        <v>38115</v>
      </c>
      <c r="B1109" s="242">
        <v>11</v>
      </c>
      <c r="C1109" s="238">
        <v>2.1</v>
      </c>
    </row>
    <row r="1110" spans="1:3" x14ac:dyDescent="0.2">
      <c r="A1110" s="241">
        <v>38116</v>
      </c>
      <c r="B1110" s="242">
        <v>10.7</v>
      </c>
      <c r="C1110" s="238">
        <v>7.6</v>
      </c>
    </row>
    <row r="1111" spans="1:3" x14ac:dyDescent="0.2">
      <c r="A1111" s="241">
        <v>38117</v>
      </c>
      <c r="B1111" s="242">
        <v>10.199999999999999</v>
      </c>
      <c r="C1111" s="238">
        <v>0.2</v>
      </c>
    </row>
    <row r="1112" spans="1:3" x14ac:dyDescent="0.2">
      <c r="A1112" s="241">
        <v>38118</v>
      </c>
      <c r="B1112" s="242">
        <v>9.6999999999999993</v>
      </c>
      <c r="C1112" s="238">
        <v>0.3</v>
      </c>
    </row>
    <row r="1113" spans="1:3" x14ac:dyDescent="0.2">
      <c r="A1113" s="241">
        <v>38119</v>
      </c>
      <c r="B1113" s="242">
        <v>9.9</v>
      </c>
      <c r="C1113" s="238">
        <v>3.4</v>
      </c>
    </row>
    <row r="1114" spans="1:3" x14ac:dyDescent="0.2">
      <c r="A1114" s="241">
        <v>38120</v>
      </c>
      <c r="B1114" s="242">
        <v>10.3</v>
      </c>
      <c r="C1114" s="238">
        <v>8.3000000000000007</v>
      </c>
    </row>
    <row r="1115" spans="1:3" x14ac:dyDescent="0.2">
      <c r="A1115" s="241">
        <v>38121</v>
      </c>
      <c r="B1115" s="242">
        <v>11</v>
      </c>
      <c r="C1115" s="238">
        <v>11.6</v>
      </c>
    </row>
    <row r="1116" spans="1:3" x14ac:dyDescent="0.2">
      <c r="A1116" s="241">
        <v>38122</v>
      </c>
      <c r="B1116" s="242">
        <v>12.5</v>
      </c>
      <c r="C1116" s="238">
        <v>13.5</v>
      </c>
    </row>
    <row r="1117" spans="1:3" x14ac:dyDescent="0.2">
      <c r="A1117" s="241">
        <v>38123</v>
      </c>
      <c r="B1117" s="242">
        <v>11.7</v>
      </c>
      <c r="C1117" s="238">
        <v>13</v>
      </c>
    </row>
    <row r="1118" spans="1:3" x14ac:dyDescent="0.2">
      <c r="A1118" s="241">
        <v>38124</v>
      </c>
      <c r="B1118" s="242">
        <v>12.3</v>
      </c>
      <c r="C1118" s="238">
        <v>13.4</v>
      </c>
    </row>
    <row r="1119" spans="1:3" x14ac:dyDescent="0.2">
      <c r="A1119" s="241">
        <v>38125</v>
      </c>
      <c r="B1119" s="242">
        <v>12.7</v>
      </c>
      <c r="C1119" s="238">
        <v>14</v>
      </c>
    </row>
    <row r="1120" spans="1:3" x14ac:dyDescent="0.2">
      <c r="A1120" s="241">
        <v>38126</v>
      </c>
      <c r="B1120" s="242">
        <v>13.8</v>
      </c>
      <c r="C1120" s="238">
        <v>11.4</v>
      </c>
    </row>
    <row r="1121" spans="1:3" x14ac:dyDescent="0.2">
      <c r="A1121" s="241">
        <v>38127</v>
      </c>
      <c r="B1121" s="242">
        <v>12</v>
      </c>
      <c r="C1121" s="238">
        <v>7.2</v>
      </c>
    </row>
    <row r="1122" spans="1:3" x14ac:dyDescent="0.2">
      <c r="A1122" s="241">
        <v>38128</v>
      </c>
      <c r="B1122" s="242">
        <v>10.4</v>
      </c>
      <c r="C1122" s="238">
        <v>8.1999999999999993</v>
      </c>
    </row>
    <row r="1123" spans="1:3" x14ac:dyDescent="0.2">
      <c r="A1123" s="241">
        <v>38129</v>
      </c>
      <c r="B1123" s="242">
        <v>9.5</v>
      </c>
      <c r="C1123" s="238">
        <v>10.9</v>
      </c>
    </row>
    <row r="1124" spans="1:3" x14ac:dyDescent="0.2">
      <c r="A1124" s="241">
        <v>38130</v>
      </c>
      <c r="B1124" s="242">
        <v>10.5</v>
      </c>
      <c r="C1124" s="238">
        <v>12.3</v>
      </c>
    </row>
    <row r="1125" spans="1:3" x14ac:dyDescent="0.2">
      <c r="A1125" s="241">
        <v>38131</v>
      </c>
      <c r="B1125" s="242">
        <v>11.7</v>
      </c>
      <c r="C1125" s="238">
        <v>11.6</v>
      </c>
    </row>
    <row r="1126" spans="1:3" x14ac:dyDescent="0.2">
      <c r="A1126" s="241">
        <v>38132</v>
      </c>
      <c r="B1126" s="242">
        <v>11.6</v>
      </c>
      <c r="C1126" s="238">
        <v>6</v>
      </c>
    </row>
    <row r="1127" spans="1:3" x14ac:dyDescent="0.2">
      <c r="A1127" s="241">
        <v>38133</v>
      </c>
      <c r="B1127" s="242">
        <v>9.8000000000000007</v>
      </c>
      <c r="C1127" s="238">
        <v>11</v>
      </c>
    </row>
    <row r="1128" spans="1:3" x14ac:dyDescent="0.2">
      <c r="A1128" s="241">
        <v>38134</v>
      </c>
      <c r="B1128" s="242">
        <v>9.3000000000000007</v>
      </c>
      <c r="C1128" s="238">
        <v>5.4</v>
      </c>
    </row>
    <row r="1129" spans="1:3" x14ac:dyDescent="0.2">
      <c r="A1129" s="241">
        <v>38135</v>
      </c>
      <c r="B1129" s="242">
        <v>10.7</v>
      </c>
      <c r="C1129" s="238">
        <v>13.6</v>
      </c>
    </row>
    <row r="1130" spans="1:3" x14ac:dyDescent="0.2">
      <c r="A1130" s="241">
        <v>38136</v>
      </c>
      <c r="B1130" s="242">
        <v>16</v>
      </c>
      <c r="C1130" s="238">
        <v>12.3</v>
      </c>
    </row>
    <row r="1131" spans="1:3" x14ac:dyDescent="0.2">
      <c r="A1131" s="241">
        <v>38137</v>
      </c>
      <c r="B1131" s="242">
        <v>15</v>
      </c>
      <c r="C1131" s="238">
        <v>0.1</v>
      </c>
    </row>
    <row r="1132" spans="1:3" x14ac:dyDescent="0.2">
      <c r="A1132" s="241">
        <v>38138</v>
      </c>
      <c r="B1132" s="242">
        <v>12.2</v>
      </c>
      <c r="C1132" s="238">
        <v>6.4</v>
      </c>
    </row>
    <row r="1133" spans="1:3" x14ac:dyDescent="0.2">
      <c r="A1133" s="241">
        <v>38139</v>
      </c>
      <c r="B1133" s="242">
        <v>15.4</v>
      </c>
      <c r="C1133" s="238">
        <v>6.6</v>
      </c>
    </row>
    <row r="1134" spans="1:3" x14ac:dyDescent="0.2">
      <c r="A1134" s="241">
        <v>38140</v>
      </c>
      <c r="B1134" s="242">
        <v>13.1</v>
      </c>
      <c r="C1134" s="238">
        <v>0</v>
      </c>
    </row>
    <row r="1135" spans="1:3" x14ac:dyDescent="0.2">
      <c r="A1135" s="241">
        <v>38141</v>
      </c>
      <c r="B1135" s="242">
        <v>13.2</v>
      </c>
      <c r="C1135" s="238">
        <v>3.9</v>
      </c>
    </row>
    <row r="1136" spans="1:3" x14ac:dyDescent="0.2">
      <c r="A1136" s="241">
        <v>38142</v>
      </c>
      <c r="B1136" s="242">
        <v>13.6</v>
      </c>
      <c r="C1136" s="238">
        <v>1.6</v>
      </c>
    </row>
    <row r="1137" spans="1:3" x14ac:dyDescent="0.2">
      <c r="A1137" s="241">
        <v>38143</v>
      </c>
      <c r="B1137" s="242">
        <v>12.4</v>
      </c>
      <c r="C1137" s="238">
        <v>2.4</v>
      </c>
    </row>
    <row r="1138" spans="1:3" x14ac:dyDescent="0.2">
      <c r="A1138" s="241">
        <v>38144</v>
      </c>
      <c r="B1138" s="242">
        <v>13.3</v>
      </c>
      <c r="C1138" s="238">
        <v>8.5</v>
      </c>
    </row>
    <row r="1139" spans="1:3" x14ac:dyDescent="0.2">
      <c r="A1139" s="241">
        <v>38145</v>
      </c>
      <c r="B1139" s="242">
        <v>17.2</v>
      </c>
      <c r="C1139" s="238">
        <v>10.5</v>
      </c>
    </row>
    <row r="1140" spans="1:3" x14ac:dyDescent="0.2">
      <c r="A1140" s="241">
        <v>38146</v>
      </c>
      <c r="B1140" s="242">
        <v>21.4</v>
      </c>
      <c r="C1140" s="238">
        <v>9.6999999999999993</v>
      </c>
    </row>
    <row r="1141" spans="1:3" x14ac:dyDescent="0.2">
      <c r="A1141" s="241">
        <v>38147</v>
      </c>
      <c r="B1141" s="242">
        <v>16.3</v>
      </c>
      <c r="C1141" s="238">
        <v>6.5</v>
      </c>
    </row>
    <row r="1142" spans="1:3" x14ac:dyDescent="0.2">
      <c r="A1142" s="241">
        <v>38148</v>
      </c>
      <c r="B1142" s="242">
        <v>16.600000000000001</v>
      </c>
      <c r="C1142" s="238">
        <v>3.5</v>
      </c>
    </row>
    <row r="1143" spans="1:3" x14ac:dyDescent="0.2">
      <c r="A1143" s="241">
        <v>38149</v>
      </c>
      <c r="B1143" s="242">
        <v>16.2</v>
      </c>
      <c r="C1143" s="238">
        <v>12.5</v>
      </c>
    </row>
    <row r="1144" spans="1:3" x14ac:dyDescent="0.2">
      <c r="A1144" s="241">
        <v>38150</v>
      </c>
      <c r="B1144" s="242">
        <v>14.3</v>
      </c>
      <c r="C1144" s="238">
        <v>5.2</v>
      </c>
    </row>
    <row r="1145" spans="1:3" x14ac:dyDescent="0.2">
      <c r="A1145" s="241">
        <v>38151</v>
      </c>
      <c r="B1145" s="242">
        <v>13</v>
      </c>
      <c r="C1145" s="238">
        <v>8.1999999999999993</v>
      </c>
    </row>
    <row r="1146" spans="1:3" x14ac:dyDescent="0.2">
      <c r="A1146" s="241">
        <v>38152</v>
      </c>
      <c r="B1146" s="242">
        <v>16.3</v>
      </c>
      <c r="C1146" s="238">
        <v>6.5</v>
      </c>
    </row>
    <row r="1147" spans="1:3" x14ac:dyDescent="0.2">
      <c r="A1147" s="241">
        <v>38153</v>
      </c>
      <c r="B1147" s="242">
        <v>15.8</v>
      </c>
      <c r="C1147" s="238">
        <v>8.1999999999999993</v>
      </c>
    </row>
    <row r="1148" spans="1:3" x14ac:dyDescent="0.2">
      <c r="A1148" s="241">
        <v>38154</v>
      </c>
      <c r="B1148" s="242">
        <v>15.5</v>
      </c>
      <c r="C1148" s="238">
        <v>8.9</v>
      </c>
    </row>
    <row r="1149" spans="1:3" x14ac:dyDescent="0.2">
      <c r="A1149" s="241">
        <v>38155</v>
      </c>
      <c r="B1149" s="242">
        <v>16.100000000000001</v>
      </c>
      <c r="C1149" s="238">
        <v>6.6</v>
      </c>
    </row>
    <row r="1150" spans="1:3" x14ac:dyDescent="0.2">
      <c r="A1150" s="241">
        <v>38156</v>
      </c>
      <c r="B1150" s="242">
        <v>14.6</v>
      </c>
      <c r="C1150" s="238">
        <v>7.8</v>
      </c>
    </row>
    <row r="1151" spans="1:3" x14ac:dyDescent="0.2">
      <c r="A1151" s="241">
        <v>38157</v>
      </c>
      <c r="B1151" s="242">
        <v>12.5</v>
      </c>
      <c r="C1151" s="238">
        <v>10.5</v>
      </c>
    </row>
    <row r="1152" spans="1:3" x14ac:dyDescent="0.2">
      <c r="A1152" s="241">
        <v>38158</v>
      </c>
      <c r="B1152" s="242">
        <v>12.4</v>
      </c>
      <c r="C1152" s="238">
        <v>6.7</v>
      </c>
    </row>
    <row r="1153" spans="1:3" x14ac:dyDescent="0.2">
      <c r="A1153" s="241">
        <v>38159</v>
      </c>
      <c r="B1153" s="242">
        <v>13.8</v>
      </c>
      <c r="C1153" s="238">
        <v>8.6</v>
      </c>
    </row>
    <row r="1154" spans="1:3" x14ac:dyDescent="0.2">
      <c r="A1154" s="241">
        <v>38160</v>
      </c>
      <c r="B1154" s="242">
        <v>16.100000000000001</v>
      </c>
      <c r="C1154" s="238">
        <v>8.8000000000000007</v>
      </c>
    </row>
    <row r="1155" spans="1:3" x14ac:dyDescent="0.2">
      <c r="A1155" s="241">
        <v>38161</v>
      </c>
      <c r="B1155" s="242">
        <v>15.9</v>
      </c>
      <c r="C1155" s="238">
        <v>3</v>
      </c>
    </row>
    <row r="1156" spans="1:3" x14ac:dyDescent="0.2">
      <c r="A1156" s="241">
        <v>38162</v>
      </c>
      <c r="B1156" s="242">
        <v>14.2</v>
      </c>
      <c r="C1156" s="238">
        <v>0</v>
      </c>
    </row>
    <row r="1157" spans="1:3" x14ac:dyDescent="0.2">
      <c r="A1157" s="241">
        <v>38163</v>
      </c>
      <c r="B1157" s="242">
        <v>13.2</v>
      </c>
      <c r="C1157" s="238">
        <v>6</v>
      </c>
    </row>
    <row r="1158" spans="1:3" x14ac:dyDescent="0.2">
      <c r="A1158" s="241">
        <v>38164</v>
      </c>
      <c r="B1158" s="242">
        <v>15</v>
      </c>
      <c r="C1158" s="238">
        <v>5.0999999999999996</v>
      </c>
    </row>
    <row r="1159" spans="1:3" x14ac:dyDescent="0.2">
      <c r="A1159" s="241">
        <v>38165</v>
      </c>
      <c r="B1159" s="242">
        <v>16.600000000000001</v>
      </c>
      <c r="C1159" s="238">
        <v>6</v>
      </c>
    </row>
    <row r="1160" spans="1:3" x14ac:dyDescent="0.2">
      <c r="A1160" s="241">
        <v>38166</v>
      </c>
      <c r="B1160" s="242">
        <v>15.8</v>
      </c>
      <c r="C1160" s="238">
        <v>11.2</v>
      </c>
    </row>
    <row r="1161" spans="1:3" x14ac:dyDescent="0.2">
      <c r="A1161" s="241">
        <v>38167</v>
      </c>
      <c r="B1161" s="242">
        <v>16.2</v>
      </c>
      <c r="C1161" s="238">
        <v>4.7</v>
      </c>
    </row>
    <row r="1162" spans="1:3" x14ac:dyDescent="0.2">
      <c r="A1162" s="241">
        <v>38168</v>
      </c>
      <c r="B1162" s="242">
        <v>17.5</v>
      </c>
      <c r="C1162" s="238">
        <v>2</v>
      </c>
    </row>
    <row r="1163" spans="1:3" x14ac:dyDescent="0.2">
      <c r="A1163" s="241">
        <v>38169</v>
      </c>
      <c r="B1163" s="242">
        <v>16.2</v>
      </c>
      <c r="C1163" s="238">
        <v>10.6</v>
      </c>
    </row>
    <row r="1164" spans="1:3" x14ac:dyDescent="0.2">
      <c r="A1164" s="241">
        <v>38170</v>
      </c>
      <c r="B1164" s="242">
        <v>15.1</v>
      </c>
      <c r="C1164" s="238">
        <v>3.3</v>
      </c>
    </row>
    <row r="1165" spans="1:3" x14ac:dyDescent="0.2">
      <c r="A1165" s="241">
        <v>38171</v>
      </c>
      <c r="B1165" s="242">
        <v>15.2</v>
      </c>
      <c r="C1165" s="238">
        <v>8.1</v>
      </c>
    </row>
    <row r="1166" spans="1:3" x14ac:dyDescent="0.2">
      <c r="A1166" s="241">
        <v>38172</v>
      </c>
      <c r="B1166" s="242">
        <v>15.8</v>
      </c>
      <c r="C1166" s="238">
        <v>5.9</v>
      </c>
    </row>
    <row r="1167" spans="1:3" x14ac:dyDescent="0.2">
      <c r="A1167" s="241">
        <v>38173</v>
      </c>
      <c r="B1167" s="242">
        <v>14.8</v>
      </c>
      <c r="C1167" s="238">
        <v>13.6</v>
      </c>
    </row>
    <row r="1168" spans="1:3" x14ac:dyDescent="0.2">
      <c r="A1168" s="241">
        <v>38174</v>
      </c>
      <c r="B1168" s="242">
        <v>13.8</v>
      </c>
      <c r="C1168" s="238">
        <v>14</v>
      </c>
    </row>
    <row r="1169" spans="1:3" x14ac:dyDescent="0.2">
      <c r="A1169" s="241">
        <v>38175</v>
      </c>
      <c r="B1169" s="242">
        <v>16.3</v>
      </c>
      <c r="C1169" s="238">
        <v>9.4</v>
      </c>
    </row>
    <row r="1170" spans="1:3" x14ac:dyDescent="0.2">
      <c r="A1170" s="241">
        <v>38176</v>
      </c>
      <c r="B1170" s="242">
        <v>16.5</v>
      </c>
      <c r="C1170" s="238">
        <v>5</v>
      </c>
    </row>
    <row r="1171" spans="1:3" x14ac:dyDescent="0.2">
      <c r="A1171" s="241">
        <v>38177</v>
      </c>
      <c r="B1171" s="242">
        <v>15.1</v>
      </c>
      <c r="C1171" s="238">
        <v>5.4</v>
      </c>
    </row>
    <row r="1172" spans="1:3" x14ac:dyDescent="0.2">
      <c r="A1172" s="241">
        <v>38178</v>
      </c>
      <c r="B1172" s="242">
        <v>15.6</v>
      </c>
      <c r="C1172" s="238">
        <v>12.2</v>
      </c>
    </row>
    <row r="1173" spans="1:3" x14ac:dyDescent="0.2">
      <c r="A1173" s="241">
        <v>38179</v>
      </c>
      <c r="B1173" s="242">
        <v>15</v>
      </c>
      <c r="C1173" s="238">
        <v>5.3</v>
      </c>
    </row>
    <row r="1174" spans="1:3" x14ac:dyDescent="0.2">
      <c r="A1174" s="241">
        <v>38180</v>
      </c>
      <c r="B1174" s="242">
        <v>14.1</v>
      </c>
      <c r="C1174" s="238">
        <v>3.2</v>
      </c>
    </row>
    <row r="1175" spans="1:3" x14ac:dyDescent="0.2">
      <c r="A1175" s="241">
        <v>38181</v>
      </c>
      <c r="B1175" s="242">
        <v>15</v>
      </c>
      <c r="C1175" s="238">
        <v>9.6</v>
      </c>
    </row>
    <row r="1176" spans="1:3" x14ac:dyDescent="0.2">
      <c r="A1176" s="241">
        <v>38182</v>
      </c>
      <c r="B1176" s="242">
        <v>16.7</v>
      </c>
      <c r="C1176" s="238">
        <v>1.2</v>
      </c>
    </row>
    <row r="1177" spans="1:3" x14ac:dyDescent="0.2">
      <c r="A1177" s="241">
        <v>38183</v>
      </c>
      <c r="B1177" s="242">
        <v>17.5</v>
      </c>
      <c r="C1177" s="238">
        <v>2.6</v>
      </c>
    </row>
    <row r="1178" spans="1:3" x14ac:dyDescent="0.2">
      <c r="A1178" s="241">
        <v>38184</v>
      </c>
      <c r="B1178" s="242">
        <v>16.7</v>
      </c>
      <c r="C1178" s="238">
        <v>0.5</v>
      </c>
    </row>
    <row r="1179" spans="1:3" x14ac:dyDescent="0.2">
      <c r="A1179" s="241">
        <v>38185</v>
      </c>
      <c r="B1179" s="242">
        <v>20.2</v>
      </c>
      <c r="C1179" s="238">
        <v>8.8000000000000007</v>
      </c>
    </row>
    <row r="1180" spans="1:3" x14ac:dyDescent="0.2">
      <c r="A1180" s="241">
        <v>38186</v>
      </c>
      <c r="B1180" s="242">
        <v>17.3</v>
      </c>
      <c r="C1180" s="238">
        <v>8.3000000000000007</v>
      </c>
    </row>
    <row r="1181" spans="1:3" x14ac:dyDescent="0.2">
      <c r="A1181" s="241">
        <v>38187</v>
      </c>
      <c r="B1181" s="242">
        <v>16.399999999999999</v>
      </c>
      <c r="C1181" s="238">
        <v>10.9</v>
      </c>
    </row>
    <row r="1182" spans="1:3" x14ac:dyDescent="0.2">
      <c r="A1182" s="241">
        <v>38188</v>
      </c>
      <c r="B1182" s="242">
        <v>17.399999999999999</v>
      </c>
      <c r="C1182" s="238">
        <v>6.8</v>
      </c>
    </row>
    <row r="1183" spans="1:3" x14ac:dyDescent="0.2">
      <c r="A1183" s="241">
        <v>38189</v>
      </c>
      <c r="B1183" s="242">
        <v>17</v>
      </c>
      <c r="C1183" s="238">
        <v>2.7</v>
      </c>
    </row>
    <row r="1184" spans="1:3" x14ac:dyDescent="0.2">
      <c r="A1184" s="241">
        <v>38190</v>
      </c>
      <c r="B1184" s="242">
        <v>18.600000000000001</v>
      </c>
      <c r="C1184" s="238">
        <v>12.5</v>
      </c>
    </row>
    <row r="1185" spans="1:3" x14ac:dyDescent="0.2">
      <c r="A1185" s="241">
        <v>38191</v>
      </c>
      <c r="B1185" s="242">
        <v>17.7</v>
      </c>
      <c r="C1185" s="238">
        <v>6.5</v>
      </c>
    </row>
    <row r="1186" spans="1:3" x14ac:dyDescent="0.2">
      <c r="A1186" s="241">
        <v>38192</v>
      </c>
      <c r="B1186" s="242">
        <v>16.399999999999999</v>
      </c>
      <c r="C1186" s="238">
        <v>9</v>
      </c>
    </row>
    <row r="1187" spans="1:3" x14ac:dyDescent="0.2">
      <c r="A1187" s="241">
        <v>38193</v>
      </c>
      <c r="B1187" s="242">
        <v>15.5</v>
      </c>
      <c r="C1187" s="238">
        <v>0.2</v>
      </c>
    </row>
    <row r="1188" spans="1:3" x14ac:dyDescent="0.2">
      <c r="A1188" s="241">
        <v>38194</v>
      </c>
      <c r="B1188" s="242">
        <v>15.6</v>
      </c>
      <c r="C1188" s="238">
        <v>14.2</v>
      </c>
    </row>
    <row r="1189" spans="1:3" x14ac:dyDescent="0.2">
      <c r="A1189" s="241">
        <v>38195</v>
      </c>
      <c r="B1189" s="242">
        <v>15.4</v>
      </c>
      <c r="C1189" s="238">
        <v>11.7</v>
      </c>
    </row>
    <row r="1190" spans="1:3" x14ac:dyDescent="0.2">
      <c r="A1190" s="241">
        <v>38196</v>
      </c>
      <c r="B1190" s="242">
        <v>17.899999999999999</v>
      </c>
      <c r="C1190" s="238">
        <v>10.1</v>
      </c>
    </row>
    <row r="1191" spans="1:3" x14ac:dyDescent="0.2">
      <c r="A1191" s="241">
        <v>38197</v>
      </c>
      <c r="B1191" s="242">
        <v>20.7</v>
      </c>
      <c r="C1191" s="238">
        <v>12.9</v>
      </c>
    </row>
    <row r="1192" spans="1:3" x14ac:dyDescent="0.2">
      <c r="A1192" s="241">
        <v>38198</v>
      </c>
      <c r="B1192" s="242">
        <v>19.100000000000001</v>
      </c>
      <c r="C1192" s="238">
        <v>8.6</v>
      </c>
    </row>
    <row r="1193" spans="1:3" x14ac:dyDescent="0.2">
      <c r="A1193" s="241">
        <v>38199</v>
      </c>
      <c r="B1193" s="242">
        <v>17.2</v>
      </c>
      <c r="C1193" s="238">
        <v>6.6</v>
      </c>
    </row>
    <row r="1194" spans="1:3" x14ac:dyDescent="0.2">
      <c r="A1194" s="241">
        <v>38200</v>
      </c>
      <c r="B1194" s="242">
        <v>16.899999999999999</v>
      </c>
      <c r="C1194" s="238">
        <v>9.8000000000000007</v>
      </c>
    </row>
    <row r="1195" spans="1:3" x14ac:dyDescent="0.2">
      <c r="A1195" s="241">
        <v>38201</v>
      </c>
      <c r="B1195" s="242">
        <v>19.5</v>
      </c>
      <c r="C1195" s="238">
        <v>11.8</v>
      </c>
    </row>
    <row r="1196" spans="1:3" x14ac:dyDescent="0.2">
      <c r="A1196" s="241">
        <v>38202</v>
      </c>
      <c r="B1196" s="242">
        <v>21.6</v>
      </c>
      <c r="C1196" s="238">
        <v>11.1</v>
      </c>
    </row>
    <row r="1197" spans="1:3" x14ac:dyDescent="0.2">
      <c r="A1197" s="241">
        <v>38203</v>
      </c>
      <c r="B1197" s="242">
        <v>21.6</v>
      </c>
      <c r="C1197" s="238">
        <v>11</v>
      </c>
    </row>
    <row r="1198" spans="1:3" x14ac:dyDescent="0.2">
      <c r="A1198" s="241">
        <v>38204</v>
      </c>
      <c r="B1198" s="242">
        <v>21.1</v>
      </c>
      <c r="C1198" s="238">
        <v>3.4</v>
      </c>
    </row>
    <row r="1199" spans="1:3" x14ac:dyDescent="0.2">
      <c r="A1199" s="241">
        <v>38205</v>
      </c>
      <c r="B1199" s="242">
        <v>20.5</v>
      </c>
      <c r="C1199" s="238">
        <v>5.6</v>
      </c>
    </row>
    <row r="1200" spans="1:3" x14ac:dyDescent="0.2">
      <c r="A1200" s="241">
        <v>38206</v>
      </c>
      <c r="B1200" s="242">
        <v>19.5</v>
      </c>
      <c r="C1200" s="238">
        <v>5.2</v>
      </c>
    </row>
    <row r="1201" spans="1:3" x14ac:dyDescent="0.2">
      <c r="A1201" s="241">
        <v>38207</v>
      </c>
      <c r="B1201" s="242">
        <v>24.8</v>
      </c>
      <c r="C1201" s="238">
        <v>12.3</v>
      </c>
    </row>
    <row r="1202" spans="1:3" x14ac:dyDescent="0.2">
      <c r="A1202" s="241">
        <v>38208</v>
      </c>
      <c r="B1202" s="242">
        <v>26.6</v>
      </c>
      <c r="C1202" s="238">
        <v>11.1</v>
      </c>
    </row>
    <row r="1203" spans="1:3" x14ac:dyDescent="0.2">
      <c r="A1203" s="241">
        <v>38209</v>
      </c>
      <c r="B1203" s="242">
        <v>22.3</v>
      </c>
      <c r="C1203" s="238">
        <v>3.6</v>
      </c>
    </row>
    <row r="1204" spans="1:3" x14ac:dyDescent="0.2">
      <c r="A1204" s="241">
        <v>38210</v>
      </c>
      <c r="B1204" s="242">
        <v>19.399999999999999</v>
      </c>
      <c r="C1204" s="238">
        <v>7.6</v>
      </c>
    </row>
    <row r="1205" spans="1:3" x14ac:dyDescent="0.2">
      <c r="A1205" s="241">
        <v>38211</v>
      </c>
      <c r="B1205" s="242">
        <v>19.399999999999999</v>
      </c>
      <c r="C1205" s="238">
        <v>1.7</v>
      </c>
    </row>
    <row r="1206" spans="1:3" x14ac:dyDescent="0.2">
      <c r="A1206" s="241">
        <v>38212</v>
      </c>
      <c r="B1206" s="242">
        <v>18</v>
      </c>
      <c r="C1206" s="238">
        <v>0</v>
      </c>
    </row>
    <row r="1207" spans="1:3" x14ac:dyDescent="0.2">
      <c r="A1207" s="241">
        <v>38213</v>
      </c>
      <c r="B1207" s="242">
        <v>18.2</v>
      </c>
      <c r="C1207" s="238">
        <v>7</v>
      </c>
    </row>
    <row r="1208" spans="1:3" x14ac:dyDescent="0.2">
      <c r="A1208" s="241">
        <v>38214</v>
      </c>
      <c r="B1208" s="242">
        <v>19.5</v>
      </c>
      <c r="C1208" s="238">
        <v>5.0999999999999996</v>
      </c>
    </row>
    <row r="1209" spans="1:3" x14ac:dyDescent="0.2">
      <c r="A1209" s="241">
        <v>38215</v>
      </c>
      <c r="B1209" s="242">
        <v>19</v>
      </c>
      <c r="C1209" s="238">
        <v>7.5</v>
      </c>
    </row>
    <row r="1210" spans="1:3" x14ac:dyDescent="0.2">
      <c r="A1210" s="241">
        <v>38216</v>
      </c>
      <c r="B1210" s="242">
        <v>19.899999999999999</v>
      </c>
      <c r="C1210" s="238">
        <v>9.1999999999999993</v>
      </c>
    </row>
    <row r="1211" spans="1:3" x14ac:dyDescent="0.2">
      <c r="A1211" s="241">
        <v>38217</v>
      </c>
      <c r="B1211" s="242">
        <v>21.4</v>
      </c>
      <c r="C1211" s="238">
        <v>5.3</v>
      </c>
    </row>
    <row r="1212" spans="1:3" x14ac:dyDescent="0.2">
      <c r="A1212" s="241">
        <v>38218</v>
      </c>
      <c r="B1212" s="242">
        <v>19.100000000000001</v>
      </c>
      <c r="C1212" s="238">
        <v>8.4</v>
      </c>
    </row>
    <row r="1213" spans="1:3" x14ac:dyDescent="0.2">
      <c r="A1213" s="241">
        <v>38219</v>
      </c>
      <c r="B1213" s="242">
        <v>17.600000000000001</v>
      </c>
      <c r="C1213" s="238">
        <v>3.5</v>
      </c>
    </row>
    <row r="1214" spans="1:3" x14ac:dyDescent="0.2">
      <c r="A1214" s="241">
        <v>38220</v>
      </c>
      <c r="B1214" s="242">
        <v>15.8</v>
      </c>
      <c r="C1214" s="238">
        <v>6.5</v>
      </c>
    </row>
    <row r="1215" spans="1:3" x14ac:dyDescent="0.2">
      <c r="A1215" s="241">
        <v>38221</v>
      </c>
      <c r="B1215" s="242">
        <v>15.2</v>
      </c>
      <c r="C1215" s="238">
        <v>5.6</v>
      </c>
    </row>
    <row r="1216" spans="1:3" x14ac:dyDescent="0.2">
      <c r="A1216" s="241">
        <v>38222</v>
      </c>
      <c r="B1216" s="242">
        <v>16.5</v>
      </c>
      <c r="C1216" s="238">
        <v>4.5</v>
      </c>
    </row>
    <row r="1217" spans="1:3" x14ac:dyDescent="0.2">
      <c r="A1217" s="241">
        <v>38223</v>
      </c>
      <c r="B1217" s="242">
        <v>17.5</v>
      </c>
      <c r="C1217" s="238">
        <v>4</v>
      </c>
    </row>
    <row r="1218" spans="1:3" x14ac:dyDescent="0.2">
      <c r="A1218" s="241">
        <v>38224</v>
      </c>
      <c r="B1218" s="242">
        <v>17</v>
      </c>
      <c r="C1218" s="238">
        <v>5.8</v>
      </c>
    </row>
    <row r="1219" spans="1:3" x14ac:dyDescent="0.2">
      <c r="A1219" s="241">
        <v>38225</v>
      </c>
      <c r="B1219" s="242">
        <v>17.100000000000001</v>
      </c>
      <c r="C1219" s="238">
        <v>4.8</v>
      </c>
    </row>
    <row r="1220" spans="1:3" x14ac:dyDescent="0.2">
      <c r="A1220" s="241">
        <v>38226</v>
      </c>
      <c r="B1220" s="242">
        <v>17.3</v>
      </c>
      <c r="C1220" s="238">
        <v>0.6</v>
      </c>
    </row>
    <row r="1221" spans="1:3" x14ac:dyDescent="0.2">
      <c r="A1221" s="241">
        <v>38227</v>
      </c>
      <c r="B1221" s="242">
        <v>15.8</v>
      </c>
      <c r="C1221" s="238">
        <v>12.2</v>
      </c>
    </row>
    <row r="1222" spans="1:3" x14ac:dyDescent="0.2">
      <c r="A1222" s="241">
        <v>38228</v>
      </c>
      <c r="B1222" s="242">
        <v>16</v>
      </c>
      <c r="C1222" s="238">
        <v>3.5</v>
      </c>
    </row>
    <row r="1223" spans="1:3" x14ac:dyDescent="0.2">
      <c r="A1223" s="241">
        <v>38229</v>
      </c>
      <c r="B1223" s="242">
        <v>15.4</v>
      </c>
      <c r="C1223" s="238">
        <v>5.2</v>
      </c>
    </row>
    <row r="1224" spans="1:3" x14ac:dyDescent="0.2">
      <c r="A1224" s="241">
        <v>38230</v>
      </c>
      <c r="B1224" s="242">
        <v>15.3</v>
      </c>
      <c r="C1224" s="238">
        <v>3.9</v>
      </c>
    </row>
    <row r="1225" spans="1:3" x14ac:dyDescent="0.2">
      <c r="A1225" s="241">
        <v>38231</v>
      </c>
      <c r="B1225" s="242">
        <v>14.9</v>
      </c>
      <c r="C1225" s="238">
        <v>10.3</v>
      </c>
    </row>
    <row r="1226" spans="1:3" x14ac:dyDescent="0.2">
      <c r="A1226" s="241">
        <v>38232</v>
      </c>
      <c r="B1226" s="242">
        <v>17.100000000000001</v>
      </c>
      <c r="C1226" s="238">
        <v>10.4</v>
      </c>
    </row>
    <row r="1227" spans="1:3" x14ac:dyDescent="0.2">
      <c r="A1227" s="241">
        <v>38233</v>
      </c>
      <c r="B1227" s="242">
        <v>17.8</v>
      </c>
      <c r="C1227" s="238">
        <v>9.4</v>
      </c>
    </row>
    <row r="1228" spans="1:3" x14ac:dyDescent="0.2">
      <c r="A1228" s="241">
        <v>38234</v>
      </c>
      <c r="B1228" s="242">
        <v>17.899999999999999</v>
      </c>
      <c r="C1228" s="238">
        <v>10.8</v>
      </c>
    </row>
    <row r="1229" spans="1:3" x14ac:dyDescent="0.2">
      <c r="A1229" s="241">
        <v>38235</v>
      </c>
      <c r="B1229" s="242">
        <v>18.5</v>
      </c>
      <c r="C1229" s="238">
        <v>10.1</v>
      </c>
    </row>
    <row r="1230" spans="1:3" x14ac:dyDescent="0.2">
      <c r="A1230" s="241">
        <v>38236</v>
      </c>
      <c r="B1230" s="242">
        <v>18.5</v>
      </c>
      <c r="C1230" s="238">
        <v>8.8000000000000007</v>
      </c>
    </row>
    <row r="1231" spans="1:3" x14ac:dyDescent="0.2">
      <c r="A1231" s="241">
        <v>38237</v>
      </c>
      <c r="B1231" s="242">
        <v>17.3</v>
      </c>
      <c r="C1231" s="238">
        <v>10.8</v>
      </c>
    </row>
    <row r="1232" spans="1:3" x14ac:dyDescent="0.2">
      <c r="A1232" s="241">
        <v>38238</v>
      </c>
      <c r="B1232" s="242">
        <v>15.7</v>
      </c>
      <c r="C1232" s="238">
        <v>10.7</v>
      </c>
    </row>
    <row r="1233" spans="1:3" x14ac:dyDescent="0.2">
      <c r="A1233" s="241">
        <v>38239</v>
      </c>
      <c r="B1233" s="242">
        <v>16.899999999999999</v>
      </c>
      <c r="C1233" s="238">
        <v>11.5</v>
      </c>
    </row>
    <row r="1234" spans="1:3" x14ac:dyDescent="0.2">
      <c r="A1234" s="241">
        <v>38240</v>
      </c>
      <c r="B1234" s="242">
        <v>18.3</v>
      </c>
      <c r="C1234" s="238">
        <v>9</v>
      </c>
    </row>
    <row r="1235" spans="1:3" x14ac:dyDescent="0.2">
      <c r="A1235" s="241">
        <v>38241</v>
      </c>
      <c r="B1235" s="242">
        <v>19.100000000000001</v>
      </c>
      <c r="C1235" s="238">
        <v>7.9</v>
      </c>
    </row>
    <row r="1236" spans="1:3" x14ac:dyDescent="0.2">
      <c r="A1236" s="241">
        <v>38242</v>
      </c>
      <c r="B1236" s="242">
        <v>16.7</v>
      </c>
      <c r="C1236" s="238">
        <v>8.4</v>
      </c>
    </row>
    <row r="1237" spans="1:3" x14ac:dyDescent="0.2">
      <c r="A1237" s="241">
        <v>38243</v>
      </c>
      <c r="B1237" s="242">
        <v>16.100000000000001</v>
      </c>
      <c r="C1237" s="238">
        <v>0.5</v>
      </c>
    </row>
    <row r="1238" spans="1:3" x14ac:dyDescent="0.2">
      <c r="A1238" s="241">
        <v>38244</v>
      </c>
      <c r="B1238" s="242">
        <v>15.3</v>
      </c>
      <c r="C1238" s="238">
        <v>6</v>
      </c>
    </row>
    <row r="1239" spans="1:3" x14ac:dyDescent="0.2">
      <c r="A1239" s="241">
        <v>38245</v>
      </c>
      <c r="B1239" s="242">
        <v>14.5</v>
      </c>
      <c r="C1239" s="238">
        <v>7</v>
      </c>
    </row>
    <row r="1240" spans="1:3" x14ac:dyDescent="0.2">
      <c r="A1240" s="241">
        <v>38246</v>
      </c>
      <c r="B1240" s="242">
        <v>14.9</v>
      </c>
      <c r="C1240" s="238">
        <v>8</v>
      </c>
    </row>
    <row r="1241" spans="1:3" x14ac:dyDescent="0.2">
      <c r="A1241" s="241">
        <v>38247</v>
      </c>
      <c r="B1241" s="242">
        <v>16.600000000000001</v>
      </c>
      <c r="C1241" s="238">
        <v>4.9000000000000004</v>
      </c>
    </row>
    <row r="1242" spans="1:3" x14ac:dyDescent="0.2">
      <c r="A1242" s="241">
        <v>38248</v>
      </c>
      <c r="B1242" s="242">
        <v>16.899999999999999</v>
      </c>
      <c r="C1242" s="238">
        <v>2</v>
      </c>
    </row>
    <row r="1243" spans="1:3" x14ac:dyDescent="0.2">
      <c r="A1243" s="241">
        <v>38249</v>
      </c>
      <c r="B1243" s="242">
        <v>16.100000000000001</v>
      </c>
      <c r="C1243" s="238">
        <v>10.8</v>
      </c>
    </row>
    <row r="1244" spans="1:3" x14ac:dyDescent="0.2">
      <c r="A1244" s="241">
        <v>38250</v>
      </c>
      <c r="B1244" s="242">
        <v>15.8</v>
      </c>
      <c r="C1244" s="238">
        <v>1.6</v>
      </c>
    </row>
    <row r="1245" spans="1:3" x14ac:dyDescent="0.2">
      <c r="A1245" s="241">
        <v>38251</v>
      </c>
      <c r="B1245" s="242">
        <v>14.4</v>
      </c>
      <c r="C1245" s="238">
        <v>6.5</v>
      </c>
    </row>
    <row r="1246" spans="1:3" x14ac:dyDescent="0.2">
      <c r="A1246" s="241">
        <v>38252</v>
      </c>
      <c r="B1246" s="242">
        <v>13.7</v>
      </c>
      <c r="C1246" s="238">
        <v>0</v>
      </c>
    </row>
    <row r="1247" spans="1:3" x14ac:dyDescent="0.2">
      <c r="A1247" s="241">
        <v>38253</v>
      </c>
      <c r="B1247" s="242">
        <v>13.5</v>
      </c>
      <c r="C1247" s="238">
        <v>4</v>
      </c>
    </row>
    <row r="1248" spans="1:3" x14ac:dyDescent="0.2">
      <c r="A1248" s="241">
        <v>38254</v>
      </c>
      <c r="B1248" s="242">
        <v>12.8</v>
      </c>
      <c r="C1248" s="238">
        <v>1.5</v>
      </c>
    </row>
    <row r="1249" spans="1:3" x14ac:dyDescent="0.2">
      <c r="A1249" s="241">
        <v>38255</v>
      </c>
      <c r="B1249" s="242">
        <v>13.1</v>
      </c>
      <c r="C1249" s="238">
        <v>0.9</v>
      </c>
    </row>
    <row r="1250" spans="1:3" x14ac:dyDescent="0.2">
      <c r="A1250" s="241">
        <v>38256</v>
      </c>
      <c r="B1250" s="242">
        <v>15.3</v>
      </c>
      <c r="C1250" s="238">
        <v>5.4</v>
      </c>
    </row>
    <row r="1251" spans="1:3" x14ac:dyDescent="0.2">
      <c r="A1251" s="241">
        <v>38257</v>
      </c>
      <c r="B1251" s="242">
        <v>15.6</v>
      </c>
      <c r="C1251" s="238">
        <v>7.5</v>
      </c>
    </row>
    <row r="1252" spans="1:3" x14ac:dyDescent="0.2">
      <c r="A1252" s="241">
        <v>38258</v>
      </c>
      <c r="B1252" s="242">
        <v>15.7</v>
      </c>
      <c r="C1252" s="238">
        <v>0.3</v>
      </c>
    </row>
    <row r="1253" spans="1:3" x14ac:dyDescent="0.2">
      <c r="A1253" s="241">
        <v>38259</v>
      </c>
      <c r="B1253" s="242">
        <v>13.8</v>
      </c>
      <c r="C1253" s="238">
        <v>5.0999999999999996</v>
      </c>
    </row>
    <row r="1254" spans="1:3" x14ac:dyDescent="0.2">
      <c r="A1254" s="241">
        <v>38260</v>
      </c>
      <c r="B1254" s="242">
        <v>12.4</v>
      </c>
      <c r="C1254" s="238">
        <v>2.2999999999999998</v>
      </c>
    </row>
    <row r="1255" spans="1:3" x14ac:dyDescent="0.2">
      <c r="A1255" s="241">
        <v>38261</v>
      </c>
      <c r="B1255" s="242">
        <v>14.7</v>
      </c>
      <c r="C1255" s="238">
        <v>3.4</v>
      </c>
    </row>
    <row r="1256" spans="1:3" x14ac:dyDescent="0.2">
      <c r="A1256" s="241">
        <v>38262</v>
      </c>
      <c r="B1256" s="242">
        <v>14.5</v>
      </c>
      <c r="C1256" s="238">
        <v>6.8</v>
      </c>
    </row>
    <row r="1257" spans="1:3" x14ac:dyDescent="0.2">
      <c r="A1257" s="241">
        <v>38263</v>
      </c>
      <c r="B1257" s="242">
        <v>14.6</v>
      </c>
      <c r="C1257" s="238">
        <v>1.6</v>
      </c>
    </row>
    <row r="1258" spans="1:3" x14ac:dyDescent="0.2">
      <c r="A1258" s="241">
        <v>38264</v>
      </c>
      <c r="B1258" s="242">
        <v>15</v>
      </c>
      <c r="C1258" s="238">
        <v>1.3</v>
      </c>
    </row>
    <row r="1259" spans="1:3" x14ac:dyDescent="0.2">
      <c r="A1259" s="241">
        <v>38265</v>
      </c>
      <c r="B1259" s="242">
        <v>14.2</v>
      </c>
      <c r="C1259" s="238">
        <v>2.2000000000000002</v>
      </c>
    </row>
    <row r="1260" spans="1:3" x14ac:dyDescent="0.2">
      <c r="A1260" s="241">
        <v>38266</v>
      </c>
      <c r="B1260" s="242">
        <v>14.4</v>
      </c>
      <c r="C1260" s="238">
        <v>8</v>
      </c>
    </row>
    <row r="1261" spans="1:3" x14ac:dyDescent="0.2">
      <c r="A1261" s="241">
        <v>38267</v>
      </c>
      <c r="B1261" s="242">
        <v>13.4</v>
      </c>
      <c r="C1261" s="238">
        <v>9.4</v>
      </c>
    </row>
    <row r="1262" spans="1:3" x14ac:dyDescent="0.2">
      <c r="A1262" s="241">
        <v>38268</v>
      </c>
      <c r="B1262" s="242">
        <v>9.9</v>
      </c>
      <c r="C1262" s="238">
        <v>4.5999999999999996</v>
      </c>
    </row>
    <row r="1263" spans="1:3" x14ac:dyDescent="0.2">
      <c r="A1263" s="241">
        <v>38269</v>
      </c>
      <c r="B1263" s="242">
        <v>9.4</v>
      </c>
      <c r="C1263" s="238">
        <v>6.7</v>
      </c>
    </row>
    <row r="1264" spans="1:3" x14ac:dyDescent="0.2">
      <c r="A1264" s="241">
        <v>38270</v>
      </c>
      <c r="B1264" s="242">
        <v>9.1</v>
      </c>
      <c r="C1264" s="238">
        <v>9</v>
      </c>
    </row>
    <row r="1265" spans="1:3" x14ac:dyDescent="0.2">
      <c r="A1265" s="241">
        <v>38271</v>
      </c>
      <c r="B1265" s="242">
        <v>8.4</v>
      </c>
      <c r="C1265" s="238">
        <v>9.8000000000000007</v>
      </c>
    </row>
    <row r="1266" spans="1:3" x14ac:dyDescent="0.2">
      <c r="A1266" s="241">
        <v>38272</v>
      </c>
      <c r="B1266" s="242">
        <v>8.6999999999999993</v>
      </c>
      <c r="C1266" s="238">
        <v>3.8</v>
      </c>
    </row>
    <row r="1267" spans="1:3" x14ac:dyDescent="0.2">
      <c r="A1267" s="241">
        <v>38273</v>
      </c>
      <c r="B1267" s="242">
        <v>11.8</v>
      </c>
      <c r="C1267" s="238">
        <v>3.2</v>
      </c>
    </row>
    <row r="1268" spans="1:3" x14ac:dyDescent="0.2">
      <c r="A1268" s="241">
        <v>38274</v>
      </c>
      <c r="B1268" s="242">
        <v>12.6</v>
      </c>
      <c r="C1268" s="238">
        <v>1.1000000000000001</v>
      </c>
    </row>
    <row r="1269" spans="1:3" x14ac:dyDescent="0.2">
      <c r="A1269" s="241">
        <v>38275</v>
      </c>
      <c r="B1269" s="242">
        <v>10</v>
      </c>
      <c r="C1269" s="238">
        <v>2.5</v>
      </c>
    </row>
    <row r="1270" spans="1:3" x14ac:dyDescent="0.2">
      <c r="A1270" s="241">
        <v>38276</v>
      </c>
      <c r="B1270" s="242">
        <v>8.4</v>
      </c>
      <c r="C1270" s="238">
        <v>1</v>
      </c>
    </row>
    <row r="1271" spans="1:3" x14ac:dyDescent="0.2">
      <c r="A1271" s="241">
        <v>38277</v>
      </c>
      <c r="B1271" s="242">
        <v>9.5</v>
      </c>
      <c r="C1271" s="238">
        <v>1.7</v>
      </c>
    </row>
    <row r="1272" spans="1:3" x14ac:dyDescent="0.2">
      <c r="A1272" s="241">
        <v>38278</v>
      </c>
      <c r="B1272" s="242">
        <v>11</v>
      </c>
      <c r="C1272" s="238">
        <v>2.8</v>
      </c>
    </row>
    <row r="1273" spans="1:3" x14ac:dyDescent="0.2">
      <c r="A1273" s="241">
        <v>38279</v>
      </c>
      <c r="B1273" s="242">
        <v>10.1</v>
      </c>
      <c r="C1273" s="238">
        <v>8.5</v>
      </c>
    </row>
    <row r="1274" spans="1:3" x14ac:dyDescent="0.2">
      <c r="A1274" s="241">
        <v>38280</v>
      </c>
      <c r="B1274" s="242">
        <v>13.3</v>
      </c>
      <c r="C1274" s="238">
        <v>0</v>
      </c>
    </row>
    <row r="1275" spans="1:3" x14ac:dyDescent="0.2">
      <c r="A1275" s="241">
        <v>38281</v>
      </c>
      <c r="B1275" s="242">
        <v>13.4</v>
      </c>
      <c r="C1275" s="238">
        <v>8.3000000000000007</v>
      </c>
    </row>
    <row r="1276" spans="1:3" x14ac:dyDescent="0.2">
      <c r="A1276" s="241">
        <v>38282</v>
      </c>
      <c r="B1276" s="242">
        <v>14.3</v>
      </c>
      <c r="C1276" s="238">
        <v>5.0999999999999996</v>
      </c>
    </row>
    <row r="1277" spans="1:3" x14ac:dyDescent="0.2">
      <c r="A1277" s="241">
        <v>38283</v>
      </c>
      <c r="B1277" s="242">
        <v>14.8</v>
      </c>
      <c r="C1277" s="238">
        <v>0</v>
      </c>
    </row>
    <row r="1278" spans="1:3" x14ac:dyDescent="0.2">
      <c r="A1278" s="241">
        <v>38284</v>
      </c>
      <c r="B1278" s="242">
        <v>15.7</v>
      </c>
      <c r="C1278" s="238">
        <v>0.1</v>
      </c>
    </row>
    <row r="1279" spans="1:3" x14ac:dyDescent="0.2">
      <c r="A1279" s="241">
        <v>38285</v>
      </c>
      <c r="B1279" s="242">
        <v>13.6</v>
      </c>
      <c r="C1279" s="238">
        <v>6.2</v>
      </c>
    </row>
    <row r="1280" spans="1:3" x14ac:dyDescent="0.2">
      <c r="A1280" s="241">
        <v>38286</v>
      </c>
      <c r="B1280" s="242">
        <v>11.4</v>
      </c>
      <c r="C1280" s="238">
        <v>4.8</v>
      </c>
    </row>
    <row r="1281" spans="1:3" x14ac:dyDescent="0.2">
      <c r="A1281" s="241">
        <v>38287</v>
      </c>
      <c r="B1281" s="242">
        <v>9.6999999999999993</v>
      </c>
      <c r="C1281" s="238">
        <v>4.3</v>
      </c>
    </row>
    <row r="1282" spans="1:3" x14ac:dyDescent="0.2">
      <c r="A1282" s="241">
        <v>38288</v>
      </c>
      <c r="B1282" s="242">
        <v>11.6</v>
      </c>
      <c r="C1282" s="238">
        <v>1.5</v>
      </c>
    </row>
    <row r="1283" spans="1:3" x14ac:dyDescent="0.2">
      <c r="A1283" s="241">
        <v>38289</v>
      </c>
      <c r="B1283" s="242">
        <v>12.6</v>
      </c>
      <c r="C1283" s="238">
        <v>5.5</v>
      </c>
    </row>
    <row r="1284" spans="1:3" x14ac:dyDescent="0.2">
      <c r="A1284" s="241">
        <v>38290</v>
      </c>
      <c r="B1284" s="242">
        <v>8.6999999999999993</v>
      </c>
      <c r="C1284" s="238">
        <v>3.5</v>
      </c>
    </row>
    <row r="1285" spans="1:3" x14ac:dyDescent="0.2">
      <c r="A1285" s="241">
        <v>38291</v>
      </c>
      <c r="B1285" s="242">
        <v>10.7</v>
      </c>
      <c r="C1285" s="238">
        <v>0</v>
      </c>
    </row>
    <row r="1286" spans="1:3" x14ac:dyDescent="0.2">
      <c r="A1286" s="241">
        <v>38292</v>
      </c>
      <c r="B1286" s="242">
        <v>9.1999999999999993</v>
      </c>
      <c r="C1286" s="238">
        <v>1.3</v>
      </c>
    </row>
    <row r="1287" spans="1:3" x14ac:dyDescent="0.2">
      <c r="A1287" s="241">
        <v>38293</v>
      </c>
      <c r="B1287" s="242">
        <v>8.5</v>
      </c>
      <c r="C1287" s="238">
        <v>0</v>
      </c>
    </row>
    <row r="1288" spans="1:3" x14ac:dyDescent="0.2">
      <c r="A1288" s="241">
        <v>38294</v>
      </c>
      <c r="B1288" s="242">
        <v>10.3</v>
      </c>
      <c r="C1288" s="238">
        <v>1.5</v>
      </c>
    </row>
    <row r="1289" spans="1:3" x14ac:dyDescent="0.2">
      <c r="A1289" s="241">
        <v>38295</v>
      </c>
      <c r="B1289" s="242">
        <v>11.1</v>
      </c>
      <c r="C1289" s="238">
        <v>1.7</v>
      </c>
    </row>
    <row r="1290" spans="1:3" x14ac:dyDescent="0.2">
      <c r="A1290" s="241">
        <v>38296</v>
      </c>
      <c r="B1290" s="242">
        <v>11</v>
      </c>
      <c r="C1290" s="238">
        <v>2.9</v>
      </c>
    </row>
    <row r="1291" spans="1:3" x14ac:dyDescent="0.2">
      <c r="A1291" s="241">
        <v>38297</v>
      </c>
      <c r="B1291" s="242">
        <v>10.7</v>
      </c>
      <c r="C1291" s="238">
        <v>1.9</v>
      </c>
    </row>
    <row r="1292" spans="1:3" x14ac:dyDescent="0.2">
      <c r="A1292" s="241">
        <v>38298</v>
      </c>
      <c r="B1292" s="242">
        <v>8.9</v>
      </c>
      <c r="C1292" s="238">
        <v>2</v>
      </c>
    </row>
    <row r="1293" spans="1:3" x14ac:dyDescent="0.2">
      <c r="A1293" s="241">
        <v>38299</v>
      </c>
      <c r="B1293" s="242">
        <v>8.1</v>
      </c>
      <c r="C1293" s="238">
        <v>0.2</v>
      </c>
    </row>
    <row r="1294" spans="1:3" x14ac:dyDescent="0.2">
      <c r="A1294" s="241">
        <v>38300</v>
      </c>
      <c r="B1294" s="242">
        <v>2.2999999999999998</v>
      </c>
      <c r="C1294" s="238">
        <v>7.8</v>
      </c>
    </row>
    <row r="1295" spans="1:3" x14ac:dyDescent="0.2">
      <c r="A1295" s="241">
        <v>38301</v>
      </c>
      <c r="B1295" s="242">
        <v>7.5</v>
      </c>
      <c r="C1295" s="238">
        <v>0.5</v>
      </c>
    </row>
    <row r="1296" spans="1:3" x14ac:dyDescent="0.2">
      <c r="A1296" s="241">
        <v>38302</v>
      </c>
      <c r="B1296" s="242">
        <v>4.4000000000000004</v>
      </c>
      <c r="C1296" s="238">
        <v>1.9</v>
      </c>
    </row>
    <row r="1297" spans="1:3" x14ac:dyDescent="0.2">
      <c r="A1297" s="241">
        <v>38303</v>
      </c>
      <c r="B1297" s="242">
        <v>8.4</v>
      </c>
      <c r="C1297" s="238">
        <v>0</v>
      </c>
    </row>
    <row r="1298" spans="1:3" x14ac:dyDescent="0.2">
      <c r="A1298" s="241">
        <v>38304</v>
      </c>
      <c r="B1298" s="242">
        <v>7</v>
      </c>
      <c r="C1298" s="238">
        <v>4</v>
      </c>
    </row>
    <row r="1299" spans="1:3" x14ac:dyDescent="0.2">
      <c r="A1299" s="241">
        <v>38305</v>
      </c>
      <c r="B1299" s="242">
        <v>7.6</v>
      </c>
      <c r="C1299" s="238">
        <v>3.5</v>
      </c>
    </row>
    <row r="1300" spans="1:3" x14ac:dyDescent="0.2">
      <c r="A1300" s="241">
        <v>38306</v>
      </c>
      <c r="B1300" s="242">
        <v>9.9</v>
      </c>
      <c r="C1300" s="238">
        <v>0</v>
      </c>
    </row>
    <row r="1301" spans="1:3" x14ac:dyDescent="0.2">
      <c r="A1301" s="241">
        <v>38307</v>
      </c>
      <c r="B1301" s="242">
        <v>11.1</v>
      </c>
      <c r="C1301" s="238">
        <v>0</v>
      </c>
    </row>
    <row r="1302" spans="1:3" x14ac:dyDescent="0.2">
      <c r="A1302" s="241">
        <v>38308</v>
      </c>
      <c r="B1302" s="242">
        <v>11.7</v>
      </c>
      <c r="C1302" s="238">
        <v>0</v>
      </c>
    </row>
    <row r="1303" spans="1:3" x14ac:dyDescent="0.2">
      <c r="A1303" s="241">
        <v>38309</v>
      </c>
      <c r="B1303" s="242">
        <v>7.8</v>
      </c>
      <c r="C1303" s="238">
        <v>0</v>
      </c>
    </row>
    <row r="1304" spans="1:3" x14ac:dyDescent="0.2">
      <c r="A1304" s="241">
        <v>38310</v>
      </c>
      <c r="B1304" s="242">
        <v>5.3</v>
      </c>
      <c r="C1304" s="238">
        <v>2.5</v>
      </c>
    </row>
    <row r="1305" spans="1:3" x14ac:dyDescent="0.2">
      <c r="A1305" s="241">
        <v>38311</v>
      </c>
      <c r="B1305" s="242">
        <v>5</v>
      </c>
      <c r="C1305" s="238">
        <v>1.1000000000000001</v>
      </c>
    </row>
    <row r="1306" spans="1:3" x14ac:dyDescent="0.2">
      <c r="A1306" s="241">
        <v>38312</v>
      </c>
      <c r="B1306" s="242">
        <v>3.5</v>
      </c>
      <c r="C1306" s="238">
        <v>0.2</v>
      </c>
    </row>
    <row r="1307" spans="1:3" x14ac:dyDescent="0.2">
      <c r="A1307" s="241">
        <v>38313</v>
      </c>
      <c r="B1307" s="242">
        <v>11.1</v>
      </c>
      <c r="C1307" s="238">
        <v>1.2</v>
      </c>
    </row>
    <row r="1308" spans="1:3" x14ac:dyDescent="0.2">
      <c r="A1308" s="241">
        <v>38314</v>
      </c>
      <c r="B1308" s="242">
        <v>6.2</v>
      </c>
      <c r="C1308" s="238">
        <v>4.5</v>
      </c>
    </row>
    <row r="1309" spans="1:3" x14ac:dyDescent="0.2">
      <c r="A1309" s="241">
        <v>38315</v>
      </c>
      <c r="B1309" s="242">
        <v>2.7</v>
      </c>
      <c r="C1309" s="238">
        <v>5.4</v>
      </c>
    </row>
    <row r="1310" spans="1:3" x14ac:dyDescent="0.2">
      <c r="A1310" s="241">
        <v>38316</v>
      </c>
      <c r="B1310" s="242">
        <v>-0.5</v>
      </c>
      <c r="C1310" s="238">
        <v>6.5</v>
      </c>
    </row>
    <row r="1311" spans="1:3" x14ac:dyDescent="0.2">
      <c r="A1311" s="241">
        <v>38317</v>
      </c>
      <c r="B1311" s="242">
        <v>6.1</v>
      </c>
      <c r="C1311" s="238">
        <v>0</v>
      </c>
    </row>
    <row r="1312" spans="1:3" x14ac:dyDescent="0.2">
      <c r="A1312" s="241">
        <v>38318</v>
      </c>
      <c r="B1312" s="242">
        <v>8.9</v>
      </c>
      <c r="C1312" s="238">
        <v>1.6</v>
      </c>
    </row>
    <row r="1313" spans="1:3" x14ac:dyDescent="0.2">
      <c r="A1313" s="241">
        <v>38319</v>
      </c>
      <c r="B1313" s="242">
        <v>8.1999999999999993</v>
      </c>
      <c r="C1313" s="238">
        <v>0</v>
      </c>
    </row>
    <row r="1314" spans="1:3" x14ac:dyDescent="0.2">
      <c r="A1314" s="241">
        <v>38320</v>
      </c>
      <c r="B1314" s="242">
        <v>7</v>
      </c>
      <c r="C1314" s="238">
        <v>0.5</v>
      </c>
    </row>
    <row r="1315" spans="1:3" x14ac:dyDescent="0.2">
      <c r="A1315" s="241">
        <v>38321</v>
      </c>
      <c r="B1315" s="242">
        <v>5.0999999999999996</v>
      </c>
      <c r="C1315" s="238">
        <v>0.7</v>
      </c>
    </row>
    <row r="1316" spans="1:3" x14ac:dyDescent="0.2">
      <c r="A1316" s="241">
        <v>38322</v>
      </c>
      <c r="B1316" s="242">
        <v>3.1</v>
      </c>
      <c r="C1316" s="238">
        <v>0</v>
      </c>
    </row>
    <row r="1317" spans="1:3" x14ac:dyDescent="0.2">
      <c r="A1317" s="241">
        <v>38323</v>
      </c>
      <c r="B1317" s="242">
        <v>3.5</v>
      </c>
      <c r="C1317" s="238">
        <v>3.8</v>
      </c>
    </row>
    <row r="1318" spans="1:3" x14ac:dyDescent="0.2">
      <c r="A1318" s="241">
        <v>38324</v>
      </c>
      <c r="B1318" s="242">
        <v>5</v>
      </c>
      <c r="C1318" s="238">
        <v>4</v>
      </c>
    </row>
    <row r="1319" spans="1:3" x14ac:dyDescent="0.2">
      <c r="A1319" s="241">
        <v>38325</v>
      </c>
      <c r="B1319" s="242">
        <v>8</v>
      </c>
      <c r="C1319" s="238">
        <v>0</v>
      </c>
    </row>
    <row r="1320" spans="1:3" x14ac:dyDescent="0.2">
      <c r="A1320" s="241">
        <v>38326</v>
      </c>
      <c r="B1320" s="242">
        <v>9.1</v>
      </c>
      <c r="C1320" s="238">
        <v>0.5</v>
      </c>
    </row>
    <row r="1321" spans="1:3" x14ac:dyDescent="0.2">
      <c r="A1321" s="241">
        <v>38327</v>
      </c>
      <c r="B1321" s="242">
        <v>9.1999999999999993</v>
      </c>
      <c r="C1321" s="238">
        <v>0</v>
      </c>
    </row>
    <row r="1322" spans="1:3" x14ac:dyDescent="0.2">
      <c r="A1322" s="241">
        <v>38328</v>
      </c>
      <c r="B1322" s="242">
        <v>6.7</v>
      </c>
      <c r="C1322" s="238">
        <v>0</v>
      </c>
    </row>
    <row r="1323" spans="1:3" x14ac:dyDescent="0.2">
      <c r="A1323" s="241">
        <v>38329</v>
      </c>
      <c r="B1323" s="242">
        <v>2.8</v>
      </c>
      <c r="C1323" s="238">
        <v>0.6</v>
      </c>
    </row>
    <row r="1324" spans="1:3" x14ac:dyDescent="0.2">
      <c r="A1324" s="241">
        <v>38330</v>
      </c>
      <c r="B1324" s="242">
        <v>-0.1</v>
      </c>
      <c r="C1324" s="238">
        <v>0</v>
      </c>
    </row>
    <row r="1325" spans="1:3" x14ac:dyDescent="0.2">
      <c r="A1325" s="241">
        <v>38331</v>
      </c>
      <c r="B1325" s="242">
        <v>2</v>
      </c>
      <c r="C1325" s="238">
        <v>0</v>
      </c>
    </row>
    <row r="1326" spans="1:3" x14ac:dyDescent="0.2">
      <c r="A1326" s="241">
        <v>38332</v>
      </c>
      <c r="B1326" s="242">
        <v>5.2</v>
      </c>
      <c r="C1326" s="238">
        <v>0</v>
      </c>
    </row>
    <row r="1327" spans="1:3" x14ac:dyDescent="0.2">
      <c r="A1327" s="241">
        <v>38333</v>
      </c>
      <c r="B1327" s="242">
        <v>4</v>
      </c>
      <c r="C1327" s="238">
        <v>1.1000000000000001</v>
      </c>
    </row>
    <row r="1328" spans="1:3" x14ac:dyDescent="0.2">
      <c r="A1328" s="241">
        <v>38334</v>
      </c>
      <c r="B1328" s="242">
        <v>-0.1</v>
      </c>
      <c r="C1328" s="238">
        <v>0</v>
      </c>
    </row>
    <row r="1329" spans="1:3" x14ac:dyDescent="0.2">
      <c r="A1329" s="241">
        <v>38335</v>
      </c>
      <c r="B1329" s="242">
        <v>1.9</v>
      </c>
      <c r="C1329" s="238">
        <v>0</v>
      </c>
    </row>
    <row r="1330" spans="1:3" x14ac:dyDescent="0.2">
      <c r="A1330" s="241">
        <v>38336</v>
      </c>
      <c r="B1330" s="242">
        <v>6.5</v>
      </c>
      <c r="C1330" s="238">
        <v>0</v>
      </c>
    </row>
    <row r="1331" spans="1:3" x14ac:dyDescent="0.2">
      <c r="A1331" s="241">
        <v>38337</v>
      </c>
      <c r="B1331" s="242">
        <v>6.7</v>
      </c>
      <c r="C1331" s="238">
        <v>0</v>
      </c>
    </row>
    <row r="1332" spans="1:3" x14ac:dyDescent="0.2">
      <c r="A1332" s="241">
        <v>38338</v>
      </c>
      <c r="B1332" s="242">
        <v>7.1</v>
      </c>
      <c r="C1332" s="238">
        <v>0</v>
      </c>
    </row>
    <row r="1333" spans="1:3" x14ac:dyDescent="0.2">
      <c r="A1333" s="241">
        <v>38339</v>
      </c>
      <c r="B1333" s="242">
        <v>6.2</v>
      </c>
      <c r="C1333" s="238">
        <v>0.2</v>
      </c>
    </row>
    <row r="1334" spans="1:3" x14ac:dyDescent="0.2">
      <c r="A1334" s="241">
        <v>38340</v>
      </c>
      <c r="B1334" s="242">
        <v>1.6</v>
      </c>
      <c r="C1334" s="238">
        <v>6.2</v>
      </c>
    </row>
    <row r="1335" spans="1:3" x14ac:dyDescent="0.2">
      <c r="A1335" s="241">
        <v>38341</v>
      </c>
      <c r="B1335" s="242">
        <v>1.8</v>
      </c>
      <c r="C1335" s="238">
        <v>6</v>
      </c>
    </row>
    <row r="1336" spans="1:3" x14ac:dyDescent="0.2">
      <c r="A1336" s="241">
        <v>38342</v>
      </c>
      <c r="B1336" s="242">
        <v>0.6</v>
      </c>
      <c r="C1336" s="238">
        <v>2.6</v>
      </c>
    </row>
    <row r="1337" spans="1:3" x14ac:dyDescent="0.2">
      <c r="A1337" s="241">
        <v>38343</v>
      </c>
      <c r="B1337" s="242">
        <v>6.8</v>
      </c>
      <c r="C1337" s="238">
        <v>0</v>
      </c>
    </row>
    <row r="1338" spans="1:3" x14ac:dyDescent="0.2">
      <c r="A1338" s="241">
        <v>38344</v>
      </c>
      <c r="B1338" s="242">
        <v>9.5</v>
      </c>
      <c r="C1338" s="238">
        <v>2.6</v>
      </c>
    </row>
    <row r="1339" spans="1:3" x14ac:dyDescent="0.2">
      <c r="A1339" s="241">
        <v>38345</v>
      </c>
      <c r="B1339" s="242">
        <v>8.6999999999999993</v>
      </c>
      <c r="C1339" s="238">
        <v>3.7</v>
      </c>
    </row>
    <row r="1340" spans="1:3" x14ac:dyDescent="0.2">
      <c r="A1340" s="241">
        <v>38346</v>
      </c>
      <c r="B1340" s="242">
        <v>5.7</v>
      </c>
      <c r="C1340" s="238">
        <v>3.1</v>
      </c>
    </row>
    <row r="1341" spans="1:3" x14ac:dyDescent="0.2">
      <c r="A1341" s="241">
        <v>38347</v>
      </c>
      <c r="B1341" s="242">
        <v>1</v>
      </c>
      <c r="C1341" s="238">
        <v>5.0999999999999996</v>
      </c>
    </row>
    <row r="1342" spans="1:3" x14ac:dyDescent="0.2">
      <c r="A1342" s="241">
        <v>38348</v>
      </c>
      <c r="B1342" s="242">
        <v>-0.3</v>
      </c>
      <c r="C1342" s="238">
        <v>4</v>
      </c>
    </row>
    <row r="1343" spans="1:3" x14ac:dyDescent="0.2">
      <c r="A1343" s="241">
        <v>38349</v>
      </c>
      <c r="B1343" s="242">
        <v>4.5</v>
      </c>
      <c r="C1343" s="238">
        <v>1.3</v>
      </c>
    </row>
    <row r="1344" spans="1:3" x14ac:dyDescent="0.2">
      <c r="A1344" s="241">
        <v>38350</v>
      </c>
      <c r="B1344" s="242">
        <v>6.3</v>
      </c>
      <c r="C1344" s="238">
        <v>4.8</v>
      </c>
    </row>
    <row r="1345" spans="1:5" x14ac:dyDescent="0.2">
      <c r="A1345" s="241">
        <v>38351</v>
      </c>
      <c r="B1345" s="242">
        <v>7.5</v>
      </c>
      <c r="C1345" s="238">
        <v>0</v>
      </c>
      <c r="D1345" s="238" t="s">
        <v>15</v>
      </c>
      <c r="E1345" s="238" t="s">
        <v>16</v>
      </c>
    </row>
    <row r="1346" spans="1:5" x14ac:dyDescent="0.2">
      <c r="A1346" s="241">
        <v>38352</v>
      </c>
      <c r="B1346" s="242">
        <v>8</v>
      </c>
      <c r="C1346" s="238">
        <v>0</v>
      </c>
      <c r="D1346" s="242">
        <f>AVERAGE(B981:B1346)</f>
        <v>10.540437158469945</v>
      </c>
      <c r="E1346" s="243">
        <f>SUM(C981:C1346)</f>
        <v>1745.3999999999994</v>
      </c>
    </row>
    <row r="1347" spans="1:5" x14ac:dyDescent="0.2">
      <c r="A1347" s="241">
        <v>38353</v>
      </c>
      <c r="B1347" s="242">
        <v>7.7</v>
      </c>
      <c r="C1347" s="238">
        <v>1.3</v>
      </c>
    </row>
    <row r="1348" spans="1:5" x14ac:dyDescent="0.2">
      <c r="A1348" s="241">
        <v>38354</v>
      </c>
      <c r="B1348" s="242">
        <v>6.6</v>
      </c>
      <c r="C1348" s="238">
        <v>2.8</v>
      </c>
    </row>
    <row r="1349" spans="1:5" x14ac:dyDescent="0.2">
      <c r="A1349" s="241">
        <v>38355</v>
      </c>
      <c r="B1349" s="242">
        <v>7.6</v>
      </c>
      <c r="C1349" s="238">
        <v>4.2</v>
      </c>
    </row>
    <row r="1350" spans="1:5" x14ac:dyDescent="0.2">
      <c r="A1350" s="241">
        <v>38356</v>
      </c>
      <c r="B1350" s="242">
        <v>8</v>
      </c>
      <c r="C1350" s="238">
        <v>0.7</v>
      </c>
    </row>
    <row r="1351" spans="1:5" x14ac:dyDescent="0.2">
      <c r="A1351" s="241">
        <v>38357</v>
      </c>
      <c r="B1351" s="242">
        <v>6.8</v>
      </c>
      <c r="C1351" s="238">
        <v>0</v>
      </c>
    </row>
    <row r="1352" spans="1:5" x14ac:dyDescent="0.2">
      <c r="A1352" s="241">
        <v>38358</v>
      </c>
      <c r="B1352" s="242">
        <v>7.7</v>
      </c>
      <c r="C1352" s="238">
        <v>4.7</v>
      </c>
    </row>
    <row r="1353" spans="1:5" x14ac:dyDescent="0.2">
      <c r="A1353" s="241">
        <v>38359</v>
      </c>
      <c r="B1353" s="242">
        <v>9.5</v>
      </c>
      <c r="C1353" s="238">
        <v>0</v>
      </c>
    </row>
    <row r="1354" spans="1:5" x14ac:dyDescent="0.2">
      <c r="A1354" s="241">
        <v>38360</v>
      </c>
      <c r="B1354" s="242">
        <v>8.9</v>
      </c>
      <c r="C1354" s="238">
        <v>3.2</v>
      </c>
    </row>
    <row r="1355" spans="1:5" x14ac:dyDescent="0.2">
      <c r="A1355" s="241">
        <v>38361</v>
      </c>
      <c r="B1355" s="242">
        <v>8.4</v>
      </c>
      <c r="C1355" s="238">
        <v>5.6</v>
      </c>
    </row>
    <row r="1356" spans="1:5" x14ac:dyDescent="0.2">
      <c r="A1356" s="241">
        <v>38362</v>
      </c>
      <c r="B1356" s="242">
        <v>10.199999999999999</v>
      </c>
      <c r="C1356" s="238">
        <v>3.5</v>
      </c>
    </row>
    <row r="1357" spans="1:5" x14ac:dyDescent="0.2">
      <c r="A1357" s="241">
        <v>38363</v>
      </c>
      <c r="B1357" s="242">
        <v>9.5</v>
      </c>
      <c r="C1357" s="238">
        <v>4.5</v>
      </c>
    </row>
    <row r="1358" spans="1:5" x14ac:dyDescent="0.2">
      <c r="A1358" s="241">
        <v>38364</v>
      </c>
      <c r="B1358" s="242">
        <v>8.1</v>
      </c>
      <c r="C1358" s="238">
        <v>5.7</v>
      </c>
    </row>
    <row r="1359" spans="1:5" x14ac:dyDescent="0.2">
      <c r="A1359" s="241">
        <v>38365</v>
      </c>
      <c r="B1359" s="242">
        <v>6.7</v>
      </c>
      <c r="C1359" s="238">
        <v>3.4</v>
      </c>
    </row>
    <row r="1360" spans="1:5" x14ac:dyDescent="0.2">
      <c r="A1360" s="241">
        <v>38366</v>
      </c>
      <c r="B1360" s="242">
        <v>5.5</v>
      </c>
      <c r="C1360" s="238">
        <v>4.5</v>
      </c>
    </row>
    <row r="1361" spans="1:3" x14ac:dyDescent="0.2">
      <c r="A1361" s="241">
        <v>38367</v>
      </c>
      <c r="B1361" s="242">
        <v>1.5</v>
      </c>
      <c r="C1361" s="238">
        <v>7</v>
      </c>
    </row>
    <row r="1362" spans="1:3" x14ac:dyDescent="0.2">
      <c r="A1362" s="241">
        <v>38368</v>
      </c>
      <c r="B1362" s="242">
        <v>3.1</v>
      </c>
      <c r="C1362" s="238">
        <v>6.3</v>
      </c>
    </row>
    <row r="1363" spans="1:3" x14ac:dyDescent="0.2">
      <c r="A1363" s="241">
        <v>38369</v>
      </c>
      <c r="B1363" s="242">
        <v>7.3</v>
      </c>
      <c r="C1363" s="238">
        <v>0</v>
      </c>
    </row>
    <row r="1364" spans="1:3" x14ac:dyDescent="0.2">
      <c r="A1364" s="241">
        <v>38370</v>
      </c>
      <c r="B1364" s="242">
        <v>5.6</v>
      </c>
      <c r="C1364" s="238">
        <v>1.8</v>
      </c>
    </row>
    <row r="1365" spans="1:3" x14ac:dyDescent="0.2">
      <c r="A1365" s="241">
        <v>38371</v>
      </c>
      <c r="B1365" s="242">
        <v>6.4</v>
      </c>
      <c r="C1365" s="238">
        <v>1.1000000000000001</v>
      </c>
    </row>
    <row r="1366" spans="1:3" x14ac:dyDescent="0.2">
      <c r="A1366" s="241">
        <v>38372</v>
      </c>
      <c r="B1366" s="242">
        <v>8.6999999999999993</v>
      </c>
      <c r="C1366" s="238">
        <v>0</v>
      </c>
    </row>
    <row r="1367" spans="1:3" x14ac:dyDescent="0.2">
      <c r="A1367" s="241">
        <v>38373</v>
      </c>
      <c r="B1367" s="242">
        <v>6.4</v>
      </c>
      <c r="C1367" s="238">
        <v>3.5</v>
      </c>
    </row>
    <row r="1368" spans="1:3" x14ac:dyDescent="0.2">
      <c r="A1368" s="241">
        <v>38374</v>
      </c>
      <c r="B1368" s="242">
        <v>5</v>
      </c>
      <c r="C1368" s="238">
        <v>3.9</v>
      </c>
    </row>
    <row r="1369" spans="1:3" x14ac:dyDescent="0.2">
      <c r="A1369" s="241">
        <v>38375</v>
      </c>
      <c r="B1369" s="242">
        <v>3.1</v>
      </c>
      <c r="C1369" s="238">
        <v>3</v>
      </c>
    </row>
    <row r="1370" spans="1:3" x14ac:dyDescent="0.2">
      <c r="A1370" s="241">
        <v>38376</v>
      </c>
      <c r="B1370" s="242">
        <v>0.6</v>
      </c>
      <c r="C1370" s="238">
        <v>5.4</v>
      </c>
    </row>
    <row r="1371" spans="1:3" x14ac:dyDescent="0.2">
      <c r="A1371" s="241">
        <v>38377</v>
      </c>
      <c r="B1371" s="242">
        <v>0.3</v>
      </c>
      <c r="C1371" s="238">
        <v>6.6</v>
      </c>
    </row>
    <row r="1372" spans="1:3" x14ac:dyDescent="0.2">
      <c r="A1372" s="241">
        <v>38378</v>
      </c>
      <c r="B1372" s="242">
        <v>-0.6</v>
      </c>
      <c r="C1372" s="238">
        <v>7</v>
      </c>
    </row>
    <row r="1373" spans="1:3" x14ac:dyDescent="0.2">
      <c r="A1373" s="241">
        <v>38379</v>
      </c>
      <c r="B1373" s="242">
        <v>3</v>
      </c>
      <c r="C1373" s="238">
        <v>0</v>
      </c>
    </row>
    <row r="1374" spans="1:3" x14ac:dyDescent="0.2">
      <c r="A1374" s="241">
        <v>38380</v>
      </c>
      <c r="B1374" s="242">
        <v>3.8</v>
      </c>
      <c r="C1374" s="238">
        <v>0.2</v>
      </c>
    </row>
    <row r="1375" spans="1:3" x14ac:dyDescent="0.2">
      <c r="A1375" s="241">
        <v>38381</v>
      </c>
      <c r="B1375" s="242">
        <v>2.6</v>
      </c>
      <c r="C1375" s="238">
        <v>1.2</v>
      </c>
    </row>
    <row r="1376" spans="1:3" x14ac:dyDescent="0.2">
      <c r="A1376" s="241">
        <v>38382</v>
      </c>
      <c r="B1376" s="242">
        <v>6.1</v>
      </c>
      <c r="C1376" s="238">
        <v>0.5</v>
      </c>
    </row>
    <row r="1377" spans="1:3" x14ac:dyDescent="0.2">
      <c r="A1377" s="241">
        <v>38383</v>
      </c>
      <c r="B1377" s="242">
        <v>6.4</v>
      </c>
      <c r="C1377" s="238">
        <v>0</v>
      </c>
    </row>
    <row r="1378" spans="1:3" x14ac:dyDescent="0.2">
      <c r="A1378" s="241">
        <v>38384</v>
      </c>
      <c r="B1378" s="242">
        <v>5.5</v>
      </c>
      <c r="C1378" s="238">
        <v>2.1</v>
      </c>
    </row>
    <row r="1379" spans="1:3" x14ac:dyDescent="0.2">
      <c r="A1379" s="241">
        <v>38385</v>
      </c>
      <c r="B1379" s="242">
        <v>6.3</v>
      </c>
      <c r="C1379" s="238">
        <v>1.5</v>
      </c>
    </row>
    <row r="1380" spans="1:3" x14ac:dyDescent="0.2">
      <c r="A1380" s="241">
        <v>38386</v>
      </c>
      <c r="B1380" s="242">
        <v>5.9</v>
      </c>
      <c r="C1380" s="238">
        <v>1.7</v>
      </c>
    </row>
    <row r="1381" spans="1:3" x14ac:dyDescent="0.2">
      <c r="A1381" s="241">
        <v>38387</v>
      </c>
      <c r="B1381" s="242">
        <v>5.4</v>
      </c>
      <c r="C1381" s="238">
        <v>2.2000000000000002</v>
      </c>
    </row>
    <row r="1382" spans="1:3" x14ac:dyDescent="0.2">
      <c r="A1382" s="241">
        <v>38388</v>
      </c>
      <c r="B1382" s="242">
        <v>3.1</v>
      </c>
      <c r="C1382" s="238">
        <v>6.2</v>
      </c>
    </row>
    <row r="1383" spans="1:3" x14ac:dyDescent="0.2">
      <c r="A1383" s="241">
        <v>38389</v>
      </c>
      <c r="B1383" s="242">
        <v>3.4</v>
      </c>
      <c r="C1383" s="238">
        <v>6.2</v>
      </c>
    </row>
    <row r="1384" spans="1:3" x14ac:dyDescent="0.2">
      <c r="A1384" s="241">
        <v>38390</v>
      </c>
      <c r="B1384" s="242">
        <v>-0.2</v>
      </c>
      <c r="C1384" s="238">
        <v>8</v>
      </c>
    </row>
    <row r="1385" spans="1:3" x14ac:dyDescent="0.2">
      <c r="A1385" s="241">
        <v>38391</v>
      </c>
      <c r="B1385" s="242">
        <v>1.3</v>
      </c>
      <c r="C1385" s="238">
        <v>8.3000000000000007</v>
      </c>
    </row>
    <row r="1386" spans="1:3" x14ac:dyDescent="0.2">
      <c r="A1386" s="241">
        <v>38392</v>
      </c>
      <c r="B1386" s="242">
        <v>6</v>
      </c>
      <c r="C1386" s="238">
        <v>0.9</v>
      </c>
    </row>
    <row r="1387" spans="1:3" x14ac:dyDescent="0.2">
      <c r="A1387" s="241">
        <v>38393</v>
      </c>
      <c r="B1387" s="242">
        <v>6.8</v>
      </c>
      <c r="C1387" s="238">
        <v>0</v>
      </c>
    </row>
    <row r="1388" spans="1:3" x14ac:dyDescent="0.2">
      <c r="A1388" s="241">
        <v>38394</v>
      </c>
      <c r="B1388" s="242">
        <v>5.9</v>
      </c>
      <c r="C1388" s="238">
        <v>5</v>
      </c>
    </row>
    <row r="1389" spans="1:3" x14ac:dyDescent="0.2">
      <c r="A1389" s="241">
        <v>38395</v>
      </c>
      <c r="B1389" s="242">
        <v>7</v>
      </c>
      <c r="C1389" s="238">
        <v>0.5</v>
      </c>
    </row>
    <row r="1390" spans="1:3" x14ac:dyDescent="0.2">
      <c r="A1390" s="241">
        <v>38396</v>
      </c>
      <c r="B1390" s="242">
        <v>4.5</v>
      </c>
      <c r="C1390" s="238">
        <v>2.8</v>
      </c>
    </row>
    <row r="1391" spans="1:3" x14ac:dyDescent="0.2">
      <c r="A1391" s="241">
        <v>38397</v>
      </c>
      <c r="B1391" s="242">
        <v>4</v>
      </c>
      <c r="C1391" s="238">
        <v>4.4000000000000004</v>
      </c>
    </row>
    <row r="1392" spans="1:3" x14ac:dyDescent="0.2">
      <c r="A1392" s="241">
        <v>38398</v>
      </c>
      <c r="B1392" s="242">
        <v>1.7</v>
      </c>
      <c r="C1392" s="238">
        <v>1.2</v>
      </c>
    </row>
    <row r="1393" spans="1:3" x14ac:dyDescent="0.2">
      <c r="A1393" s="241">
        <v>38399</v>
      </c>
      <c r="B1393" s="242">
        <v>0.4</v>
      </c>
      <c r="C1393" s="238">
        <v>0</v>
      </c>
    </row>
    <row r="1394" spans="1:3" x14ac:dyDescent="0.2">
      <c r="A1394" s="241">
        <v>38400</v>
      </c>
      <c r="B1394" s="242">
        <v>1.4</v>
      </c>
      <c r="C1394" s="238">
        <v>0</v>
      </c>
    </row>
    <row r="1395" spans="1:3" x14ac:dyDescent="0.2">
      <c r="A1395" s="241">
        <v>38401</v>
      </c>
      <c r="B1395" s="242">
        <v>3.6</v>
      </c>
      <c r="C1395" s="238">
        <v>0</v>
      </c>
    </row>
    <row r="1396" spans="1:3" x14ac:dyDescent="0.2">
      <c r="A1396" s="241">
        <v>38402</v>
      </c>
      <c r="B1396" s="242">
        <v>4.0999999999999996</v>
      </c>
      <c r="C1396" s="238">
        <v>5.9</v>
      </c>
    </row>
    <row r="1397" spans="1:3" x14ac:dyDescent="0.2">
      <c r="A1397" s="241">
        <v>38403</v>
      </c>
      <c r="B1397" s="242">
        <v>2.4</v>
      </c>
      <c r="C1397" s="238">
        <v>5.6</v>
      </c>
    </row>
    <row r="1398" spans="1:3" x14ac:dyDescent="0.2">
      <c r="A1398" s="241">
        <v>38404</v>
      </c>
      <c r="B1398" s="242">
        <v>1.4</v>
      </c>
      <c r="C1398" s="238">
        <v>1.8</v>
      </c>
    </row>
    <row r="1399" spans="1:3" x14ac:dyDescent="0.2">
      <c r="A1399" s="241">
        <v>38405</v>
      </c>
      <c r="B1399" s="242">
        <v>0.7</v>
      </c>
      <c r="C1399" s="238">
        <v>4.0999999999999996</v>
      </c>
    </row>
    <row r="1400" spans="1:3" x14ac:dyDescent="0.2">
      <c r="A1400" s="241">
        <v>38406</v>
      </c>
      <c r="B1400" s="242">
        <v>-0.2</v>
      </c>
      <c r="C1400" s="238">
        <v>0</v>
      </c>
    </row>
    <row r="1401" spans="1:3" x14ac:dyDescent="0.2">
      <c r="A1401" s="241">
        <v>38407</v>
      </c>
      <c r="B1401" s="242">
        <v>-0.2</v>
      </c>
      <c r="C1401" s="238">
        <v>2.2999999999999998</v>
      </c>
    </row>
    <row r="1402" spans="1:3" x14ac:dyDescent="0.2">
      <c r="A1402" s="241">
        <v>38408</v>
      </c>
      <c r="B1402" s="242">
        <v>0.7</v>
      </c>
      <c r="C1402" s="238">
        <v>2.1</v>
      </c>
    </row>
    <row r="1403" spans="1:3" x14ac:dyDescent="0.2">
      <c r="A1403" s="241">
        <v>38409</v>
      </c>
      <c r="B1403" s="242">
        <v>1</v>
      </c>
      <c r="C1403" s="238">
        <v>0.8</v>
      </c>
    </row>
    <row r="1404" spans="1:3" x14ac:dyDescent="0.2">
      <c r="A1404" s="241">
        <v>38410</v>
      </c>
      <c r="B1404" s="242">
        <v>-2.5</v>
      </c>
      <c r="C1404" s="238">
        <v>8.6999999999999993</v>
      </c>
    </row>
    <row r="1405" spans="1:3" x14ac:dyDescent="0.2">
      <c r="A1405" s="241">
        <v>38411</v>
      </c>
      <c r="B1405" s="242">
        <v>-2.9</v>
      </c>
      <c r="C1405" s="238">
        <v>9.6</v>
      </c>
    </row>
    <row r="1406" spans="1:3" x14ac:dyDescent="0.2">
      <c r="A1406" s="241">
        <v>38412</v>
      </c>
      <c r="B1406" s="242">
        <v>0.1</v>
      </c>
      <c r="C1406" s="238">
        <v>0</v>
      </c>
    </row>
    <row r="1407" spans="1:3" x14ac:dyDescent="0.2">
      <c r="A1407" s="241">
        <v>38413</v>
      </c>
      <c r="B1407" s="242">
        <v>-0.6</v>
      </c>
      <c r="C1407" s="238">
        <v>0</v>
      </c>
    </row>
    <row r="1408" spans="1:3" x14ac:dyDescent="0.2">
      <c r="A1408" s="241">
        <v>38414</v>
      </c>
      <c r="B1408" s="242">
        <v>-3.2</v>
      </c>
      <c r="C1408" s="238">
        <v>3.8</v>
      </c>
    </row>
    <row r="1409" spans="1:3" x14ac:dyDescent="0.2">
      <c r="A1409" s="241">
        <v>38415</v>
      </c>
      <c r="B1409" s="242">
        <v>-4.4000000000000004</v>
      </c>
      <c r="C1409" s="238">
        <v>0.6</v>
      </c>
    </row>
    <row r="1410" spans="1:3" x14ac:dyDescent="0.2">
      <c r="A1410" s="241">
        <v>38416</v>
      </c>
      <c r="B1410" s="242">
        <v>-1.7</v>
      </c>
      <c r="C1410" s="238">
        <v>4.5999999999999996</v>
      </c>
    </row>
    <row r="1411" spans="1:3" x14ac:dyDescent="0.2">
      <c r="A1411" s="241">
        <v>38417</v>
      </c>
      <c r="B1411" s="242">
        <v>-0.2</v>
      </c>
      <c r="C1411" s="238">
        <v>5.5</v>
      </c>
    </row>
    <row r="1412" spans="1:3" x14ac:dyDescent="0.2">
      <c r="A1412" s="241">
        <v>38418</v>
      </c>
      <c r="B1412" s="242">
        <v>4</v>
      </c>
      <c r="C1412" s="238">
        <v>2.5</v>
      </c>
    </row>
    <row r="1413" spans="1:3" x14ac:dyDescent="0.2">
      <c r="A1413" s="241">
        <v>38419</v>
      </c>
      <c r="B1413" s="242">
        <v>4.4000000000000004</v>
      </c>
      <c r="C1413" s="238">
        <v>1.3</v>
      </c>
    </row>
    <row r="1414" spans="1:3" x14ac:dyDescent="0.2">
      <c r="A1414" s="241">
        <v>38420</v>
      </c>
      <c r="B1414" s="242">
        <v>4.0999999999999996</v>
      </c>
      <c r="C1414" s="238">
        <v>4.3</v>
      </c>
    </row>
    <row r="1415" spans="1:3" x14ac:dyDescent="0.2">
      <c r="A1415" s="241">
        <v>38421</v>
      </c>
      <c r="B1415" s="242">
        <v>3.4</v>
      </c>
      <c r="C1415" s="238">
        <v>2.7</v>
      </c>
    </row>
    <row r="1416" spans="1:3" x14ac:dyDescent="0.2">
      <c r="A1416" s="241">
        <v>38422</v>
      </c>
      <c r="B1416" s="242">
        <v>4.5</v>
      </c>
      <c r="C1416" s="238">
        <v>0</v>
      </c>
    </row>
    <row r="1417" spans="1:3" x14ac:dyDescent="0.2">
      <c r="A1417" s="241">
        <v>38423</v>
      </c>
      <c r="B1417" s="242">
        <v>3.7</v>
      </c>
      <c r="C1417" s="238">
        <v>4</v>
      </c>
    </row>
    <row r="1418" spans="1:3" x14ac:dyDescent="0.2">
      <c r="A1418" s="241">
        <v>38424</v>
      </c>
      <c r="B1418" s="242">
        <v>4.0999999999999996</v>
      </c>
      <c r="C1418" s="238">
        <v>4.3</v>
      </c>
    </row>
    <row r="1419" spans="1:3" x14ac:dyDescent="0.2">
      <c r="A1419" s="241">
        <v>38425</v>
      </c>
      <c r="B1419" s="242">
        <v>4.3</v>
      </c>
      <c r="C1419" s="238">
        <v>3.6</v>
      </c>
    </row>
    <row r="1420" spans="1:3" x14ac:dyDescent="0.2">
      <c r="A1420" s="241">
        <v>38426</v>
      </c>
      <c r="B1420" s="242">
        <v>7</v>
      </c>
      <c r="C1420" s="238">
        <v>2.2999999999999998</v>
      </c>
    </row>
    <row r="1421" spans="1:3" x14ac:dyDescent="0.2">
      <c r="A1421" s="241">
        <v>38427</v>
      </c>
      <c r="B1421" s="242">
        <v>9.9</v>
      </c>
      <c r="C1421" s="238">
        <v>7.7</v>
      </c>
    </row>
    <row r="1422" spans="1:3" x14ac:dyDescent="0.2">
      <c r="A1422" s="241">
        <v>38428</v>
      </c>
      <c r="B1422" s="242">
        <v>7</v>
      </c>
      <c r="C1422" s="238">
        <v>0.5</v>
      </c>
    </row>
    <row r="1423" spans="1:3" x14ac:dyDescent="0.2">
      <c r="A1423" s="241">
        <v>38429</v>
      </c>
      <c r="B1423" s="242">
        <v>6.4</v>
      </c>
      <c r="C1423" s="238">
        <v>1.2</v>
      </c>
    </row>
    <row r="1424" spans="1:3" x14ac:dyDescent="0.2">
      <c r="A1424" s="241">
        <v>38430</v>
      </c>
      <c r="B1424" s="242">
        <v>8</v>
      </c>
      <c r="C1424" s="238">
        <v>0.1</v>
      </c>
    </row>
    <row r="1425" spans="1:3" x14ac:dyDescent="0.2">
      <c r="A1425" s="241">
        <v>38431</v>
      </c>
      <c r="B1425" s="242">
        <v>6.6</v>
      </c>
      <c r="C1425" s="238">
        <v>9.1999999999999993</v>
      </c>
    </row>
    <row r="1426" spans="1:3" x14ac:dyDescent="0.2">
      <c r="A1426" s="241">
        <v>38432</v>
      </c>
      <c r="B1426" s="242">
        <v>9.6</v>
      </c>
      <c r="C1426" s="238">
        <v>11.1</v>
      </c>
    </row>
    <row r="1427" spans="1:3" x14ac:dyDescent="0.2">
      <c r="A1427" s="241">
        <v>38433</v>
      </c>
      <c r="B1427" s="242">
        <v>11.4</v>
      </c>
      <c r="C1427" s="238">
        <v>4.3</v>
      </c>
    </row>
    <row r="1428" spans="1:3" x14ac:dyDescent="0.2">
      <c r="A1428" s="241">
        <v>38434</v>
      </c>
      <c r="B1428" s="242">
        <v>10</v>
      </c>
      <c r="C1428" s="238">
        <v>10.7</v>
      </c>
    </row>
    <row r="1429" spans="1:3" x14ac:dyDescent="0.2">
      <c r="A1429" s="241">
        <v>38435</v>
      </c>
      <c r="B1429" s="242">
        <v>10.9</v>
      </c>
      <c r="C1429" s="238">
        <v>5.6</v>
      </c>
    </row>
    <row r="1430" spans="1:3" x14ac:dyDescent="0.2">
      <c r="A1430" s="241">
        <v>38436</v>
      </c>
      <c r="B1430" s="242">
        <v>7.1</v>
      </c>
      <c r="C1430" s="238">
        <v>2.2000000000000002</v>
      </c>
    </row>
    <row r="1431" spans="1:3" x14ac:dyDescent="0.2">
      <c r="A1431" s="241">
        <v>38437</v>
      </c>
      <c r="B1431" s="242">
        <v>9.4</v>
      </c>
      <c r="C1431" s="238">
        <v>2</v>
      </c>
    </row>
    <row r="1432" spans="1:3" x14ac:dyDescent="0.2">
      <c r="A1432" s="241">
        <v>38438</v>
      </c>
      <c r="B1432" s="242">
        <v>10.7</v>
      </c>
      <c r="C1432" s="238">
        <v>4.2</v>
      </c>
    </row>
    <row r="1433" spans="1:3" x14ac:dyDescent="0.2">
      <c r="A1433" s="241">
        <v>38439</v>
      </c>
      <c r="B1433" s="242">
        <v>8.1999999999999993</v>
      </c>
      <c r="C1433" s="238">
        <v>0</v>
      </c>
    </row>
    <row r="1434" spans="1:3" x14ac:dyDescent="0.2">
      <c r="A1434" s="241">
        <v>38440</v>
      </c>
      <c r="B1434" s="242">
        <v>8.6</v>
      </c>
      <c r="C1434" s="238">
        <v>0.7</v>
      </c>
    </row>
    <row r="1435" spans="1:3" x14ac:dyDescent="0.2">
      <c r="A1435" s="241">
        <v>38441</v>
      </c>
      <c r="B1435" s="242">
        <v>10.6</v>
      </c>
      <c r="C1435" s="238">
        <v>5.6</v>
      </c>
    </row>
    <row r="1436" spans="1:3" x14ac:dyDescent="0.2">
      <c r="A1436" s="241">
        <v>38442</v>
      </c>
      <c r="B1436" s="242">
        <v>10</v>
      </c>
      <c r="C1436" s="238">
        <v>9.1</v>
      </c>
    </row>
    <row r="1437" spans="1:3" x14ac:dyDescent="0.2">
      <c r="A1437" s="241">
        <v>38443</v>
      </c>
      <c r="B1437" s="242">
        <v>10.7</v>
      </c>
      <c r="C1437" s="238">
        <v>10.3</v>
      </c>
    </row>
    <row r="1438" spans="1:3" x14ac:dyDescent="0.2">
      <c r="A1438" s="241">
        <v>38444</v>
      </c>
      <c r="B1438" s="242">
        <v>10.9</v>
      </c>
      <c r="C1438" s="238">
        <v>12</v>
      </c>
    </row>
    <row r="1439" spans="1:3" x14ac:dyDescent="0.2">
      <c r="A1439" s="241">
        <v>38445</v>
      </c>
      <c r="B1439" s="242">
        <v>13.9</v>
      </c>
      <c r="C1439" s="238">
        <v>11.2</v>
      </c>
    </row>
    <row r="1440" spans="1:3" x14ac:dyDescent="0.2">
      <c r="A1440" s="241">
        <v>38446</v>
      </c>
      <c r="B1440" s="242">
        <v>11.1</v>
      </c>
      <c r="C1440" s="238">
        <v>6.5</v>
      </c>
    </row>
    <row r="1441" spans="1:3" x14ac:dyDescent="0.2">
      <c r="A1441" s="241">
        <v>38447</v>
      </c>
      <c r="B1441" s="242">
        <v>7.6</v>
      </c>
      <c r="C1441" s="238">
        <v>8.8000000000000007</v>
      </c>
    </row>
    <row r="1442" spans="1:3" x14ac:dyDescent="0.2">
      <c r="A1442" s="241">
        <v>38448</v>
      </c>
      <c r="B1442" s="242">
        <v>8.6</v>
      </c>
      <c r="C1442" s="238">
        <v>0</v>
      </c>
    </row>
    <row r="1443" spans="1:3" x14ac:dyDescent="0.2">
      <c r="A1443" s="241">
        <v>38449</v>
      </c>
      <c r="B1443" s="242">
        <v>8</v>
      </c>
      <c r="C1443" s="238">
        <v>8.4</v>
      </c>
    </row>
    <row r="1444" spans="1:3" x14ac:dyDescent="0.2">
      <c r="A1444" s="241">
        <v>38450</v>
      </c>
      <c r="B1444" s="242">
        <v>5.7</v>
      </c>
      <c r="C1444" s="238">
        <v>3</v>
      </c>
    </row>
    <row r="1445" spans="1:3" x14ac:dyDescent="0.2">
      <c r="A1445" s="241">
        <v>38451</v>
      </c>
      <c r="B1445" s="242">
        <v>5</v>
      </c>
      <c r="C1445" s="238">
        <v>3.7</v>
      </c>
    </row>
    <row r="1446" spans="1:3" x14ac:dyDescent="0.2">
      <c r="A1446" s="241">
        <v>38452</v>
      </c>
      <c r="B1446" s="242">
        <v>7.6</v>
      </c>
      <c r="C1446" s="238">
        <v>5.5</v>
      </c>
    </row>
    <row r="1447" spans="1:3" x14ac:dyDescent="0.2">
      <c r="A1447" s="241">
        <v>38453</v>
      </c>
      <c r="B1447" s="242">
        <v>7.9</v>
      </c>
      <c r="C1447" s="238">
        <v>12.5</v>
      </c>
    </row>
    <row r="1448" spans="1:3" x14ac:dyDescent="0.2">
      <c r="A1448" s="241">
        <v>38454</v>
      </c>
      <c r="B1448" s="242">
        <v>9.1999999999999993</v>
      </c>
      <c r="C1448" s="238">
        <v>6.8</v>
      </c>
    </row>
    <row r="1449" spans="1:3" x14ac:dyDescent="0.2">
      <c r="A1449" s="241">
        <v>38455</v>
      </c>
      <c r="B1449" s="242">
        <v>8.6</v>
      </c>
      <c r="C1449" s="238">
        <v>0</v>
      </c>
    </row>
    <row r="1450" spans="1:3" x14ac:dyDescent="0.2">
      <c r="A1450" s="241">
        <v>38456</v>
      </c>
      <c r="B1450" s="242">
        <v>11</v>
      </c>
      <c r="C1450" s="238">
        <v>0.3</v>
      </c>
    </row>
    <row r="1451" spans="1:3" x14ac:dyDescent="0.2">
      <c r="A1451" s="241">
        <v>38457</v>
      </c>
      <c r="B1451" s="242">
        <v>9.8000000000000007</v>
      </c>
      <c r="C1451" s="238">
        <v>3.5</v>
      </c>
    </row>
    <row r="1452" spans="1:3" x14ac:dyDescent="0.2">
      <c r="A1452" s="241">
        <v>38458</v>
      </c>
      <c r="B1452" s="242">
        <v>7</v>
      </c>
      <c r="C1452" s="238">
        <v>0</v>
      </c>
    </row>
    <row r="1453" spans="1:3" x14ac:dyDescent="0.2">
      <c r="A1453" s="241">
        <v>38459</v>
      </c>
      <c r="B1453" s="242">
        <v>10</v>
      </c>
      <c r="C1453" s="238">
        <v>8.5</v>
      </c>
    </row>
    <row r="1454" spans="1:3" x14ac:dyDescent="0.2">
      <c r="A1454" s="241">
        <v>38460</v>
      </c>
      <c r="B1454" s="242">
        <v>9.5</v>
      </c>
      <c r="C1454" s="238">
        <v>3.8</v>
      </c>
    </row>
    <row r="1455" spans="1:3" x14ac:dyDescent="0.2">
      <c r="A1455" s="241">
        <v>38461</v>
      </c>
      <c r="B1455" s="242">
        <v>8.1</v>
      </c>
      <c r="C1455" s="238">
        <v>1.1000000000000001</v>
      </c>
    </row>
    <row r="1456" spans="1:3" x14ac:dyDescent="0.2">
      <c r="A1456" s="241">
        <v>38462</v>
      </c>
      <c r="B1456" s="242">
        <v>8.1999999999999993</v>
      </c>
      <c r="C1456" s="238">
        <v>5.0999999999999996</v>
      </c>
    </row>
    <row r="1457" spans="1:3" x14ac:dyDescent="0.2">
      <c r="A1457" s="241">
        <v>38463</v>
      </c>
      <c r="B1457" s="242">
        <v>6.7</v>
      </c>
      <c r="C1457" s="238">
        <v>13.2</v>
      </c>
    </row>
    <row r="1458" spans="1:3" x14ac:dyDescent="0.2">
      <c r="A1458" s="241">
        <v>38464</v>
      </c>
      <c r="B1458" s="242">
        <v>7</v>
      </c>
      <c r="C1458" s="238">
        <v>12.3</v>
      </c>
    </row>
    <row r="1459" spans="1:3" x14ac:dyDescent="0.2">
      <c r="A1459" s="241">
        <v>38465</v>
      </c>
      <c r="B1459" s="242">
        <v>10.9</v>
      </c>
      <c r="C1459" s="238">
        <v>13</v>
      </c>
    </row>
    <row r="1460" spans="1:3" x14ac:dyDescent="0.2">
      <c r="A1460" s="241">
        <v>38466</v>
      </c>
      <c r="B1460" s="242">
        <v>12.4</v>
      </c>
      <c r="C1460" s="238">
        <v>12</v>
      </c>
    </row>
    <row r="1461" spans="1:3" x14ac:dyDescent="0.2">
      <c r="A1461" s="241">
        <v>38467</v>
      </c>
      <c r="B1461" s="242">
        <v>12.2</v>
      </c>
      <c r="C1461" s="238">
        <v>10.5</v>
      </c>
    </row>
    <row r="1462" spans="1:3" x14ac:dyDescent="0.2">
      <c r="A1462" s="241">
        <v>38468</v>
      </c>
      <c r="B1462" s="242">
        <v>10.1</v>
      </c>
      <c r="C1462" s="238">
        <v>2.2999999999999998</v>
      </c>
    </row>
    <row r="1463" spans="1:3" x14ac:dyDescent="0.2">
      <c r="A1463" s="241">
        <v>38469</v>
      </c>
      <c r="B1463" s="242">
        <v>10</v>
      </c>
      <c r="C1463" s="238">
        <v>11.3</v>
      </c>
    </row>
    <row r="1464" spans="1:3" x14ac:dyDescent="0.2">
      <c r="A1464" s="241">
        <v>38470</v>
      </c>
      <c r="B1464" s="242">
        <v>13.6</v>
      </c>
      <c r="C1464" s="238">
        <v>2</v>
      </c>
    </row>
    <row r="1465" spans="1:3" x14ac:dyDescent="0.2">
      <c r="A1465" s="241">
        <v>38471</v>
      </c>
      <c r="B1465" s="242">
        <v>9.6</v>
      </c>
      <c r="C1465" s="238">
        <v>6.4</v>
      </c>
    </row>
    <row r="1466" spans="1:3" x14ac:dyDescent="0.2">
      <c r="A1466" s="241">
        <v>38472</v>
      </c>
      <c r="B1466" s="242">
        <v>13.7</v>
      </c>
      <c r="C1466" s="238">
        <v>2.9</v>
      </c>
    </row>
    <row r="1467" spans="1:3" x14ac:dyDescent="0.2">
      <c r="A1467" s="241">
        <v>38473</v>
      </c>
      <c r="B1467" s="242">
        <v>17.899999999999999</v>
      </c>
      <c r="C1467" s="238">
        <v>7.8</v>
      </c>
    </row>
    <row r="1468" spans="1:3" x14ac:dyDescent="0.2">
      <c r="A1468" s="241">
        <v>38474</v>
      </c>
      <c r="B1468" s="242">
        <v>12.1</v>
      </c>
      <c r="C1468" s="238">
        <v>5.4</v>
      </c>
    </row>
    <row r="1469" spans="1:3" x14ac:dyDescent="0.2">
      <c r="A1469" s="241">
        <v>38475</v>
      </c>
      <c r="B1469" s="242">
        <v>11.8</v>
      </c>
      <c r="C1469" s="238">
        <v>3.6</v>
      </c>
    </row>
    <row r="1470" spans="1:3" x14ac:dyDescent="0.2">
      <c r="A1470" s="241">
        <v>38476</v>
      </c>
      <c r="B1470" s="242">
        <v>9.4</v>
      </c>
      <c r="C1470" s="238">
        <v>0</v>
      </c>
    </row>
    <row r="1471" spans="1:3" x14ac:dyDescent="0.2">
      <c r="A1471" s="241">
        <v>38477</v>
      </c>
      <c r="B1471" s="242">
        <v>9.3000000000000007</v>
      </c>
      <c r="C1471" s="238">
        <v>3.9</v>
      </c>
    </row>
    <row r="1472" spans="1:3" x14ac:dyDescent="0.2">
      <c r="A1472" s="241">
        <v>38478</v>
      </c>
      <c r="B1472" s="242">
        <v>9.9</v>
      </c>
      <c r="C1472" s="238">
        <v>9</v>
      </c>
    </row>
    <row r="1473" spans="1:3" x14ac:dyDescent="0.2">
      <c r="A1473" s="241">
        <v>38479</v>
      </c>
      <c r="B1473" s="242">
        <v>8.5</v>
      </c>
      <c r="C1473" s="238">
        <v>6.5</v>
      </c>
    </row>
    <row r="1474" spans="1:3" x14ac:dyDescent="0.2">
      <c r="A1474" s="241">
        <v>38480</v>
      </c>
      <c r="B1474" s="242">
        <v>8.6999999999999993</v>
      </c>
      <c r="C1474" s="238">
        <v>10.1</v>
      </c>
    </row>
    <row r="1475" spans="1:3" x14ac:dyDescent="0.2">
      <c r="A1475" s="241">
        <v>38481</v>
      </c>
      <c r="B1475" s="242">
        <v>8.3000000000000007</v>
      </c>
      <c r="C1475" s="238">
        <v>10.5</v>
      </c>
    </row>
    <row r="1476" spans="1:3" x14ac:dyDescent="0.2">
      <c r="A1476" s="241">
        <v>38482</v>
      </c>
      <c r="B1476" s="242">
        <v>8.6999999999999993</v>
      </c>
      <c r="C1476" s="238">
        <v>9.8000000000000007</v>
      </c>
    </row>
    <row r="1477" spans="1:3" x14ac:dyDescent="0.2">
      <c r="A1477" s="241">
        <v>38483</v>
      </c>
      <c r="B1477" s="242">
        <v>8.1999999999999993</v>
      </c>
      <c r="C1477" s="238">
        <v>9.6999999999999993</v>
      </c>
    </row>
    <row r="1478" spans="1:3" x14ac:dyDescent="0.2">
      <c r="A1478" s="241">
        <v>38484</v>
      </c>
      <c r="B1478" s="242">
        <v>9</v>
      </c>
      <c r="C1478" s="238">
        <v>13.1</v>
      </c>
    </row>
    <row r="1479" spans="1:3" x14ac:dyDescent="0.2">
      <c r="A1479" s="241">
        <v>38485</v>
      </c>
      <c r="B1479" s="242">
        <v>10.8</v>
      </c>
      <c r="C1479" s="238">
        <v>12.6</v>
      </c>
    </row>
    <row r="1480" spans="1:3" x14ac:dyDescent="0.2">
      <c r="A1480" s="241">
        <v>38486</v>
      </c>
      <c r="B1480" s="242">
        <v>10.199999999999999</v>
      </c>
      <c r="C1480" s="238">
        <v>12.7</v>
      </c>
    </row>
    <row r="1481" spans="1:3" x14ac:dyDescent="0.2">
      <c r="A1481" s="241">
        <v>38487</v>
      </c>
      <c r="B1481" s="242">
        <v>9.1999999999999993</v>
      </c>
      <c r="C1481" s="238">
        <v>7.2</v>
      </c>
    </row>
    <row r="1482" spans="1:3" x14ac:dyDescent="0.2">
      <c r="A1482" s="241">
        <v>38488</v>
      </c>
      <c r="B1482" s="242">
        <v>8.8000000000000007</v>
      </c>
      <c r="C1482" s="238">
        <v>0</v>
      </c>
    </row>
    <row r="1483" spans="1:3" x14ac:dyDescent="0.2">
      <c r="A1483" s="241">
        <v>38489</v>
      </c>
      <c r="B1483" s="242">
        <v>7.3</v>
      </c>
      <c r="C1483" s="238">
        <v>12.2</v>
      </c>
    </row>
    <row r="1484" spans="1:3" x14ac:dyDescent="0.2">
      <c r="A1484" s="241">
        <v>38490</v>
      </c>
      <c r="B1484" s="242">
        <v>9.1</v>
      </c>
      <c r="C1484" s="238">
        <v>14.6</v>
      </c>
    </row>
    <row r="1485" spans="1:3" x14ac:dyDescent="0.2">
      <c r="A1485" s="241">
        <v>38491</v>
      </c>
      <c r="B1485" s="242">
        <v>13.5</v>
      </c>
      <c r="C1485" s="238">
        <v>2.2000000000000002</v>
      </c>
    </row>
    <row r="1486" spans="1:3" x14ac:dyDescent="0.2">
      <c r="A1486" s="241">
        <v>38492</v>
      </c>
      <c r="B1486" s="242">
        <v>14.5</v>
      </c>
      <c r="C1486" s="238">
        <v>1.4</v>
      </c>
    </row>
    <row r="1487" spans="1:3" x14ac:dyDescent="0.2">
      <c r="A1487" s="241">
        <v>38493</v>
      </c>
      <c r="B1487" s="242">
        <v>13.7</v>
      </c>
      <c r="C1487" s="238">
        <v>8.3000000000000007</v>
      </c>
    </row>
    <row r="1488" spans="1:3" x14ac:dyDescent="0.2">
      <c r="A1488" s="241">
        <v>38494</v>
      </c>
      <c r="B1488" s="242">
        <v>13.6</v>
      </c>
      <c r="C1488" s="238">
        <v>9.1</v>
      </c>
    </row>
    <row r="1489" spans="1:3" x14ac:dyDescent="0.2">
      <c r="A1489" s="241">
        <v>38495</v>
      </c>
      <c r="B1489" s="242">
        <v>12.5</v>
      </c>
      <c r="C1489" s="238">
        <v>11.3</v>
      </c>
    </row>
    <row r="1490" spans="1:3" x14ac:dyDescent="0.2">
      <c r="A1490" s="241">
        <v>38496</v>
      </c>
      <c r="B1490" s="242">
        <v>12.9</v>
      </c>
      <c r="C1490" s="238">
        <v>2.8</v>
      </c>
    </row>
    <row r="1491" spans="1:3" x14ac:dyDescent="0.2">
      <c r="A1491" s="241">
        <v>38497</v>
      </c>
      <c r="B1491" s="242">
        <v>15.5</v>
      </c>
      <c r="C1491" s="238">
        <v>6.6</v>
      </c>
    </row>
    <row r="1492" spans="1:3" x14ac:dyDescent="0.2">
      <c r="A1492" s="241">
        <v>38498</v>
      </c>
      <c r="B1492" s="242">
        <v>18.2</v>
      </c>
      <c r="C1492" s="238">
        <v>8.9</v>
      </c>
    </row>
    <row r="1493" spans="1:3" x14ac:dyDescent="0.2">
      <c r="A1493" s="241">
        <v>38499</v>
      </c>
      <c r="B1493" s="242">
        <v>22.5</v>
      </c>
      <c r="C1493" s="238">
        <v>13.7</v>
      </c>
    </row>
    <row r="1494" spans="1:3" x14ac:dyDescent="0.2">
      <c r="A1494" s="241">
        <v>38500</v>
      </c>
      <c r="B1494" s="242">
        <v>16.899999999999999</v>
      </c>
      <c r="C1494" s="238">
        <v>13.1</v>
      </c>
    </row>
    <row r="1495" spans="1:3" x14ac:dyDescent="0.2">
      <c r="A1495" s="241">
        <v>38501</v>
      </c>
      <c r="B1495" s="242">
        <v>12.2</v>
      </c>
      <c r="C1495" s="238">
        <v>5.7</v>
      </c>
    </row>
    <row r="1496" spans="1:3" x14ac:dyDescent="0.2">
      <c r="A1496" s="241">
        <v>38502</v>
      </c>
      <c r="B1496" s="242">
        <v>10.4</v>
      </c>
      <c r="C1496" s="238">
        <v>1</v>
      </c>
    </row>
    <row r="1497" spans="1:3" x14ac:dyDescent="0.2">
      <c r="A1497" s="241">
        <v>38503</v>
      </c>
      <c r="B1497" s="242">
        <v>11.3</v>
      </c>
      <c r="C1497" s="238">
        <v>10.9</v>
      </c>
    </row>
    <row r="1498" spans="1:3" x14ac:dyDescent="0.2">
      <c r="A1498" s="241">
        <v>38504</v>
      </c>
      <c r="B1498" s="242">
        <v>12.1</v>
      </c>
      <c r="C1498" s="238">
        <v>10.3</v>
      </c>
    </row>
    <row r="1499" spans="1:3" x14ac:dyDescent="0.2">
      <c r="A1499" s="241">
        <v>38505</v>
      </c>
      <c r="B1499" s="242">
        <v>14</v>
      </c>
      <c r="C1499" s="238">
        <v>1.6</v>
      </c>
    </row>
    <row r="1500" spans="1:3" x14ac:dyDescent="0.2">
      <c r="A1500" s="241">
        <v>38506</v>
      </c>
      <c r="B1500" s="242">
        <v>15.2</v>
      </c>
      <c r="C1500" s="238">
        <v>3.4</v>
      </c>
    </row>
    <row r="1501" spans="1:3" x14ac:dyDescent="0.2">
      <c r="A1501" s="241">
        <v>38507</v>
      </c>
      <c r="B1501" s="242">
        <v>13.5</v>
      </c>
      <c r="C1501" s="238">
        <v>2.7</v>
      </c>
    </row>
    <row r="1502" spans="1:3" x14ac:dyDescent="0.2">
      <c r="A1502" s="241">
        <v>38508</v>
      </c>
      <c r="B1502" s="242">
        <v>13.2</v>
      </c>
      <c r="C1502" s="238">
        <v>1.1000000000000001</v>
      </c>
    </row>
    <row r="1503" spans="1:3" x14ac:dyDescent="0.2">
      <c r="A1503" s="241">
        <v>38509</v>
      </c>
      <c r="B1503" s="242">
        <v>11.3</v>
      </c>
      <c r="C1503" s="238">
        <v>6.1</v>
      </c>
    </row>
    <row r="1504" spans="1:3" x14ac:dyDescent="0.2">
      <c r="A1504" s="241">
        <v>38510</v>
      </c>
      <c r="B1504" s="242">
        <v>10.3</v>
      </c>
      <c r="C1504" s="238">
        <v>5.0999999999999996</v>
      </c>
    </row>
    <row r="1505" spans="1:3" x14ac:dyDescent="0.2">
      <c r="A1505" s="241">
        <v>38511</v>
      </c>
      <c r="B1505" s="242">
        <v>10.199999999999999</v>
      </c>
      <c r="C1505" s="238">
        <v>14.3</v>
      </c>
    </row>
    <row r="1506" spans="1:3" x14ac:dyDescent="0.2">
      <c r="A1506" s="241">
        <v>38512</v>
      </c>
      <c r="B1506" s="242">
        <v>10.7</v>
      </c>
      <c r="C1506" s="238">
        <v>14.4</v>
      </c>
    </row>
    <row r="1507" spans="1:3" x14ac:dyDescent="0.2">
      <c r="A1507" s="241">
        <v>38513</v>
      </c>
      <c r="B1507" s="242">
        <v>11.2</v>
      </c>
      <c r="C1507" s="238">
        <v>4.5</v>
      </c>
    </row>
    <row r="1508" spans="1:3" x14ac:dyDescent="0.2">
      <c r="A1508" s="241">
        <v>38514</v>
      </c>
      <c r="B1508" s="242">
        <v>11</v>
      </c>
      <c r="C1508" s="238">
        <v>5.9</v>
      </c>
    </row>
    <row r="1509" spans="1:3" x14ac:dyDescent="0.2">
      <c r="A1509" s="241">
        <v>38515</v>
      </c>
      <c r="B1509" s="242">
        <v>11.6</v>
      </c>
      <c r="C1509" s="238">
        <v>1</v>
      </c>
    </row>
    <row r="1510" spans="1:3" x14ac:dyDescent="0.2">
      <c r="A1510" s="241">
        <v>38516</v>
      </c>
      <c r="B1510" s="242">
        <v>12.7</v>
      </c>
      <c r="C1510" s="238">
        <v>8.1999999999999993</v>
      </c>
    </row>
    <row r="1511" spans="1:3" x14ac:dyDescent="0.2">
      <c r="A1511" s="241">
        <v>38517</v>
      </c>
      <c r="B1511" s="242">
        <v>13.8</v>
      </c>
      <c r="C1511" s="238">
        <v>12.8</v>
      </c>
    </row>
    <row r="1512" spans="1:3" x14ac:dyDescent="0.2">
      <c r="A1512" s="241">
        <v>38518</v>
      </c>
      <c r="B1512" s="242">
        <v>16.2</v>
      </c>
      <c r="C1512" s="238">
        <v>7.4</v>
      </c>
    </row>
    <row r="1513" spans="1:3" x14ac:dyDescent="0.2">
      <c r="A1513" s="241">
        <v>38519</v>
      </c>
      <c r="B1513" s="242">
        <v>15.6</v>
      </c>
      <c r="C1513" s="238">
        <v>1.9</v>
      </c>
    </row>
    <row r="1514" spans="1:3" x14ac:dyDescent="0.2">
      <c r="A1514" s="241">
        <v>38520</v>
      </c>
      <c r="B1514" s="242">
        <v>15.9</v>
      </c>
      <c r="C1514" s="238">
        <v>1.2</v>
      </c>
    </row>
    <row r="1515" spans="1:3" x14ac:dyDescent="0.2">
      <c r="A1515" s="241">
        <v>38521</v>
      </c>
      <c r="B1515" s="242">
        <v>18.7</v>
      </c>
      <c r="C1515" s="238">
        <v>10.9</v>
      </c>
    </row>
    <row r="1516" spans="1:3" x14ac:dyDescent="0.2">
      <c r="A1516" s="241">
        <v>38522</v>
      </c>
      <c r="B1516" s="242">
        <v>22.6</v>
      </c>
      <c r="C1516" s="238">
        <v>15.5</v>
      </c>
    </row>
    <row r="1517" spans="1:3" x14ac:dyDescent="0.2">
      <c r="A1517" s="241">
        <v>38523</v>
      </c>
      <c r="B1517" s="242">
        <v>23.2</v>
      </c>
      <c r="C1517" s="238">
        <v>11.1</v>
      </c>
    </row>
    <row r="1518" spans="1:3" x14ac:dyDescent="0.2">
      <c r="A1518" s="241">
        <v>38524</v>
      </c>
      <c r="B1518" s="242">
        <v>15.8</v>
      </c>
      <c r="C1518" s="238">
        <v>6.5</v>
      </c>
    </row>
    <row r="1519" spans="1:3" x14ac:dyDescent="0.2">
      <c r="A1519" s="241">
        <v>38525</v>
      </c>
      <c r="B1519" s="242">
        <v>17.100000000000001</v>
      </c>
      <c r="C1519" s="238">
        <v>13.5</v>
      </c>
    </row>
    <row r="1520" spans="1:3" x14ac:dyDescent="0.2">
      <c r="A1520" s="241">
        <v>38526</v>
      </c>
      <c r="B1520" s="242">
        <v>22.9</v>
      </c>
      <c r="C1520" s="238">
        <v>12.2</v>
      </c>
    </row>
    <row r="1521" spans="1:3" x14ac:dyDescent="0.2">
      <c r="A1521" s="241">
        <v>38527</v>
      </c>
      <c r="B1521" s="242">
        <v>22</v>
      </c>
      <c r="C1521" s="238">
        <v>14</v>
      </c>
    </row>
    <row r="1522" spans="1:3" x14ac:dyDescent="0.2">
      <c r="A1522" s="241">
        <v>38528</v>
      </c>
      <c r="B1522" s="242">
        <v>16.899999999999999</v>
      </c>
      <c r="C1522" s="238">
        <v>4.7</v>
      </c>
    </row>
    <row r="1523" spans="1:3" x14ac:dyDescent="0.2">
      <c r="A1523" s="241">
        <v>38529</v>
      </c>
      <c r="B1523" s="242">
        <v>15.8</v>
      </c>
      <c r="C1523" s="238">
        <v>12.8</v>
      </c>
    </row>
    <row r="1524" spans="1:3" x14ac:dyDescent="0.2">
      <c r="A1524" s="241">
        <v>38530</v>
      </c>
      <c r="B1524" s="242">
        <v>14.6</v>
      </c>
      <c r="C1524" s="238">
        <v>15.4</v>
      </c>
    </row>
    <row r="1525" spans="1:3" x14ac:dyDescent="0.2">
      <c r="A1525" s="241">
        <v>38531</v>
      </c>
      <c r="B1525" s="242">
        <v>17.399999999999999</v>
      </c>
      <c r="C1525" s="238">
        <v>14.1</v>
      </c>
    </row>
    <row r="1526" spans="1:3" x14ac:dyDescent="0.2">
      <c r="A1526" s="241">
        <v>38532</v>
      </c>
      <c r="B1526" s="242">
        <v>18.5</v>
      </c>
      <c r="C1526" s="238">
        <v>3.2</v>
      </c>
    </row>
    <row r="1527" spans="1:3" x14ac:dyDescent="0.2">
      <c r="A1527" s="241">
        <v>38533</v>
      </c>
      <c r="B1527" s="242">
        <v>17</v>
      </c>
      <c r="C1527" s="238">
        <v>6.1</v>
      </c>
    </row>
    <row r="1528" spans="1:3" x14ac:dyDescent="0.2">
      <c r="A1528" s="241">
        <v>38534</v>
      </c>
      <c r="B1528" s="242">
        <v>16.5</v>
      </c>
      <c r="C1528" s="238">
        <v>7.9</v>
      </c>
    </row>
    <row r="1529" spans="1:3" x14ac:dyDescent="0.2">
      <c r="A1529" s="241">
        <v>38535</v>
      </c>
      <c r="B1529" s="242">
        <v>18</v>
      </c>
      <c r="C1529" s="238">
        <v>4.3</v>
      </c>
    </row>
    <row r="1530" spans="1:3" x14ac:dyDescent="0.2">
      <c r="A1530" s="241">
        <v>38536</v>
      </c>
      <c r="B1530" s="242">
        <v>17.7</v>
      </c>
      <c r="C1530" s="238">
        <v>4.3</v>
      </c>
    </row>
    <row r="1531" spans="1:3" x14ac:dyDescent="0.2">
      <c r="A1531" s="241">
        <v>38537</v>
      </c>
      <c r="B1531" s="242">
        <v>16</v>
      </c>
      <c r="C1531" s="238">
        <v>0.6</v>
      </c>
    </row>
    <row r="1532" spans="1:3" x14ac:dyDescent="0.2">
      <c r="A1532" s="241">
        <v>38538</v>
      </c>
      <c r="B1532" s="242">
        <v>15.6</v>
      </c>
      <c r="C1532" s="238">
        <v>7.8</v>
      </c>
    </row>
    <row r="1533" spans="1:3" x14ac:dyDescent="0.2">
      <c r="A1533" s="241">
        <v>38539</v>
      </c>
      <c r="B1533" s="242">
        <v>15.1</v>
      </c>
      <c r="C1533" s="238">
        <v>3.4</v>
      </c>
    </row>
    <row r="1534" spans="1:3" x14ac:dyDescent="0.2">
      <c r="A1534" s="241">
        <v>38540</v>
      </c>
      <c r="B1534" s="242">
        <v>14.9</v>
      </c>
      <c r="C1534" s="238">
        <v>8.8000000000000007</v>
      </c>
    </row>
    <row r="1535" spans="1:3" x14ac:dyDescent="0.2">
      <c r="A1535" s="241">
        <v>38541</v>
      </c>
      <c r="B1535" s="242">
        <v>15.3</v>
      </c>
      <c r="C1535" s="238">
        <v>0.7</v>
      </c>
    </row>
    <row r="1536" spans="1:3" x14ac:dyDescent="0.2">
      <c r="A1536" s="241">
        <v>38542</v>
      </c>
      <c r="B1536" s="242">
        <v>16.5</v>
      </c>
      <c r="C1536" s="238">
        <v>2.9</v>
      </c>
    </row>
    <row r="1537" spans="1:3" x14ac:dyDescent="0.2">
      <c r="A1537" s="241">
        <v>38543</v>
      </c>
      <c r="B1537" s="242">
        <v>20.2</v>
      </c>
      <c r="C1537" s="238">
        <v>11.8</v>
      </c>
    </row>
    <row r="1538" spans="1:3" x14ac:dyDescent="0.2">
      <c r="A1538" s="241">
        <v>38544</v>
      </c>
      <c r="B1538" s="242">
        <v>18.7</v>
      </c>
      <c r="C1538" s="238">
        <v>5.0999999999999996</v>
      </c>
    </row>
    <row r="1539" spans="1:3" x14ac:dyDescent="0.2">
      <c r="A1539" s="241">
        <v>38545</v>
      </c>
      <c r="B1539" s="242">
        <v>17.100000000000001</v>
      </c>
      <c r="C1539" s="238">
        <v>9.1</v>
      </c>
    </row>
    <row r="1540" spans="1:3" x14ac:dyDescent="0.2">
      <c r="A1540" s="241">
        <v>38546</v>
      </c>
      <c r="B1540" s="242">
        <v>15.9</v>
      </c>
      <c r="C1540" s="238">
        <v>8.6</v>
      </c>
    </row>
    <row r="1541" spans="1:3" x14ac:dyDescent="0.2">
      <c r="A1541" s="241">
        <v>38547</v>
      </c>
      <c r="B1541" s="242">
        <v>18.100000000000001</v>
      </c>
      <c r="C1541" s="238">
        <v>12.3</v>
      </c>
    </row>
    <row r="1542" spans="1:3" x14ac:dyDescent="0.2">
      <c r="A1542" s="241">
        <v>38548</v>
      </c>
      <c r="B1542" s="242">
        <v>17.899999999999999</v>
      </c>
      <c r="C1542" s="238">
        <v>2.6</v>
      </c>
    </row>
    <row r="1543" spans="1:3" x14ac:dyDescent="0.2">
      <c r="A1543" s="241">
        <v>38549</v>
      </c>
      <c r="B1543" s="242">
        <v>15.1</v>
      </c>
      <c r="C1543" s="238">
        <v>8.8000000000000007</v>
      </c>
    </row>
    <row r="1544" spans="1:3" x14ac:dyDescent="0.2">
      <c r="A1544" s="241">
        <v>38550</v>
      </c>
      <c r="B1544" s="242">
        <v>16.899999999999999</v>
      </c>
      <c r="C1544" s="238">
        <v>8</v>
      </c>
    </row>
    <row r="1545" spans="1:3" x14ac:dyDescent="0.2">
      <c r="A1545" s="241">
        <v>38551</v>
      </c>
      <c r="B1545" s="242">
        <v>19.399999999999999</v>
      </c>
      <c r="C1545" s="238">
        <v>5</v>
      </c>
    </row>
    <row r="1546" spans="1:3" x14ac:dyDescent="0.2">
      <c r="A1546" s="241">
        <v>38552</v>
      </c>
      <c r="B1546" s="242">
        <v>17.8</v>
      </c>
      <c r="C1546" s="238">
        <v>8.4</v>
      </c>
    </row>
    <row r="1547" spans="1:3" x14ac:dyDescent="0.2">
      <c r="A1547" s="241">
        <v>38553</v>
      </c>
      <c r="B1547" s="242">
        <v>16.8</v>
      </c>
      <c r="C1547" s="238">
        <v>5.9</v>
      </c>
    </row>
    <row r="1548" spans="1:3" x14ac:dyDescent="0.2">
      <c r="A1548" s="241">
        <v>38554</v>
      </c>
      <c r="B1548" s="242">
        <v>15.8</v>
      </c>
      <c r="C1548" s="238">
        <v>0.7</v>
      </c>
    </row>
    <row r="1549" spans="1:3" x14ac:dyDescent="0.2">
      <c r="A1549" s="241">
        <v>38555</v>
      </c>
      <c r="B1549" s="242">
        <v>14.8</v>
      </c>
      <c r="C1549" s="238">
        <v>0.1</v>
      </c>
    </row>
    <row r="1550" spans="1:3" x14ac:dyDescent="0.2">
      <c r="A1550" s="241">
        <v>38556</v>
      </c>
      <c r="B1550" s="242">
        <v>14.1</v>
      </c>
      <c r="C1550" s="238">
        <v>3</v>
      </c>
    </row>
    <row r="1551" spans="1:3" x14ac:dyDescent="0.2">
      <c r="A1551" s="241">
        <v>38557</v>
      </c>
      <c r="B1551" s="242">
        <v>16.399999999999999</v>
      </c>
      <c r="C1551" s="238">
        <v>1.5</v>
      </c>
    </row>
    <row r="1552" spans="1:3" x14ac:dyDescent="0.2">
      <c r="A1552" s="241">
        <v>38558</v>
      </c>
      <c r="B1552" s="242">
        <v>16.7</v>
      </c>
      <c r="C1552" s="238">
        <v>2</v>
      </c>
    </row>
    <row r="1553" spans="1:3" x14ac:dyDescent="0.2">
      <c r="A1553" s="241">
        <v>38559</v>
      </c>
      <c r="B1553" s="242">
        <v>15.1</v>
      </c>
      <c r="C1553" s="238">
        <v>4.9000000000000004</v>
      </c>
    </row>
    <row r="1554" spans="1:3" x14ac:dyDescent="0.2">
      <c r="A1554" s="241">
        <v>38560</v>
      </c>
      <c r="B1554" s="242">
        <v>15.7</v>
      </c>
      <c r="C1554" s="238">
        <v>0.3</v>
      </c>
    </row>
    <row r="1555" spans="1:3" x14ac:dyDescent="0.2">
      <c r="A1555" s="241">
        <v>38561</v>
      </c>
      <c r="B1555" s="242">
        <v>20.5</v>
      </c>
      <c r="C1555" s="238">
        <v>5.6</v>
      </c>
    </row>
    <row r="1556" spans="1:3" x14ac:dyDescent="0.2">
      <c r="A1556" s="241">
        <v>38562</v>
      </c>
      <c r="B1556" s="242">
        <v>19.5</v>
      </c>
      <c r="C1556" s="238">
        <v>8.8000000000000007</v>
      </c>
    </row>
    <row r="1557" spans="1:3" x14ac:dyDescent="0.2">
      <c r="A1557" s="241">
        <v>38563</v>
      </c>
      <c r="B1557" s="242">
        <v>17.5</v>
      </c>
      <c r="C1557" s="238">
        <v>8.6999999999999993</v>
      </c>
    </row>
    <row r="1558" spans="1:3" x14ac:dyDescent="0.2">
      <c r="A1558" s="241">
        <v>38564</v>
      </c>
      <c r="B1558" s="242">
        <v>15.2</v>
      </c>
      <c r="C1558" s="238">
        <v>0.2</v>
      </c>
    </row>
    <row r="1559" spans="1:3" x14ac:dyDescent="0.2">
      <c r="A1559" s="241">
        <v>38565</v>
      </c>
      <c r="B1559" s="242">
        <v>14.7</v>
      </c>
      <c r="C1559" s="238">
        <v>9.9</v>
      </c>
    </row>
    <row r="1560" spans="1:3" x14ac:dyDescent="0.2">
      <c r="A1560" s="241">
        <v>38566</v>
      </c>
      <c r="B1560" s="242">
        <v>14.5</v>
      </c>
      <c r="C1560" s="238">
        <v>14.3</v>
      </c>
    </row>
    <row r="1561" spans="1:3" x14ac:dyDescent="0.2">
      <c r="A1561" s="241">
        <v>38567</v>
      </c>
      <c r="B1561" s="242">
        <v>17</v>
      </c>
      <c r="C1561" s="238">
        <v>7.9</v>
      </c>
    </row>
    <row r="1562" spans="1:3" x14ac:dyDescent="0.2">
      <c r="A1562" s="241">
        <v>38568</v>
      </c>
      <c r="B1562" s="242">
        <v>17.399999999999999</v>
      </c>
      <c r="C1562" s="238">
        <v>10.7</v>
      </c>
    </row>
    <row r="1563" spans="1:3" x14ac:dyDescent="0.2">
      <c r="A1563" s="241">
        <v>38569</v>
      </c>
      <c r="B1563" s="242">
        <v>15.7</v>
      </c>
      <c r="C1563" s="238">
        <v>2.2000000000000002</v>
      </c>
    </row>
    <row r="1564" spans="1:3" x14ac:dyDescent="0.2">
      <c r="A1564" s="241">
        <v>38570</v>
      </c>
      <c r="B1564" s="242">
        <v>15</v>
      </c>
      <c r="C1564" s="238">
        <v>8.1</v>
      </c>
    </row>
    <row r="1565" spans="1:3" x14ac:dyDescent="0.2">
      <c r="A1565" s="241">
        <v>38571</v>
      </c>
      <c r="B1565" s="242">
        <v>14.7</v>
      </c>
      <c r="C1565" s="238">
        <v>8.5</v>
      </c>
    </row>
    <row r="1566" spans="1:3" x14ac:dyDescent="0.2">
      <c r="A1566" s="241">
        <v>38572</v>
      </c>
      <c r="B1566" s="242">
        <v>15.5</v>
      </c>
      <c r="C1566" s="238">
        <v>2.7</v>
      </c>
    </row>
    <row r="1567" spans="1:3" x14ac:dyDescent="0.2">
      <c r="A1567" s="241">
        <v>38573</v>
      </c>
      <c r="B1567" s="242">
        <v>14.7</v>
      </c>
      <c r="C1567" s="238">
        <v>2.8</v>
      </c>
    </row>
    <row r="1568" spans="1:3" x14ac:dyDescent="0.2">
      <c r="A1568" s="241">
        <v>38574</v>
      </c>
      <c r="B1568" s="242">
        <v>15.5</v>
      </c>
      <c r="C1568" s="238">
        <v>3</v>
      </c>
    </row>
    <row r="1569" spans="1:3" x14ac:dyDescent="0.2">
      <c r="A1569" s="241">
        <v>38575</v>
      </c>
      <c r="B1569" s="242">
        <v>15.1</v>
      </c>
      <c r="C1569" s="238">
        <v>1.9</v>
      </c>
    </row>
    <row r="1570" spans="1:3" x14ac:dyDescent="0.2">
      <c r="A1570" s="241">
        <v>38576</v>
      </c>
      <c r="B1570" s="242">
        <v>14.7</v>
      </c>
      <c r="C1570" s="238">
        <v>3.4</v>
      </c>
    </row>
    <row r="1571" spans="1:3" x14ac:dyDescent="0.2">
      <c r="A1571" s="241">
        <v>38577</v>
      </c>
      <c r="B1571" s="242">
        <v>16.399999999999999</v>
      </c>
      <c r="C1571" s="238">
        <v>3.5</v>
      </c>
    </row>
    <row r="1572" spans="1:3" x14ac:dyDescent="0.2">
      <c r="A1572" s="241">
        <v>38578</v>
      </c>
      <c r="B1572" s="242">
        <v>15.9</v>
      </c>
      <c r="C1572" s="238">
        <v>5</v>
      </c>
    </row>
    <row r="1573" spans="1:3" x14ac:dyDescent="0.2">
      <c r="A1573" s="241">
        <v>38579</v>
      </c>
      <c r="B1573" s="242">
        <v>14.5</v>
      </c>
      <c r="C1573" s="238">
        <v>2</v>
      </c>
    </row>
    <row r="1574" spans="1:3" x14ac:dyDescent="0.2">
      <c r="A1574" s="241">
        <v>38580</v>
      </c>
      <c r="B1574" s="242">
        <v>14.6</v>
      </c>
      <c r="C1574" s="238">
        <v>12.4</v>
      </c>
    </row>
    <row r="1575" spans="1:3" x14ac:dyDescent="0.2">
      <c r="A1575" s="241">
        <v>38581</v>
      </c>
      <c r="B1575" s="242">
        <v>17.399999999999999</v>
      </c>
      <c r="C1575" s="238">
        <v>12.2</v>
      </c>
    </row>
    <row r="1576" spans="1:3" x14ac:dyDescent="0.2">
      <c r="A1576" s="241">
        <v>38582</v>
      </c>
      <c r="B1576" s="242">
        <v>20.399999999999999</v>
      </c>
      <c r="C1576" s="238">
        <v>11.9</v>
      </c>
    </row>
    <row r="1577" spans="1:3" x14ac:dyDescent="0.2">
      <c r="A1577" s="241">
        <v>38583</v>
      </c>
      <c r="B1577" s="242">
        <v>18.5</v>
      </c>
      <c r="C1577" s="238">
        <v>2.4</v>
      </c>
    </row>
    <row r="1578" spans="1:3" x14ac:dyDescent="0.2">
      <c r="A1578" s="241">
        <v>38584</v>
      </c>
      <c r="B1578" s="242">
        <v>16.899999999999999</v>
      </c>
      <c r="C1578" s="238">
        <v>2.2000000000000002</v>
      </c>
    </row>
    <row r="1579" spans="1:3" x14ac:dyDescent="0.2">
      <c r="A1579" s="241">
        <v>38585</v>
      </c>
      <c r="B1579" s="242">
        <v>16.5</v>
      </c>
      <c r="C1579" s="238">
        <v>5</v>
      </c>
    </row>
    <row r="1580" spans="1:3" x14ac:dyDescent="0.2">
      <c r="A1580" s="241">
        <v>38586</v>
      </c>
      <c r="B1580" s="242">
        <v>16.5</v>
      </c>
      <c r="C1580" s="238">
        <v>8.6</v>
      </c>
    </row>
    <row r="1581" spans="1:3" x14ac:dyDescent="0.2">
      <c r="A1581" s="241">
        <v>38587</v>
      </c>
      <c r="B1581" s="242">
        <v>14.8</v>
      </c>
      <c r="C1581" s="238">
        <v>6.5</v>
      </c>
    </row>
    <row r="1582" spans="1:3" x14ac:dyDescent="0.2">
      <c r="A1582" s="241">
        <v>38588</v>
      </c>
      <c r="B1582" s="242">
        <v>16</v>
      </c>
      <c r="C1582" s="238">
        <v>4.0999999999999996</v>
      </c>
    </row>
    <row r="1583" spans="1:3" x14ac:dyDescent="0.2">
      <c r="A1583" s="241">
        <v>38589</v>
      </c>
      <c r="B1583" s="242">
        <v>15.6</v>
      </c>
      <c r="C1583" s="238">
        <v>9.6999999999999993</v>
      </c>
    </row>
    <row r="1584" spans="1:3" x14ac:dyDescent="0.2">
      <c r="A1584" s="241">
        <v>38590</v>
      </c>
      <c r="B1584" s="242">
        <v>15.8</v>
      </c>
      <c r="C1584" s="238">
        <v>7.8</v>
      </c>
    </row>
    <row r="1585" spans="1:3" x14ac:dyDescent="0.2">
      <c r="A1585" s="241">
        <v>38591</v>
      </c>
      <c r="B1585" s="242">
        <v>17</v>
      </c>
      <c r="C1585" s="238">
        <v>5.9</v>
      </c>
    </row>
    <row r="1586" spans="1:3" x14ac:dyDescent="0.2">
      <c r="A1586" s="241">
        <v>38592</v>
      </c>
      <c r="B1586" s="242">
        <v>18.5</v>
      </c>
      <c r="C1586" s="238">
        <v>9.4</v>
      </c>
    </row>
    <row r="1587" spans="1:3" x14ac:dyDescent="0.2">
      <c r="A1587" s="241">
        <v>38593</v>
      </c>
      <c r="B1587" s="242">
        <v>17.399999999999999</v>
      </c>
      <c r="C1587" s="238">
        <v>12.3</v>
      </c>
    </row>
    <row r="1588" spans="1:3" x14ac:dyDescent="0.2">
      <c r="A1588" s="241">
        <v>38594</v>
      </c>
      <c r="B1588" s="242">
        <v>18.5</v>
      </c>
      <c r="C1588" s="238">
        <v>11.9</v>
      </c>
    </row>
    <row r="1589" spans="1:3" x14ac:dyDescent="0.2">
      <c r="A1589" s="241">
        <v>38595</v>
      </c>
      <c r="B1589" s="242">
        <v>23.1</v>
      </c>
      <c r="C1589" s="238">
        <v>11.8</v>
      </c>
    </row>
    <row r="1590" spans="1:3" x14ac:dyDescent="0.2">
      <c r="A1590" s="241">
        <v>38596</v>
      </c>
      <c r="B1590" s="242">
        <v>19.7</v>
      </c>
      <c r="C1590" s="238">
        <v>4.0999999999999996</v>
      </c>
    </row>
    <row r="1591" spans="1:3" x14ac:dyDescent="0.2">
      <c r="A1591" s="241">
        <v>38597</v>
      </c>
      <c r="B1591" s="242">
        <v>18.399999999999999</v>
      </c>
      <c r="C1591" s="238">
        <v>4.7</v>
      </c>
    </row>
    <row r="1592" spans="1:3" x14ac:dyDescent="0.2">
      <c r="A1592" s="241">
        <v>38598</v>
      </c>
      <c r="B1592" s="242">
        <v>17.899999999999999</v>
      </c>
      <c r="C1592" s="238">
        <v>9.3000000000000007</v>
      </c>
    </row>
    <row r="1593" spans="1:3" x14ac:dyDescent="0.2">
      <c r="A1593" s="241">
        <v>38599</v>
      </c>
      <c r="B1593" s="242">
        <v>18.899999999999999</v>
      </c>
      <c r="C1593" s="238">
        <v>12.3</v>
      </c>
    </row>
    <row r="1594" spans="1:3" x14ac:dyDescent="0.2">
      <c r="A1594" s="241">
        <v>38600</v>
      </c>
      <c r="B1594" s="242">
        <v>20.5</v>
      </c>
      <c r="C1594" s="238">
        <v>10.3</v>
      </c>
    </row>
    <row r="1595" spans="1:3" x14ac:dyDescent="0.2">
      <c r="A1595" s="241">
        <v>38601</v>
      </c>
      <c r="B1595" s="242">
        <v>18.899999999999999</v>
      </c>
      <c r="C1595" s="238">
        <v>8</v>
      </c>
    </row>
    <row r="1596" spans="1:3" x14ac:dyDescent="0.2">
      <c r="A1596" s="241">
        <v>38602</v>
      </c>
      <c r="B1596" s="242">
        <v>19.899999999999999</v>
      </c>
      <c r="C1596" s="238">
        <v>8.1</v>
      </c>
    </row>
    <row r="1597" spans="1:3" x14ac:dyDescent="0.2">
      <c r="A1597" s="241">
        <v>38603</v>
      </c>
      <c r="B1597" s="242">
        <v>19.2</v>
      </c>
      <c r="C1597" s="238">
        <v>10.5</v>
      </c>
    </row>
    <row r="1598" spans="1:3" x14ac:dyDescent="0.2">
      <c r="A1598" s="241">
        <v>38604</v>
      </c>
      <c r="B1598" s="242">
        <v>20.399999999999999</v>
      </c>
      <c r="C1598" s="238">
        <v>3.5</v>
      </c>
    </row>
    <row r="1599" spans="1:3" x14ac:dyDescent="0.2">
      <c r="A1599" s="241">
        <v>38605</v>
      </c>
      <c r="B1599" s="242">
        <v>19.899999999999999</v>
      </c>
      <c r="C1599" s="238">
        <v>4.2</v>
      </c>
    </row>
    <row r="1600" spans="1:3" x14ac:dyDescent="0.2">
      <c r="A1600" s="241">
        <v>38606</v>
      </c>
      <c r="B1600" s="242">
        <v>17.899999999999999</v>
      </c>
      <c r="C1600" s="238">
        <v>0</v>
      </c>
    </row>
    <row r="1601" spans="1:3" x14ac:dyDescent="0.2">
      <c r="A1601" s="241">
        <v>38607</v>
      </c>
      <c r="B1601" s="242">
        <v>16.600000000000001</v>
      </c>
      <c r="C1601" s="238">
        <v>8.1999999999999993</v>
      </c>
    </row>
    <row r="1602" spans="1:3" x14ac:dyDescent="0.2">
      <c r="A1602" s="241">
        <v>38608</v>
      </c>
      <c r="B1602" s="242">
        <v>15.2</v>
      </c>
      <c r="C1602" s="238">
        <v>8.8000000000000007</v>
      </c>
    </row>
    <row r="1603" spans="1:3" x14ac:dyDescent="0.2">
      <c r="A1603" s="241">
        <v>38609</v>
      </c>
      <c r="B1603" s="242">
        <v>18</v>
      </c>
      <c r="C1603" s="238">
        <v>2.1</v>
      </c>
    </row>
    <row r="1604" spans="1:3" x14ac:dyDescent="0.2">
      <c r="A1604" s="241">
        <v>38610</v>
      </c>
      <c r="B1604" s="242">
        <v>15.2</v>
      </c>
      <c r="C1604" s="238">
        <v>0.3</v>
      </c>
    </row>
    <row r="1605" spans="1:3" x14ac:dyDescent="0.2">
      <c r="A1605" s="241">
        <v>38611</v>
      </c>
      <c r="B1605" s="242">
        <v>11.9</v>
      </c>
      <c r="C1605" s="238">
        <v>7.4</v>
      </c>
    </row>
    <row r="1606" spans="1:3" x14ac:dyDescent="0.2">
      <c r="A1606" s="241">
        <v>38612</v>
      </c>
      <c r="B1606" s="242">
        <v>11.1</v>
      </c>
      <c r="C1606" s="238">
        <v>9.9</v>
      </c>
    </row>
    <row r="1607" spans="1:3" x14ac:dyDescent="0.2">
      <c r="A1607" s="241">
        <v>38613</v>
      </c>
      <c r="B1607" s="242">
        <v>12.4</v>
      </c>
      <c r="C1607" s="238">
        <v>3.4</v>
      </c>
    </row>
    <row r="1608" spans="1:3" x14ac:dyDescent="0.2">
      <c r="A1608" s="241">
        <v>38614</v>
      </c>
      <c r="B1608" s="242">
        <v>11.5</v>
      </c>
      <c r="C1608" s="238">
        <v>10.8</v>
      </c>
    </row>
    <row r="1609" spans="1:3" x14ac:dyDescent="0.2">
      <c r="A1609" s="241">
        <v>38615</v>
      </c>
      <c r="B1609" s="242">
        <v>12.4</v>
      </c>
      <c r="C1609" s="238">
        <v>9.3000000000000007</v>
      </c>
    </row>
    <row r="1610" spans="1:3" x14ac:dyDescent="0.2">
      <c r="A1610" s="241">
        <v>38616</v>
      </c>
      <c r="B1610" s="242">
        <v>13</v>
      </c>
      <c r="C1610" s="238">
        <v>8.8000000000000007</v>
      </c>
    </row>
    <row r="1611" spans="1:3" x14ac:dyDescent="0.2">
      <c r="A1611" s="241">
        <v>38617</v>
      </c>
      <c r="B1611" s="242">
        <v>15.2</v>
      </c>
      <c r="C1611" s="238">
        <v>9.5</v>
      </c>
    </row>
    <row r="1612" spans="1:3" x14ac:dyDescent="0.2">
      <c r="A1612" s="241">
        <v>38618</v>
      </c>
      <c r="B1612" s="242">
        <v>16.899999999999999</v>
      </c>
      <c r="C1612" s="238">
        <v>8.5</v>
      </c>
    </row>
    <row r="1613" spans="1:3" x14ac:dyDescent="0.2">
      <c r="A1613" s="241">
        <v>38619</v>
      </c>
      <c r="B1613" s="242">
        <v>15.4</v>
      </c>
      <c r="C1613" s="238">
        <v>8.9</v>
      </c>
    </row>
    <row r="1614" spans="1:3" x14ac:dyDescent="0.2">
      <c r="A1614" s="241">
        <v>38620</v>
      </c>
      <c r="B1614" s="242">
        <v>16.7</v>
      </c>
      <c r="C1614" s="238">
        <v>5.6</v>
      </c>
    </row>
    <row r="1615" spans="1:3" x14ac:dyDescent="0.2">
      <c r="A1615" s="241">
        <v>38621</v>
      </c>
      <c r="B1615" s="242">
        <v>16.5</v>
      </c>
      <c r="C1615" s="238">
        <v>5</v>
      </c>
    </row>
    <row r="1616" spans="1:3" x14ac:dyDescent="0.2">
      <c r="A1616" s="241">
        <v>38622</v>
      </c>
      <c r="B1616" s="242">
        <v>16.2</v>
      </c>
      <c r="C1616" s="238">
        <v>1.2</v>
      </c>
    </row>
    <row r="1617" spans="1:3" x14ac:dyDescent="0.2">
      <c r="A1617" s="241">
        <v>38623</v>
      </c>
      <c r="B1617" s="242">
        <v>14.7</v>
      </c>
      <c r="C1617" s="238">
        <v>9.1999999999999993</v>
      </c>
    </row>
    <row r="1618" spans="1:3" x14ac:dyDescent="0.2">
      <c r="A1618" s="241">
        <v>38624</v>
      </c>
      <c r="B1618" s="242">
        <v>13.7</v>
      </c>
      <c r="C1618" s="238">
        <v>8.1</v>
      </c>
    </row>
    <row r="1619" spans="1:3" x14ac:dyDescent="0.2">
      <c r="A1619" s="241">
        <v>38625</v>
      </c>
      <c r="B1619" s="242">
        <v>14.1</v>
      </c>
      <c r="C1619" s="238">
        <v>0</v>
      </c>
    </row>
    <row r="1620" spans="1:3" x14ac:dyDescent="0.2">
      <c r="A1620" s="241">
        <v>38626</v>
      </c>
      <c r="B1620" s="242">
        <v>14.5</v>
      </c>
      <c r="C1620" s="238">
        <v>7.7</v>
      </c>
    </row>
    <row r="1621" spans="1:3" x14ac:dyDescent="0.2">
      <c r="A1621" s="241">
        <v>38627</v>
      </c>
      <c r="B1621" s="242">
        <v>12.1</v>
      </c>
      <c r="C1621" s="238">
        <v>6.3</v>
      </c>
    </row>
    <row r="1622" spans="1:3" x14ac:dyDescent="0.2">
      <c r="A1622" s="241">
        <v>38628</v>
      </c>
      <c r="B1622" s="242">
        <v>11.8</v>
      </c>
      <c r="C1622" s="238">
        <v>4.5999999999999996</v>
      </c>
    </row>
    <row r="1623" spans="1:3" x14ac:dyDescent="0.2">
      <c r="A1623" s="241">
        <v>38629</v>
      </c>
      <c r="B1623" s="242">
        <v>12.2</v>
      </c>
      <c r="C1623" s="238">
        <v>9.5</v>
      </c>
    </row>
    <row r="1624" spans="1:3" x14ac:dyDescent="0.2">
      <c r="A1624" s="241">
        <v>38630</v>
      </c>
      <c r="B1624" s="242">
        <v>13.5</v>
      </c>
      <c r="C1624" s="238">
        <v>8.4</v>
      </c>
    </row>
    <row r="1625" spans="1:3" x14ac:dyDescent="0.2">
      <c r="A1625" s="241">
        <v>38631</v>
      </c>
      <c r="B1625" s="242">
        <v>12.6</v>
      </c>
      <c r="C1625" s="238">
        <v>0.8</v>
      </c>
    </row>
    <row r="1626" spans="1:3" x14ac:dyDescent="0.2">
      <c r="A1626" s="241">
        <v>38632</v>
      </c>
      <c r="B1626" s="242">
        <v>13.1</v>
      </c>
      <c r="C1626" s="238">
        <v>6.6</v>
      </c>
    </row>
    <row r="1627" spans="1:3" x14ac:dyDescent="0.2">
      <c r="A1627" s="241">
        <v>38633</v>
      </c>
      <c r="B1627" s="242">
        <v>15.5</v>
      </c>
      <c r="C1627" s="238">
        <v>4.8</v>
      </c>
    </row>
    <row r="1628" spans="1:3" x14ac:dyDescent="0.2">
      <c r="A1628" s="241">
        <v>38634</v>
      </c>
      <c r="B1628" s="242">
        <v>13.8</v>
      </c>
      <c r="C1628" s="238">
        <v>5.9</v>
      </c>
    </row>
    <row r="1629" spans="1:3" x14ac:dyDescent="0.2">
      <c r="A1629" s="241">
        <v>38635</v>
      </c>
      <c r="B1629" s="242">
        <v>17</v>
      </c>
      <c r="C1629" s="238">
        <v>8.3000000000000007</v>
      </c>
    </row>
    <row r="1630" spans="1:3" x14ac:dyDescent="0.2">
      <c r="A1630" s="241">
        <v>38636</v>
      </c>
      <c r="B1630" s="242">
        <v>16.100000000000001</v>
      </c>
      <c r="C1630" s="238">
        <v>8.5</v>
      </c>
    </row>
    <row r="1631" spans="1:3" x14ac:dyDescent="0.2">
      <c r="A1631" s="241">
        <v>38637</v>
      </c>
      <c r="B1631" s="242">
        <v>16</v>
      </c>
      <c r="C1631" s="238">
        <v>7</v>
      </c>
    </row>
    <row r="1632" spans="1:3" x14ac:dyDescent="0.2">
      <c r="A1632" s="241">
        <v>38638</v>
      </c>
      <c r="B1632" s="242">
        <v>15.6</v>
      </c>
      <c r="C1632" s="238">
        <v>7.4</v>
      </c>
    </row>
    <row r="1633" spans="1:3" x14ac:dyDescent="0.2">
      <c r="A1633" s="241">
        <v>38639</v>
      </c>
      <c r="B1633" s="242">
        <v>15.4</v>
      </c>
      <c r="C1633" s="238">
        <v>0</v>
      </c>
    </row>
    <row r="1634" spans="1:3" x14ac:dyDescent="0.2">
      <c r="A1634" s="241">
        <v>38640</v>
      </c>
      <c r="B1634" s="242">
        <v>13.2</v>
      </c>
      <c r="C1634" s="238">
        <v>7.7</v>
      </c>
    </row>
    <row r="1635" spans="1:3" x14ac:dyDescent="0.2">
      <c r="A1635" s="241">
        <v>38641</v>
      </c>
      <c r="B1635" s="242">
        <v>11.3</v>
      </c>
      <c r="C1635" s="238">
        <v>9.1999999999999993</v>
      </c>
    </row>
    <row r="1636" spans="1:3" x14ac:dyDescent="0.2">
      <c r="A1636" s="241">
        <v>38642</v>
      </c>
      <c r="B1636" s="242">
        <v>9.3000000000000007</v>
      </c>
      <c r="C1636" s="238">
        <v>8.8000000000000007</v>
      </c>
    </row>
    <row r="1637" spans="1:3" x14ac:dyDescent="0.2">
      <c r="A1637" s="241">
        <v>38643</v>
      </c>
      <c r="B1637" s="242">
        <v>9.6999999999999993</v>
      </c>
      <c r="C1637" s="238">
        <v>9</v>
      </c>
    </row>
    <row r="1638" spans="1:3" x14ac:dyDescent="0.2">
      <c r="A1638" s="241">
        <v>38644</v>
      </c>
      <c r="B1638" s="242">
        <v>10.7</v>
      </c>
      <c r="C1638" s="238">
        <v>1.5</v>
      </c>
    </row>
    <row r="1639" spans="1:3" x14ac:dyDescent="0.2">
      <c r="A1639" s="241">
        <v>38645</v>
      </c>
      <c r="B1639" s="242">
        <v>13.2</v>
      </c>
      <c r="C1639" s="238">
        <v>3.9</v>
      </c>
    </row>
    <row r="1640" spans="1:3" x14ac:dyDescent="0.2">
      <c r="A1640" s="241">
        <v>38646</v>
      </c>
      <c r="B1640" s="242">
        <v>12.7</v>
      </c>
      <c r="C1640" s="238">
        <v>0.6</v>
      </c>
    </row>
    <row r="1641" spans="1:3" x14ac:dyDescent="0.2">
      <c r="A1641" s="241">
        <v>38647</v>
      </c>
      <c r="B1641" s="242">
        <v>14.1</v>
      </c>
      <c r="C1641" s="238">
        <v>0.3</v>
      </c>
    </row>
    <row r="1642" spans="1:3" x14ac:dyDescent="0.2">
      <c r="A1642" s="241">
        <v>38648</v>
      </c>
      <c r="B1642" s="242">
        <v>11.8</v>
      </c>
      <c r="C1642" s="238">
        <v>2.8</v>
      </c>
    </row>
    <row r="1643" spans="1:3" x14ac:dyDescent="0.2">
      <c r="A1643" s="241">
        <v>38649</v>
      </c>
      <c r="B1643" s="242">
        <v>13.7</v>
      </c>
      <c r="C1643" s="238">
        <v>0</v>
      </c>
    </row>
    <row r="1644" spans="1:3" x14ac:dyDescent="0.2">
      <c r="A1644" s="241">
        <v>38650</v>
      </c>
      <c r="B1644" s="242">
        <v>15.2</v>
      </c>
      <c r="C1644" s="238">
        <v>2.4</v>
      </c>
    </row>
    <row r="1645" spans="1:3" x14ac:dyDescent="0.2">
      <c r="A1645" s="241">
        <v>38651</v>
      </c>
      <c r="B1645" s="242">
        <v>15.6</v>
      </c>
      <c r="C1645" s="238">
        <v>7.3</v>
      </c>
    </row>
    <row r="1646" spans="1:3" x14ac:dyDescent="0.2">
      <c r="A1646" s="241">
        <v>38652</v>
      </c>
      <c r="B1646" s="242">
        <v>17.100000000000001</v>
      </c>
      <c r="C1646" s="238">
        <v>8.1</v>
      </c>
    </row>
    <row r="1647" spans="1:3" x14ac:dyDescent="0.2">
      <c r="A1647" s="241">
        <v>38653</v>
      </c>
      <c r="B1647" s="242">
        <v>16.8</v>
      </c>
      <c r="C1647" s="238">
        <v>3.5</v>
      </c>
    </row>
    <row r="1648" spans="1:3" x14ac:dyDescent="0.2">
      <c r="A1648" s="241">
        <v>38654</v>
      </c>
      <c r="B1648" s="242">
        <v>16.5</v>
      </c>
      <c r="C1648" s="238">
        <v>2</v>
      </c>
    </row>
    <row r="1649" spans="1:3" x14ac:dyDescent="0.2">
      <c r="A1649" s="241">
        <v>38655</v>
      </c>
      <c r="B1649" s="242">
        <v>17.7</v>
      </c>
      <c r="C1649" s="238">
        <v>8.5</v>
      </c>
    </row>
    <row r="1650" spans="1:3" x14ac:dyDescent="0.2">
      <c r="A1650" s="241">
        <v>38656</v>
      </c>
      <c r="B1650" s="242">
        <v>16</v>
      </c>
      <c r="C1650" s="238">
        <v>0</v>
      </c>
    </row>
    <row r="1651" spans="1:3" x14ac:dyDescent="0.2">
      <c r="A1651" s="241">
        <v>38657</v>
      </c>
      <c r="B1651" s="242">
        <v>13</v>
      </c>
      <c r="C1651" s="238">
        <v>4.5</v>
      </c>
    </row>
    <row r="1652" spans="1:3" x14ac:dyDescent="0.2">
      <c r="A1652" s="241">
        <v>38658</v>
      </c>
      <c r="B1652" s="242">
        <v>13.1</v>
      </c>
      <c r="C1652" s="238">
        <v>0</v>
      </c>
    </row>
    <row r="1653" spans="1:3" x14ac:dyDescent="0.2">
      <c r="A1653" s="241">
        <v>38659</v>
      </c>
      <c r="B1653" s="242">
        <v>16</v>
      </c>
      <c r="C1653" s="238">
        <v>6</v>
      </c>
    </row>
    <row r="1654" spans="1:3" x14ac:dyDescent="0.2">
      <c r="A1654" s="241">
        <v>38660</v>
      </c>
      <c r="B1654" s="242">
        <v>13.5</v>
      </c>
      <c r="C1654" s="238">
        <v>2.2999999999999998</v>
      </c>
    </row>
    <row r="1655" spans="1:3" x14ac:dyDescent="0.2">
      <c r="A1655" s="241">
        <v>38661</v>
      </c>
      <c r="B1655" s="242">
        <v>11.5</v>
      </c>
      <c r="C1655" s="238">
        <v>5.6</v>
      </c>
    </row>
    <row r="1656" spans="1:3" x14ac:dyDescent="0.2">
      <c r="A1656" s="241">
        <v>38662</v>
      </c>
      <c r="B1656" s="242">
        <v>12.4</v>
      </c>
      <c r="C1656" s="238">
        <v>5.0999999999999996</v>
      </c>
    </row>
    <row r="1657" spans="1:3" x14ac:dyDescent="0.2">
      <c r="A1657" s="241">
        <v>38663</v>
      </c>
      <c r="B1657" s="242">
        <v>12.1</v>
      </c>
      <c r="C1657" s="238">
        <v>3.5</v>
      </c>
    </row>
    <row r="1658" spans="1:3" x14ac:dyDescent="0.2">
      <c r="A1658" s="241">
        <v>38664</v>
      </c>
      <c r="B1658" s="242">
        <v>12.9</v>
      </c>
      <c r="C1658" s="238">
        <v>3.4</v>
      </c>
    </row>
    <row r="1659" spans="1:3" x14ac:dyDescent="0.2">
      <c r="A1659" s="241">
        <v>38665</v>
      </c>
      <c r="B1659" s="242">
        <v>11.1</v>
      </c>
      <c r="C1659" s="238">
        <v>0.2</v>
      </c>
    </row>
    <row r="1660" spans="1:3" x14ac:dyDescent="0.2">
      <c r="A1660" s="241">
        <v>38666</v>
      </c>
      <c r="B1660" s="242">
        <v>12</v>
      </c>
      <c r="C1660" s="238">
        <v>1.3</v>
      </c>
    </row>
    <row r="1661" spans="1:3" x14ac:dyDescent="0.2">
      <c r="A1661" s="241">
        <v>38667</v>
      </c>
      <c r="B1661" s="242">
        <v>13</v>
      </c>
      <c r="C1661" s="238">
        <v>0</v>
      </c>
    </row>
    <row r="1662" spans="1:3" x14ac:dyDescent="0.2">
      <c r="A1662" s="241">
        <v>38668</v>
      </c>
      <c r="B1662" s="242">
        <v>10.199999999999999</v>
      </c>
      <c r="C1662" s="238">
        <v>3.3</v>
      </c>
    </row>
    <row r="1663" spans="1:3" x14ac:dyDescent="0.2">
      <c r="A1663" s="241">
        <v>38669</v>
      </c>
      <c r="B1663" s="242">
        <v>8.6999999999999993</v>
      </c>
      <c r="C1663" s="238">
        <v>5.6</v>
      </c>
    </row>
    <row r="1664" spans="1:3" x14ac:dyDescent="0.2">
      <c r="A1664" s="241">
        <v>38670</v>
      </c>
      <c r="B1664" s="242">
        <v>7.6</v>
      </c>
      <c r="C1664" s="238">
        <v>6.3</v>
      </c>
    </row>
    <row r="1665" spans="1:3" x14ac:dyDescent="0.2">
      <c r="A1665" s="241">
        <v>38671</v>
      </c>
      <c r="B1665" s="242">
        <v>10.7</v>
      </c>
      <c r="C1665" s="238">
        <v>1.1000000000000001</v>
      </c>
    </row>
    <row r="1666" spans="1:3" x14ac:dyDescent="0.2">
      <c r="A1666" s="241">
        <v>38672</v>
      </c>
      <c r="B1666" s="242">
        <v>8.1</v>
      </c>
      <c r="C1666" s="238">
        <v>3.7</v>
      </c>
    </row>
    <row r="1667" spans="1:3" x14ac:dyDescent="0.2">
      <c r="A1667" s="241">
        <v>38673</v>
      </c>
      <c r="B1667" s="242">
        <v>6.7</v>
      </c>
      <c r="C1667" s="238">
        <v>2.5</v>
      </c>
    </row>
    <row r="1668" spans="1:3" x14ac:dyDescent="0.2">
      <c r="A1668" s="241">
        <v>38674</v>
      </c>
      <c r="B1668" s="242">
        <v>4.0999999999999996</v>
      </c>
      <c r="C1668" s="238">
        <v>5.2</v>
      </c>
    </row>
    <row r="1669" spans="1:3" x14ac:dyDescent="0.2">
      <c r="A1669" s="241">
        <v>38675</v>
      </c>
      <c r="B1669" s="242">
        <v>5.5</v>
      </c>
      <c r="C1669" s="238">
        <v>2.5</v>
      </c>
    </row>
    <row r="1670" spans="1:3" x14ac:dyDescent="0.2">
      <c r="A1670" s="241">
        <v>38676</v>
      </c>
      <c r="B1670" s="242">
        <v>7.8</v>
      </c>
      <c r="C1670" s="238">
        <v>0</v>
      </c>
    </row>
    <row r="1671" spans="1:3" x14ac:dyDescent="0.2">
      <c r="A1671" s="241">
        <v>38677</v>
      </c>
      <c r="B1671" s="242">
        <v>8.9</v>
      </c>
      <c r="C1671" s="238">
        <v>0</v>
      </c>
    </row>
    <row r="1672" spans="1:3" x14ac:dyDescent="0.2">
      <c r="A1672" s="241">
        <v>38678</v>
      </c>
      <c r="B1672" s="242">
        <v>3.7</v>
      </c>
      <c r="C1672" s="238">
        <v>2.5</v>
      </c>
    </row>
    <row r="1673" spans="1:3" x14ac:dyDescent="0.2">
      <c r="A1673" s="241">
        <v>38679</v>
      </c>
      <c r="B1673" s="242">
        <v>6</v>
      </c>
      <c r="C1673" s="238">
        <v>0</v>
      </c>
    </row>
    <row r="1674" spans="1:3" x14ac:dyDescent="0.2">
      <c r="A1674" s="241">
        <v>38680</v>
      </c>
      <c r="B1674" s="242">
        <v>7.2</v>
      </c>
      <c r="C1674" s="238">
        <v>0</v>
      </c>
    </row>
    <row r="1675" spans="1:3" x14ac:dyDescent="0.2">
      <c r="A1675" s="241">
        <v>38681</v>
      </c>
      <c r="B1675" s="242">
        <v>3.7</v>
      </c>
      <c r="C1675" s="238">
        <v>0.3</v>
      </c>
    </row>
    <row r="1676" spans="1:3" x14ac:dyDescent="0.2">
      <c r="A1676" s="241">
        <v>38682</v>
      </c>
      <c r="B1676" s="242">
        <v>1.5</v>
      </c>
      <c r="C1676" s="238">
        <v>1.5</v>
      </c>
    </row>
    <row r="1677" spans="1:3" x14ac:dyDescent="0.2">
      <c r="A1677" s="241">
        <v>38683</v>
      </c>
      <c r="B1677" s="242">
        <v>1.5</v>
      </c>
      <c r="C1677" s="238">
        <v>0.3</v>
      </c>
    </row>
    <row r="1678" spans="1:3" x14ac:dyDescent="0.2">
      <c r="A1678" s="241">
        <v>38684</v>
      </c>
      <c r="B1678" s="242">
        <v>2.9</v>
      </c>
      <c r="C1678" s="238">
        <v>4.0999999999999996</v>
      </c>
    </row>
    <row r="1679" spans="1:3" x14ac:dyDescent="0.2">
      <c r="A1679" s="241">
        <v>38685</v>
      </c>
      <c r="B1679" s="242">
        <v>5.0999999999999996</v>
      </c>
      <c r="C1679" s="238">
        <v>1.6</v>
      </c>
    </row>
    <row r="1680" spans="1:3" x14ac:dyDescent="0.2">
      <c r="A1680" s="241">
        <v>38686</v>
      </c>
      <c r="B1680" s="242">
        <v>5.6</v>
      </c>
      <c r="C1680" s="238">
        <v>1.3</v>
      </c>
    </row>
    <row r="1681" spans="1:3" x14ac:dyDescent="0.2">
      <c r="A1681" s="241">
        <v>38687</v>
      </c>
      <c r="B1681" s="242">
        <v>2.5</v>
      </c>
      <c r="C1681" s="238">
        <v>6.5</v>
      </c>
    </row>
    <row r="1682" spans="1:3" x14ac:dyDescent="0.2">
      <c r="A1682" s="241">
        <v>38688</v>
      </c>
      <c r="B1682" s="242">
        <v>4.3</v>
      </c>
      <c r="C1682" s="238">
        <v>0.7</v>
      </c>
    </row>
    <row r="1683" spans="1:3" x14ac:dyDescent="0.2">
      <c r="A1683" s="241">
        <v>38689</v>
      </c>
      <c r="B1683" s="242">
        <v>7.5</v>
      </c>
      <c r="C1683" s="238">
        <v>0.7</v>
      </c>
    </row>
    <row r="1684" spans="1:3" x14ac:dyDescent="0.2">
      <c r="A1684" s="241">
        <v>38690</v>
      </c>
      <c r="B1684" s="242">
        <v>7.6</v>
      </c>
      <c r="C1684" s="238">
        <v>0</v>
      </c>
    </row>
    <row r="1685" spans="1:3" x14ac:dyDescent="0.2">
      <c r="A1685" s="241">
        <v>38691</v>
      </c>
      <c r="B1685" s="242">
        <v>7.7</v>
      </c>
      <c r="C1685" s="238">
        <v>1.2</v>
      </c>
    </row>
    <row r="1686" spans="1:3" x14ac:dyDescent="0.2">
      <c r="A1686" s="241">
        <v>38692</v>
      </c>
      <c r="B1686" s="242">
        <v>7.1</v>
      </c>
      <c r="C1686" s="238">
        <v>0.3</v>
      </c>
    </row>
    <row r="1687" spans="1:3" x14ac:dyDescent="0.2">
      <c r="A1687" s="241">
        <v>38693</v>
      </c>
      <c r="B1687" s="242">
        <v>8.1</v>
      </c>
      <c r="C1687" s="238">
        <v>1.9</v>
      </c>
    </row>
    <row r="1688" spans="1:3" x14ac:dyDescent="0.2">
      <c r="A1688" s="241">
        <v>38694</v>
      </c>
      <c r="B1688" s="242">
        <v>3.6</v>
      </c>
      <c r="C1688" s="238">
        <v>5.4</v>
      </c>
    </row>
    <row r="1689" spans="1:3" x14ac:dyDescent="0.2">
      <c r="A1689" s="241">
        <v>38695</v>
      </c>
      <c r="B1689" s="242">
        <v>1.1000000000000001</v>
      </c>
      <c r="C1689" s="238">
        <v>5.9</v>
      </c>
    </row>
    <row r="1690" spans="1:3" x14ac:dyDescent="0.2">
      <c r="A1690" s="241">
        <v>38696</v>
      </c>
      <c r="B1690" s="242">
        <v>2.9</v>
      </c>
      <c r="C1690" s="238">
        <v>6.5</v>
      </c>
    </row>
    <row r="1691" spans="1:3" x14ac:dyDescent="0.2">
      <c r="A1691" s="241">
        <v>38697</v>
      </c>
      <c r="B1691" s="242">
        <v>8.3000000000000007</v>
      </c>
      <c r="C1691" s="238">
        <v>0</v>
      </c>
    </row>
    <row r="1692" spans="1:3" x14ac:dyDescent="0.2">
      <c r="A1692" s="241">
        <v>38698</v>
      </c>
      <c r="B1692" s="242">
        <v>8.4</v>
      </c>
      <c r="C1692" s="238">
        <v>5.6</v>
      </c>
    </row>
    <row r="1693" spans="1:3" x14ac:dyDescent="0.2">
      <c r="A1693" s="241">
        <v>38699</v>
      </c>
      <c r="B1693" s="242">
        <v>8</v>
      </c>
      <c r="C1693" s="238">
        <v>0</v>
      </c>
    </row>
    <row r="1694" spans="1:3" x14ac:dyDescent="0.2">
      <c r="A1694" s="241">
        <v>38700</v>
      </c>
      <c r="B1694" s="242">
        <v>8.1</v>
      </c>
      <c r="C1694" s="238">
        <v>1.1000000000000001</v>
      </c>
    </row>
    <row r="1695" spans="1:3" x14ac:dyDescent="0.2">
      <c r="A1695" s="241">
        <v>38701</v>
      </c>
      <c r="B1695" s="242">
        <v>8.8000000000000007</v>
      </c>
      <c r="C1695" s="238">
        <v>2.4</v>
      </c>
    </row>
    <row r="1696" spans="1:3" x14ac:dyDescent="0.2">
      <c r="A1696" s="241">
        <v>38702</v>
      </c>
      <c r="B1696" s="242">
        <v>7.2</v>
      </c>
      <c r="C1696" s="238">
        <v>2.2000000000000002</v>
      </c>
    </row>
    <row r="1697" spans="1:5" x14ac:dyDescent="0.2">
      <c r="A1697" s="241">
        <v>38703</v>
      </c>
      <c r="B1697" s="242">
        <v>4.3</v>
      </c>
      <c r="C1697" s="238">
        <v>3.8</v>
      </c>
    </row>
    <row r="1698" spans="1:5" x14ac:dyDescent="0.2">
      <c r="A1698" s="241">
        <v>38704</v>
      </c>
      <c r="B1698" s="242">
        <v>4.8</v>
      </c>
      <c r="C1698" s="238">
        <v>4.3</v>
      </c>
    </row>
    <row r="1699" spans="1:5" x14ac:dyDescent="0.2">
      <c r="A1699" s="241">
        <v>38705</v>
      </c>
      <c r="B1699" s="242">
        <v>7.2</v>
      </c>
      <c r="C1699" s="238">
        <v>3.9</v>
      </c>
    </row>
    <row r="1700" spans="1:5" x14ac:dyDescent="0.2">
      <c r="A1700" s="241">
        <v>38706</v>
      </c>
      <c r="B1700" s="242">
        <v>7.5</v>
      </c>
      <c r="C1700" s="238">
        <v>0</v>
      </c>
    </row>
    <row r="1701" spans="1:5" x14ac:dyDescent="0.2">
      <c r="A1701" s="241">
        <v>38707</v>
      </c>
      <c r="B1701" s="242">
        <v>7.4</v>
      </c>
      <c r="C1701" s="238">
        <v>0.5</v>
      </c>
    </row>
    <row r="1702" spans="1:5" x14ac:dyDescent="0.2">
      <c r="A1702" s="241">
        <v>38708</v>
      </c>
      <c r="B1702" s="242">
        <v>7.8</v>
      </c>
      <c r="C1702" s="238">
        <v>1</v>
      </c>
    </row>
    <row r="1703" spans="1:5" x14ac:dyDescent="0.2">
      <c r="A1703" s="241">
        <v>38709</v>
      </c>
      <c r="B1703" s="242">
        <v>8.4</v>
      </c>
      <c r="C1703" s="238">
        <v>1.2</v>
      </c>
    </row>
    <row r="1704" spans="1:5" x14ac:dyDescent="0.2">
      <c r="A1704" s="241">
        <v>38710</v>
      </c>
      <c r="B1704" s="242">
        <v>7.9</v>
      </c>
      <c r="C1704" s="238">
        <v>3.2</v>
      </c>
    </row>
    <row r="1705" spans="1:5" x14ac:dyDescent="0.2">
      <c r="A1705" s="241">
        <v>38711</v>
      </c>
      <c r="B1705" s="242">
        <v>5.7</v>
      </c>
      <c r="C1705" s="238">
        <v>5.0999999999999996</v>
      </c>
    </row>
    <row r="1706" spans="1:5" x14ac:dyDescent="0.2">
      <c r="A1706" s="241">
        <v>38712</v>
      </c>
      <c r="B1706" s="242">
        <v>2.7</v>
      </c>
      <c r="C1706" s="238">
        <v>4.5999999999999996</v>
      </c>
    </row>
    <row r="1707" spans="1:5" x14ac:dyDescent="0.2">
      <c r="A1707" s="241">
        <v>38713</v>
      </c>
      <c r="B1707" s="242">
        <v>-1.3</v>
      </c>
      <c r="C1707" s="238">
        <v>0.9</v>
      </c>
    </row>
    <row r="1708" spans="1:5" x14ac:dyDescent="0.2">
      <c r="A1708" s="241">
        <v>38714</v>
      </c>
      <c r="B1708" s="242">
        <v>-1.9</v>
      </c>
      <c r="C1708" s="238">
        <v>5.0999999999999996</v>
      </c>
    </row>
    <row r="1709" spans="1:5" x14ac:dyDescent="0.2">
      <c r="A1709" s="241">
        <v>38715</v>
      </c>
      <c r="B1709" s="242">
        <v>-1.9</v>
      </c>
      <c r="C1709" s="238">
        <v>4</v>
      </c>
    </row>
    <row r="1710" spans="1:5" x14ac:dyDescent="0.2">
      <c r="A1710" s="241">
        <v>38716</v>
      </c>
      <c r="B1710" s="242">
        <v>-0.7</v>
      </c>
      <c r="C1710" s="238">
        <v>0.5</v>
      </c>
      <c r="D1710" s="238" t="s">
        <v>15</v>
      </c>
      <c r="E1710" s="238" t="s">
        <v>16</v>
      </c>
    </row>
    <row r="1711" spans="1:5" x14ac:dyDescent="0.2">
      <c r="A1711" s="241">
        <v>38717</v>
      </c>
      <c r="B1711" s="242">
        <v>6.1</v>
      </c>
      <c r="C1711" s="238">
        <v>0.9</v>
      </c>
      <c r="D1711" s="242">
        <f>AVERAGE(B1347:B1711)</f>
        <v>10.724383561643826</v>
      </c>
      <c r="E1711" s="243">
        <f>SUM(C1347:C1711)</f>
        <v>1876.3</v>
      </c>
    </row>
    <row r="1712" spans="1:5" x14ac:dyDescent="0.2">
      <c r="A1712" s="241">
        <v>38718</v>
      </c>
      <c r="B1712" s="242">
        <v>3.9</v>
      </c>
      <c r="C1712" s="238">
        <v>0</v>
      </c>
    </row>
    <row r="1713" spans="1:3" x14ac:dyDescent="0.2">
      <c r="A1713" s="241">
        <v>38719</v>
      </c>
      <c r="B1713" s="242">
        <v>2.8</v>
      </c>
      <c r="C1713" s="238">
        <v>3.5</v>
      </c>
    </row>
    <row r="1714" spans="1:3" x14ac:dyDescent="0.2">
      <c r="A1714" s="241">
        <v>38720</v>
      </c>
      <c r="B1714" s="242">
        <v>1.8</v>
      </c>
      <c r="C1714" s="238">
        <v>2.9</v>
      </c>
    </row>
    <row r="1715" spans="1:3" x14ac:dyDescent="0.2">
      <c r="A1715" s="241">
        <v>38721</v>
      </c>
      <c r="B1715" s="242">
        <v>2.1</v>
      </c>
      <c r="C1715" s="238">
        <v>3.1</v>
      </c>
    </row>
    <row r="1716" spans="1:3" x14ac:dyDescent="0.2">
      <c r="A1716" s="241">
        <v>38722</v>
      </c>
      <c r="B1716" s="242">
        <v>0.7</v>
      </c>
      <c r="C1716" s="238">
        <v>0</v>
      </c>
    </row>
    <row r="1717" spans="1:3" x14ac:dyDescent="0.2">
      <c r="A1717" s="241">
        <v>38723</v>
      </c>
      <c r="B1717" s="242">
        <v>1.4</v>
      </c>
      <c r="C1717" s="238">
        <v>0</v>
      </c>
    </row>
    <row r="1718" spans="1:3" x14ac:dyDescent="0.2">
      <c r="A1718" s="241">
        <v>38724</v>
      </c>
      <c r="B1718" s="242">
        <v>1.4</v>
      </c>
      <c r="C1718" s="238">
        <v>2.2999999999999998</v>
      </c>
    </row>
    <row r="1719" spans="1:3" x14ac:dyDescent="0.2">
      <c r="A1719" s="241">
        <v>38725</v>
      </c>
      <c r="B1719" s="242">
        <v>1.4</v>
      </c>
      <c r="C1719" s="238">
        <v>0.2</v>
      </c>
    </row>
    <row r="1720" spans="1:3" x14ac:dyDescent="0.2">
      <c r="A1720" s="241">
        <v>38726</v>
      </c>
      <c r="B1720" s="242">
        <v>0</v>
      </c>
      <c r="C1720" s="238">
        <v>6.5</v>
      </c>
    </row>
    <row r="1721" spans="1:3" x14ac:dyDescent="0.2">
      <c r="A1721" s="241">
        <v>38727</v>
      </c>
      <c r="B1721" s="242">
        <v>4.5999999999999996</v>
      </c>
      <c r="C1721" s="238">
        <v>0</v>
      </c>
    </row>
    <row r="1722" spans="1:3" x14ac:dyDescent="0.2">
      <c r="A1722" s="241">
        <v>38728</v>
      </c>
      <c r="B1722" s="242">
        <v>5.2</v>
      </c>
      <c r="C1722" s="238">
        <v>0</v>
      </c>
    </row>
    <row r="1723" spans="1:3" x14ac:dyDescent="0.2">
      <c r="A1723" s="241">
        <v>38729</v>
      </c>
      <c r="B1723" s="242">
        <v>1.8</v>
      </c>
      <c r="C1723" s="238">
        <v>0</v>
      </c>
    </row>
    <row r="1724" spans="1:3" x14ac:dyDescent="0.2">
      <c r="A1724" s="241">
        <v>38730</v>
      </c>
      <c r="B1724" s="242">
        <v>2.4</v>
      </c>
      <c r="C1724" s="238">
        <v>0.7</v>
      </c>
    </row>
    <row r="1725" spans="1:3" x14ac:dyDescent="0.2">
      <c r="A1725" s="241">
        <v>38731</v>
      </c>
      <c r="B1725" s="242">
        <v>2.6</v>
      </c>
      <c r="C1725" s="238">
        <v>6.7</v>
      </c>
    </row>
    <row r="1726" spans="1:3" x14ac:dyDescent="0.2">
      <c r="A1726" s="241">
        <v>38732</v>
      </c>
      <c r="B1726" s="242">
        <v>1</v>
      </c>
      <c r="C1726" s="238">
        <v>6.9</v>
      </c>
    </row>
    <row r="1727" spans="1:3" x14ac:dyDescent="0.2">
      <c r="A1727" s="241">
        <v>38733</v>
      </c>
      <c r="B1727" s="242">
        <v>1.8</v>
      </c>
      <c r="C1727" s="238">
        <v>4</v>
      </c>
    </row>
    <row r="1728" spans="1:3" x14ac:dyDescent="0.2">
      <c r="A1728" s="241">
        <v>38734</v>
      </c>
      <c r="B1728" s="242">
        <v>5.8</v>
      </c>
      <c r="C1728" s="238">
        <v>0.2</v>
      </c>
    </row>
    <row r="1729" spans="1:3" x14ac:dyDescent="0.2">
      <c r="A1729" s="241">
        <v>38735</v>
      </c>
      <c r="B1729" s="242">
        <v>3.9</v>
      </c>
      <c r="C1729" s="238">
        <v>2.5</v>
      </c>
    </row>
    <row r="1730" spans="1:3" x14ac:dyDescent="0.2">
      <c r="A1730" s="241">
        <v>38736</v>
      </c>
      <c r="B1730" s="242">
        <v>6.2</v>
      </c>
      <c r="C1730" s="238">
        <v>0</v>
      </c>
    </row>
    <row r="1731" spans="1:3" x14ac:dyDescent="0.2">
      <c r="A1731" s="241">
        <v>38737</v>
      </c>
      <c r="B1731" s="242">
        <v>7.1</v>
      </c>
      <c r="C1731" s="238">
        <v>1.5</v>
      </c>
    </row>
    <row r="1732" spans="1:3" x14ac:dyDescent="0.2">
      <c r="A1732" s="241">
        <v>38738</v>
      </c>
      <c r="B1732" s="242">
        <v>5.8</v>
      </c>
      <c r="C1732" s="238">
        <v>3.7</v>
      </c>
    </row>
    <row r="1733" spans="1:3" x14ac:dyDescent="0.2">
      <c r="A1733" s="241">
        <v>38739</v>
      </c>
      <c r="B1733" s="242">
        <v>-0.1</v>
      </c>
      <c r="C1733" s="238">
        <v>0</v>
      </c>
    </row>
    <row r="1734" spans="1:3" x14ac:dyDescent="0.2">
      <c r="A1734" s="241">
        <v>38740</v>
      </c>
      <c r="B1734" s="242">
        <v>-2.2999999999999998</v>
      </c>
      <c r="C1734" s="238">
        <v>7.1</v>
      </c>
    </row>
    <row r="1735" spans="1:3" x14ac:dyDescent="0.2">
      <c r="A1735" s="241">
        <v>38741</v>
      </c>
      <c r="B1735" s="242">
        <v>-1.3</v>
      </c>
      <c r="C1735" s="238">
        <v>5.9</v>
      </c>
    </row>
    <row r="1736" spans="1:3" x14ac:dyDescent="0.2">
      <c r="A1736" s="241">
        <v>38742</v>
      </c>
      <c r="B1736" s="242">
        <v>4</v>
      </c>
      <c r="C1736" s="238">
        <v>2.9</v>
      </c>
    </row>
    <row r="1737" spans="1:3" x14ac:dyDescent="0.2">
      <c r="A1737" s="241">
        <v>38743</v>
      </c>
      <c r="B1737" s="242">
        <v>1.3</v>
      </c>
      <c r="C1737" s="238">
        <v>0.5</v>
      </c>
    </row>
    <row r="1738" spans="1:3" x14ac:dyDescent="0.2">
      <c r="A1738" s="241">
        <v>38744</v>
      </c>
      <c r="B1738" s="242">
        <v>-0.6</v>
      </c>
      <c r="C1738" s="238">
        <v>0</v>
      </c>
    </row>
    <row r="1739" spans="1:3" x14ac:dyDescent="0.2">
      <c r="A1739" s="241">
        <v>38745</v>
      </c>
      <c r="B1739" s="242">
        <v>-2.5</v>
      </c>
      <c r="C1739" s="238">
        <v>7.3</v>
      </c>
    </row>
    <row r="1740" spans="1:3" x14ac:dyDescent="0.2">
      <c r="A1740" s="241">
        <v>38746</v>
      </c>
      <c r="B1740" s="242">
        <v>0.5</v>
      </c>
      <c r="C1740" s="238">
        <v>7.9</v>
      </c>
    </row>
    <row r="1741" spans="1:3" x14ac:dyDescent="0.2">
      <c r="A1741" s="241">
        <v>38747</v>
      </c>
      <c r="B1741" s="242">
        <v>3.3</v>
      </c>
      <c r="C1741" s="238">
        <v>3.1</v>
      </c>
    </row>
    <row r="1742" spans="1:3" x14ac:dyDescent="0.2">
      <c r="A1742" s="241">
        <v>38748</v>
      </c>
      <c r="B1742" s="242">
        <v>0.5</v>
      </c>
      <c r="C1742" s="238">
        <v>0.7</v>
      </c>
    </row>
    <row r="1743" spans="1:3" x14ac:dyDescent="0.2">
      <c r="A1743" s="241">
        <v>38749</v>
      </c>
      <c r="B1743" s="242">
        <v>-2.2999999999999998</v>
      </c>
      <c r="C1743" s="238">
        <v>0.3</v>
      </c>
    </row>
    <row r="1744" spans="1:3" x14ac:dyDescent="0.2">
      <c r="A1744" s="241">
        <v>38750</v>
      </c>
      <c r="B1744" s="242">
        <v>1.1000000000000001</v>
      </c>
      <c r="C1744" s="238">
        <v>0</v>
      </c>
    </row>
    <row r="1745" spans="1:3" x14ac:dyDescent="0.2">
      <c r="A1745" s="241">
        <v>38751</v>
      </c>
      <c r="B1745" s="242">
        <v>3.9</v>
      </c>
      <c r="C1745" s="238">
        <v>0</v>
      </c>
    </row>
    <row r="1746" spans="1:3" x14ac:dyDescent="0.2">
      <c r="A1746" s="241">
        <v>38752</v>
      </c>
      <c r="B1746" s="242">
        <v>4</v>
      </c>
      <c r="C1746" s="238">
        <v>1.6</v>
      </c>
    </row>
    <row r="1747" spans="1:3" x14ac:dyDescent="0.2">
      <c r="A1747" s="241">
        <v>38753</v>
      </c>
      <c r="B1747" s="242">
        <v>4.2</v>
      </c>
      <c r="C1747" s="238">
        <v>0</v>
      </c>
    </row>
    <row r="1748" spans="1:3" x14ac:dyDescent="0.2">
      <c r="A1748" s="241">
        <v>38754</v>
      </c>
      <c r="B1748" s="242">
        <v>5</v>
      </c>
      <c r="C1748" s="238">
        <v>0</v>
      </c>
    </row>
    <row r="1749" spans="1:3" x14ac:dyDescent="0.2">
      <c r="A1749" s="241">
        <v>38755</v>
      </c>
      <c r="B1749" s="242">
        <v>6.2</v>
      </c>
      <c r="C1749" s="238">
        <v>0.1</v>
      </c>
    </row>
    <row r="1750" spans="1:3" x14ac:dyDescent="0.2">
      <c r="A1750" s="241">
        <v>38756</v>
      </c>
      <c r="B1750" s="242">
        <v>5.0999999999999996</v>
      </c>
      <c r="C1750" s="238">
        <v>4.3</v>
      </c>
    </row>
    <row r="1751" spans="1:3" x14ac:dyDescent="0.2">
      <c r="A1751" s="241">
        <v>38757</v>
      </c>
      <c r="B1751" s="242">
        <v>3.9</v>
      </c>
      <c r="C1751" s="238">
        <v>6</v>
      </c>
    </row>
    <row r="1752" spans="1:3" x14ac:dyDescent="0.2">
      <c r="A1752" s="241">
        <v>38758</v>
      </c>
      <c r="B1752" s="242">
        <v>3</v>
      </c>
      <c r="C1752" s="238">
        <v>0</v>
      </c>
    </row>
    <row r="1753" spans="1:3" x14ac:dyDescent="0.2">
      <c r="A1753" s="241">
        <v>38759</v>
      </c>
      <c r="B1753" s="242">
        <v>2</v>
      </c>
      <c r="C1753" s="238">
        <v>0</v>
      </c>
    </row>
    <row r="1754" spans="1:3" x14ac:dyDescent="0.2">
      <c r="A1754" s="241">
        <v>38760</v>
      </c>
      <c r="B1754" s="242">
        <v>2</v>
      </c>
      <c r="C1754" s="238">
        <v>0</v>
      </c>
    </row>
    <row r="1755" spans="1:3" x14ac:dyDescent="0.2">
      <c r="A1755" s="241">
        <v>38761</v>
      </c>
      <c r="B1755" s="242">
        <v>2.7</v>
      </c>
      <c r="C1755" s="238">
        <v>0</v>
      </c>
    </row>
    <row r="1756" spans="1:3" x14ac:dyDescent="0.2">
      <c r="A1756" s="241">
        <v>38762</v>
      </c>
      <c r="B1756" s="242">
        <v>5.6</v>
      </c>
      <c r="C1756" s="238">
        <v>1.3</v>
      </c>
    </row>
    <row r="1757" spans="1:3" x14ac:dyDescent="0.2">
      <c r="A1757" s="241">
        <v>38763</v>
      </c>
      <c r="B1757" s="242">
        <v>6.1</v>
      </c>
      <c r="C1757" s="238">
        <v>4.3</v>
      </c>
    </row>
    <row r="1758" spans="1:3" x14ac:dyDescent="0.2">
      <c r="A1758" s="241">
        <v>38764</v>
      </c>
      <c r="B1758" s="242">
        <v>5.6</v>
      </c>
      <c r="C1758" s="238">
        <v>1</v>
      </c>
    </row>
    <row r="1759" spans="1:3" x14ac:dyDescent="0.2">
      <c r="A1759" s="241">
        <v>38765</v>
      </c>
      <c r="B1759" s="242">
        <v>5.0999999999999996</v>
      </c>
      <c r="C1759" s="238">
        <v>0.2</v>
      </c>
    </row>
    <row r="1760" spans="1:3" x14ac:dyDescent="0.2">
      <c r="A1760" s="241">
        <v>38766</v>
      </c>
      <c r="B1760" s="242">
        <v>4.7</v>
      </c>
      <c r="C1760" s="238">
        <v>2.2999999999999998</v>
      </c>
    </row>
    <row r="1761" spans="1:3" x14ac:dyDescent="0.2">
      <c r="A1761" s="241">
        <v>38767</v>
      </c>
      <c r="B1761" s="242">
        <v>3.6</v>
      </c>
      <c r="C1761" s="238">
        <v>0.6</v>
      </c>
    </row>
    <row r="1762" spans="1:3" x14ac:dyDescent="0.2">
      <c r="A1762" s="241">
        <v>38768</v>
      </c>
      <c r="B1762" s="242">
        <v>3</v>
      </c>
      <c r="C1762" s="238">
        <v>0</v>
      </c>
    </row>
    <row r="1763" spans="1:3" x14ac:dyDescent="0.2">
      <c r="A1763" s="241">
        <v>38769</v>
      </c>
      <c r="B1763" s="242">
        <v>3</v>
      </c>
      <c r="C1763" s="238">
        <v>0.4</v>
      </c>
    </row>
    <row r="1764" spans="1:3" x14ac:dyDescent="0.2">
      <c r="A1764" s="241">
        <v>38770</v>
      </c>
      <c r="B1764" s="242">
        <v>1.3</v>
      </c>
      <c r="C1764" s="238">
        <v>0</v>
      </c>
    </row>
    <row r="1765" spans="1:3" x14ac:dyDescent="0.2">
      <c r="A1765" s="241">
        <v>38771</v>
      </c>
      <c r="B1765" s="242">
        <v>0.5</v>
      </c>
      <c r="C1765" s="238">
        <v>3.3</v>
      </c>
    </row>
    <row r="1766" spans="1:3" x14ac:dyDescent="0.2">
      <c r="A1766" s="241">
        <v>38772</v>
      </c>
      <c r="B1766" s="242">
        <v>1.1000000000000001</v>
      </c>
      <c r="C1766" s="238">
        <v>9.3000000000000007</v>
      </c>
    </row>
    <row r="1767" spans="1:3" x14ac:dyDescent="0.2">
      <c r="A1767" s="241">
        <v>38773</v>
      </c>
      <c r="B1767" s="242">
        <v>0.3</v>
      </c>
      <c r="C1767" s="238">
        <v>9.3000000000000007</v>
      </c>
    </row>
    <row r="1768" spans="1:3" x14ac:dyDescent="0.2">
      <c r="A1768" s="241">
        <v>38774</v>
      </c>
      <c r="B1768" s="242">
        <v>1.8</v>
      </c>
      <c r="C1768" s="238">
        <v>7.1</v>
      </c>
    </row>
    <row r="1769" spans="1:3" x14ac:dyDescent="0.2">
      <c r="A1769" s="241">
        <v>38775</v>
      </c>
      <c r="B1769" s="242">
        <v>3.3</v>
      </c>
      <c r="C1769" s="238">
        <v>1.6</v>
      </c>
    </row>
    <row r="1770" spans="1:3" x14ac:dyDescent="0.2">
      <c r="A1770" s="241">
        <v>38776</v>
      </c>
      <c r="B1770" s="242">
        <v>2.2000000000000002</v>
      </c>
      <c r="C1770" s="238">
        <v>3.6</v>
      </c>
    </row>
    <row r="1771" spans="1:3" x14ac:dyDescent="0.2">
      <c r="A1771" s="241">
        <v>38777</v>
      </c>
      <c r="B1771" s="242">
        <v>1.8</v>
      </c>
      <c r="C1771" s="238">
        <v>2.2999999999999998</v>
      </c>
    </row>
    <row r="1772" spans="1:3" x14ac:dyDescent="0.2">
      <c r="A1772" s="241">
        <v>38778</v>
      </c>
      <c r="B1772" s="242">
        <v>2.2999999999999998</v>
      </c>
      <c r="C1772" s="238">
        <v>7.5</v>
      </c>
    </row>
    <row r="1773" spans="1:3" x14ac:dyDescent="0.2">
      <c r="A1773" s="241">
        <v>38779</v>
      </c>
      <c r="B1773" s="242">
        <v>0.6</v>
      </c>
      <c r="C1773" s="238">
        <v>5.6</v>
      </c>
    </row>
    <row r="1774" spans="1:3" x14ac:dyDescent="0.2">
      <c r="A1774" s="241">
        <v>38780</v>
      </c>
      <c r="B1774" s="242">
        <v>2.2999999999999998</v>
      </c>
      <c r="C1774" s="238">
        <v>7.2</v>
      </c>
    </row>
    <row r="1775" spans="1:3" x14ac:dyDescent="0.2">
      <c r="A1775" s="241">
        <v>38781</v>
      </c>
      <c r="B1775" s="242">
        <v>3.1</v>
      </c>
      <c r="C1775" s="238">
        <v>7.3</v>
      </c>
    </row>
    <row r="1776" spans="1:3" x14ac:dyDescent="0.2">
      <c r="A1776" s="241">
        <v>38782</v>
      </c>
      <c r="B1776" s="242">
        <v>3.2</v>
      </c>
      <c r="C1776" s="238">
        <v>8.4</v>
      </c>
    </row>
    <row r="1777" spans="1:3" x14ac:dyDescent="0.2">
      <c r="A1777" s="241">
        <v>38783</v>
      </c>
      <c r="B1777" s="242">
        <v>4</v>
      </c>
      <c r="C1777" s="238">
        <v>7</v>
      </c>
    </row>
    <row r="1778" spans="1:3" x14ac:dyDescent="0.2">
      <c r="A1778" s="241">
        <v>38784</v>
      </c>
      <c r="B1778" s="242">
        <v>4.2</v>
      </c>
      <c r="C1778" s="238">
        <v>0</v>
      </c>
    </row>
    <row r="1779" spans="1:3" x14ac:dyDescent="0.2">
      <c r="A1779" s="241">
        <v>38785</v>
      </c>
      <c r="B1779" s="242">
        <v>4.8</v>
      </c>
      <c r="C1779" s="238">
        <v>0.3</v>
      </c>
    </row>
    <row r="1780" spans="1:3" x14ac:dyDescent="0.2">
      <c r="A1780" s="241">
        <v>38786</v>
      </c>
      <c r="B1780" s="242">
        <v>4.7</v>
      </c>
      <c r="C1780" s="238">
        <v>3.3</v>
      </c>
    </row>
    <row r="1781" spans="1:3" x14ac:dyDescent="0.2">
      <c r="A1781" s="241">
        <v>38787</v>
      </c>
      <c r="B1781" s="242">
        <v>-0.7</v>
      </c>
      <c r="C1781" s="238">
        <v>6.6</v>
      </c>
    </row>
    <row r="1782" spans="1:3" x14ac:dyDescent="0.2">
      <c r="A1782" s="241">
        <v>38788</v>
      </c>
      <c r="B1782" s="242">
        <v>-2.9</v>
      </c>
      <c r="C1782" s="238">
        <v>10.1</v>
      </c>
    </row>
    <row r="1783" spans="1:3" x14ac:dyDescent="0.2">
      <c r="A1783" s="241">
        <v>38789</v>
      </c>
      <c r="B1783" s="242">
        <v>-0.9</v>
      </c>
      <c r="C1783" s="238">
        <v>10.5</v>
      </c>
    </row>
    <row r="1784" spans="1:3" x14ac:dyDescent="0.2">
      <c r="A1784" s="241">
        <v>38790</v>
      </c>
      <c r="B1784" s="242">
        <v>0.8</v>
      </c>
      <c r="C1784" s="238">
        <v>3.7</v>
      </c>
    </row>
    <row r="1785" spans="1:3" x14ac:dyDescent="0.2">
      <c r="A1785" s="241">
        <v>38791</v>
      </c>
      <c r="B1785" s="242">
        <v>0.5</v>
      </c>
      <c r="C1785" s="238">
        <v>10</v>
      </c>
    </row>
    <row r="1786" spans="1:3" x14ac:dyDescent="0.2">
      <c r="A1786" s="241">
        <v>38792</v>
      </c>
      <c r="B1786" s="242">
        <v>1.2</v>
      </c>
      <c r="C1786" s="238">
        <v>0</v>
      </c>
    </row>
    <row r="1787" spans="1:3" x14ac:dyDescent="0.2">
      <c r="A1787" s="241">
        <v>38793</v>
      </c>
      <c r="B1787" s="242">
        <v>0.9</v>
      </c>
      <c r="C1787" s="238">
        <v>0</v>
      </c>
    </row>
    <row r="1788" spans="1:3" x14ac:dyDescent="0.2">
      <c r="A1788" s="241">
        <v>38794</v>
      </c>
      <c r="B1788" s="242">
        <v>-0.2</v>
      </c>
      <c r="C1788" s="238">
        <v>2</v>
      </c>
    </row>
    <row r="1789" spans="1:3" x14ac:dyDescent="0.2">
      <c r="A1789" s="241">
        <v>38795</v>
      </c>
      <c r="B1789" s="242">
        <v>2.1</v>
      </c>
      <c r="C1789" s="238">
        <v>0</v>
      </c>
    </row>
    <row r="1790" spans="1:3" x14ac:dyDescent="0.2">
      <c r="A1790" s="241">
        <v>38796</v>
      </c>
      <c r="B1790" s="242">
        <v>4.0999999999999996</v>
      </c>
      <c r="C1790" s="238">
        <v>5</v>
      </c>
    </row>
    <row r="1791" spans="1:3" x14ac:dyDescent="0.2">
      <c r="A1791" s="241">
        <v>38797</v>
      </c>
      <c r="B1791" s="242">
        <v>2.2999999999999998</v>
      </c>
      <c r="C1791" s="238">
        <v>6.2</v>
      </c>
    </row>
    <row r="1792" spans="1:3" x14ac:dyDescent="0.2">
      <c r="A1792" s="241">
        <v>38798</v>
      </c>
      <c r="B1792" s="242">
        <v>-0.1</v>
      </c>
      <c r="C1792" s="238">
        <v>8.1999999999999993</v>
      </c>
    </row>
    <row r="1793" spans="1:3" x14ac:dyDescent="0.2">
      <c r="A1793" s="241">
        <v>38799</v>
      </c>
      <c r="B1793" s="242">
        <v>3.2</v>
      </c>
      <c r="C1793" s="238">
        <v>11.1</v>
      </c>
    </row>
    <row r="1794" spans="1:3" x14ac:dyDescent="0.2">
      <c r="A1794" s="241">
        <v>38800</v>
      </c>
      <c r="B1794" s="242">
        <v>6</v>
      </c>
      <c r="C1794" s="238">
        <v>0.8</v>
      </c>
    </row>
    <row r="1795" spans="1:3" x14ac:dyDescent="0.2">
      <c r="A1795" s="241">
        <v>38801</v>
      </c>
      <c r="B1795" s="242">
        <v>8.4</v>
      </c>
      <c r="C1795" s="238">
        <v>3.7</v>
      </c>
    </row>
    <row r="1796" spans="1:3" x14ac:dyDescent="0.2">
      <c r="A1796" s="241">
        <v>38802</v>
      </c>
      <c r="B1796" s="242">
        <v>9.8000000000000007</v>
      </c>
      <c r="C1796" s="238">
        <v>3.6</v>
      </c>
    </row>
    <row r="1797" spans="1:3" x14ac:dyDescent="0.2">
      <c r="A1797" s="241">
        <v>38803</v>
      </c>
      <c r="B1797" s="242">
        <v>11.2</v>
      </c>
      <c r="C1797" s="238">
        <v>4.8</v>
      </c>
    </row>
    <row r="1798" spans="1:3" x14ac:dyDescent="0.2">
      <c r="A1798" s="241">
        <v>38804</v>
      </c>
      <c r="B1798" s="242">
        <v>7.9</v>
      </c>
      <c r="C1798" s="238">
        <v>10.6</v>
      </c>
    </row>
    <row r="1799" spans="1:3" x14ac:dyDescent="0.2">
      <c r="A1799" s="241">
        <v>38805</v>
      </c>
      <c r="B1799" s="242">
        <v>7.2</v>
      </c>
      <c r="C1799" s="238">
        <v>7.9</v>
      </c>
    </row>
    <row r="1800" spans="1:3" x14ac:dyDescent="0.2">
      <c r="A1800" s="241">
        <v>38806</v>
      </c>
      <c r="B1800" s="242">
        <v>8.8000000000000007</v>
      </c>
      <c r="C1800" s="238">
        <v>4.9000000000000004</v>
      </c>
    </row>
    <row r="1801" spans="1:3" x14ac:dyDescent="0.2">
      <c r="A1801" s="241">
        <v>38807</v>
      </c>
      <c r="B1801" s="242">
        <v>8.3000000000000007</v>
      </c>
      <c r="C1801" s="238">
        <v>4.3</v>
      </c>
    </row>
    <row r="1802" spans="1:3" x14ac:dyDescent="0.2">
      <c r="A1802" s="241">
        <v>38808</v>
      </c>
      <c r="B1802" s="242">
        <v>9.6</v>
      </c>
      <c r="C1802" s="238">
        <v>7.7</v>
      </c>
    </row>
    <row r="1803" spans="1:3" x14ac:dyDescent="0.2">
      <c r="A1803" s="241">
        <v>38809</v>
      </c>
      <c r="B1803" s="242">
        <v>8.1</v>
      </c>
      <c r="C1803" s="238">
        <v>7.2</v>
      </c>
    </row>
    <row r="1804" spans="1:3" x14ac:dyDescent="0.2">
      <c r="A1804" s="241">
        <v>38810</v>
      </c>
      <c r="B1804" s="242">
        <v>6.8</v>
      </c>
      <c r="C1804" s="238">
        <v>5.2</v>
      </c>
    </row>
    <row r="1805" spans="1:3" x14ac:dyDescent="0.2">
      <c r="A1805" s="241">
        <v>38811</v>
      </c>
      <c r="B1805" s="242">
        <v>4.8</v>
      </c>
      <c r="C1805" s="238">
        <v>9.9</v>
      </c>
    </row>
    <row r="1806" spans="1:3" x14ac:dyDescent="0.2">
      <c r="A1806" s="241">
        <v>38812</v>
      </c>
      <c r="B1806" s="242">
        <v>5</v>
      </c>
      <c r="C1806" s="238">
        <v>10.7</v>
      </c>
    </row>
    <row r="1807" spans="1:3" x14ac:dyDescent="0.2">
      <c r="A1807" s="241">
        <v>38813</v>
      </c>
      <c r="B1807" s="242">
        <v>6.9</v>
      </c>
      <c r="C1807" s="238">
        <v>4.3</v>
      </c>
    </row>
    <row r="1808" spans="1:3" x14ac:dyDescent="0.2">
      <c r="A1808" s="241">
        <v>38814</v>
      </c>
      <c r="B1808" s="242">
        <v>7.3</v>
      </c>
      <c r="C1808" s="238">
        <v>8</v>
      </c>
    </row>
    <row r="1809" spans="1:3" x14ac:dyDescent="0.2">
      <c r="A1809" s="241">
        <v>38815</v>
      </c>
      <c r="B1809" s="242">
        <v>7</v>
      </c>
      <c r="C1809" s="238">
        <v>6.9</v>
      </c>
    </row>
    <row r="1810" spans="1:3" x14ac:dyDescent="0.2">
      <c r="A1810" s="241">
        <v>38816</v>
      </c>
      <c r="B1810" s="242">
        <v>6</v>
      </c>
      <c r="C1810" s="238">
        <v>9.4</v>
      </c>
    </row>
    <row r="1811" spans="1:3" x14ac:dyDescent="0.2">
      <c r="A1811" s="241">
        <v>38817</v>
      </c>
      <c r="B1811" s="242">
        <v>5.4</v>
      </c>
      <c r="C1811" s="238">
        <v>8.9</v>
      </c>
    </row>
    <row r="1812" spans="1:3" x14ac:dyDescent="0.2">
      <c r="A1812" s="241">
        <v>38818</v>
      </c>
      <c r="B1812" s="242">
        <v>6</v>
      </c>
      <c r="C1812" s="238">
        <v>3.1</v>
      </c>
    </row>
    <row r="1813" spans="1:3" x14ac:dyDescent="0.2">
      <c r="A1813" s="241">
        <v>38819</v>
      </c>
      <c r="B1813" s="242">
        <v>7.7</v>
      </c>
      <c r="C1813" s="238">
        <v>9.3000000000000007</v>
      </c>
    </row>
    <row r="1814" spans="1:3" x14ac:dyDescent="0.2">
      <c r="A1814" s="241">
        <v>38820</v>
      </c>
      <c r="B1814" s="242">
        <v>8.1999999999999993</v>
      </c>
      <c r="C1814" s="238">
        <v>2.4</v>
      </c>
    </row>
    <row r="1815" spans="1:3" x14ac:dyDescent="0.2">
      <c r="A1815" s="241">
        <v>38821</v>
      </c>
      <c r="B1815" s="242">
        <v>8.1</v>
      </c>
      <c r="C1815" s="238">
        <v>9.1999999999999993</v>
      </c>
    </row>
    <row r="1816" spans="1:3" x14ac:dyDescent="0.2">
      <c r="A1816" s="241">
        <v>38822</v>
      </c>
      <c r="B1816" s="242">
        <v>9.4</v>
      </c>
      <c r="C1816" s="238">
        <v>2</v>
      </c>
    </row>
    <row r="1817" spans="1:3" x14ac:dyDescent="0.2">
      <c r="A1817" s="241">
        <v>38823</v>
      </c>
      <c r="B1817" s="242">
        <v>8.6999999999999993</v>
      </c>
      <c r="C1817" s="238">
        <v>5.0999999999999996</v>
      </c>
    </row>
    <row r="1818" spans="1:3" x14ac:dyDescent="0.2">
      <c r="A1818" s="241">
        <v>38824</v>
      </c>
      <c r="B1818" s="242">
        <v>8.8000000000000007</v>
      </c>
      <c r="C1818" s="238">
        <v>6.5</v>
      </c>
    </row>
    <row r="1819" spans="1:3" x14ac:dyDescent="0.2">
      <c r="A1819" s="241">
        <v>38825</v>
      </c>
      <c r="B1819" s="242">
        <v>8.3000000000000007</v>
      </c>
      <c r="C1819" s="238">
        <v>0.9</v>
      </c>
    </row>
    <row r="1820" spans="1:3" x14ac:dyDescent="0.2">
      <c r="A1820" s="241">
        <v>38826</v>
      </c>
      <c r="B1820" s="242">
        <v>9.1</v>
      </c>
      <c r="C1820" s="238">
        <v>2.5</v>
      </c>
    </row>
    <row r="1821" spans="1:3" x14ac:dyDescent="0.2">
      <c r="A1821" s="241">
        <v>38827</v>
      </c>
      <c r="B1821" s="242">
        <v>10.4</v>
      </c>
      <c r="C1821" s="238">
        <v>2.2999999999999998</v>
      </c>
    </row>
    <row r="1822" spans="1:3" x14ac:dyDescent="0.2">
      <c r="A1822" s="241">
        <v>38828</v>
      </c>
      <c r="B1822" s="242">
        <v>10.8</v>
      </c>
      <c r="C1822" s="238">
        <v>4.7</v>
      </c>
    </row>
    <row r="1823" spans="1:3" x14ac:dyDescent="0.2">
      <c r="A1823" s="241">
        <v>38829</v>
      </c>
      <c r="B1823" s="242">
        <v>7.1</v>
      </c>
      <c r="C1823" s="238">
        <v>0</v>
      </c>
    </row>
    <row r="1824" spans="1:3" x14ac:dyDescent="0.2">
      <c r="A1824" s="241">
        <v>38830</v>
      </c>
      <c r="B1824" s="242">
        <v>7.6</v>
      </c>
      <c r="C1824" s="238">
        <v>4.5</v>
      </c>
    </row>
    <row r="1825" spans="1:3" x14ac:dyDescent="0.2">
      <c r="A1825" s="241">
        <v>38831</v>
      </c>
      <c r="B1825" s="242">
        <v>11.6</v>
      </c>
      <c r="C1825" s="238">
        <v>4.3</v>
      </c>
    </row>
    <row r="1826" spans="1:3" x14ac:dyDescent="0.2">
      <c r="A1826" s="241">
        <v>38832</v>
      </c>
      <c r="B1826" s="242">
        <v>11.5</v>
      </c>
      <c r="C1826" s="238">
        <v>5.4</v>
      </c>
    </row>
    <row r="1827" spans="1:3" x14ac:dyDescent="0.2">
      <c r="A1827" s="241">
        <v>38833</v>
      </c>
      <c r="B1827" s="242">
        <v>9.3000000000000007</v>
      </c>
      <c r="C1827" s="238">
        <v>3.3</v>
      </c>
    </row>
    <row r="1828" spans="1:3" x14ac:dyDescent="0.2">
      <c r="A1828" s="241">
        <v>38834</v>
      </c>
      <c r="B1828" s="242">
        <v>8</v>
      </c>
      <c r="C1828" s="238">
        <v>8.9</v>
      </c>
    </row>
    <row r="1829" spans="1:3" x14ac:dyDescent="0.2">
      <c r="A1829" s="241">
        <v>38835</v>
      </c>
      <c r="B1829" s="242">
        <v>6.8</v>
      </c>
      <c r="C1829" s="238">
        <v>4.3</v>
      </c>
    </row>
    <row r="1830" spans="1:3" x14ac:dyDescent="0.2">
      <c r="A1830" s="241">
        <v>38836</v>
      </c>
      <c r="B1830" s="242">
        <v>7.4</v>
      </c>
      <c r="C1830" s="238">
        <v>8.6999999999999993</v>
      </c>
    </row>
    <row r="1831" spans="1:3" x14ac:dyDescent="0.2">
      <c r="A1831" s="241">
        <v>38837</v>
      </c>
      <c r="B1831" s="242">
        <v>6.1</v>
      </c>
      <c r="C1831" s="238">
        <v>9.1</v>
      </c>
    </row>
    <row r="1832" spans="1:3" x14ac:dyDescent="0.2">
      <c r="A1832" s="241">
        <v>38838</v>
      </c>
      <c r="B1832" s="242">
        <v>8.1</v>
      </c>
      <c r="C1832" s="238">
        <v>1.7</v>
      </c>
    </row>
    <row r="1833" spans="1:3" x14ac:dyDescent="0.2">
      <c r="A1833" s="241">
        <v>38839</v>
      </c>
      <c r="B1833" s="242">
        <v>12.5</v>
      </c>
      <c r="C1833" s="238">
        <v>9.8000000000000007</v>
      </c>
    </row>
    <row r="1834" spans="1:3" x14ac:dyDescent="0.2">
      <c r="A1834" s="241">
        <v>38840</v>
      </c>
      <c r="B1834" s="242">
        <v>14</v>
      </c>
      <c r="C1834" s="238">
        <v>11.7</v>
      </c>
    </row>
    <row r="1835" spans="1:3" x14ac:dyDescent="0.2">
      <c r="A1835" s="241">
        <v>38841</v>
      </c>
      <c r="B1835" s="242">
        <v>19.8</v>
      </c>
      <c r="C1835" s="238">
        <v>9.8000000000000007</v>
      </c>
    </row>
    <row r="1836" spans="1:3" x14ac:dyDescent="0.2">
      <c r="A1836" s="241">
        <v>38842</v>
      </c>
      <c r="B1836" s="242">
        <v>15.9</v>
      </c>
      <c r="C1836" s="238">
        <v>8.5</v>
      </c>
    </row>
    <row r="1837" spans="1:3" x14ac:dyDescent="0.2">
      <c r="A1837" s="241">
        <v>38843</v>
      </c>
      <c r="B1837" s="242">
        <v>17.899999999999999</v>
      </c>
      <c r="C1837" s="238">
        <v>10.199999999999999</v>
      </c>
    </row>
    <row r="1838" spans="1:3" x14ac:dyDescent="0.2">
      <c r="A1838" s="241">
        <v>38844</v>
      </c>
      <c r="B1838" s="242">
        <v>18.7</v>
      </c>
      <c r="C1838" s="238">
        <v>4.5999999999999996</v>
      </c>
    </row>
    <row r="1839" spans="1:3" x14ac:dyDescent="0.2">
      <c r="A1839" s="241">
        <v>38845</v>
      </c>
      <c r="B1839" s="242">
        <v>17.100000000000001</v>
      </c>
      <c r="C1839" s="238">
        <v>8.1</v>
      </c>
    </row>
    <row r="1840" spans="1:3" x14ac:dyDescent="0.2">
      <c r="A1840" s="241">
        <v>38846</v>
      </c>
      <c r="B1840" s="242">
        <v>18.2</v>
      </c>
      <c r="C1840" s="238">
        <v>13.4</v>
      </c>
    </row>
    <row r="1841" spans="1:3" x14ac:dyDescent="0.2">
      <c r="A1841" s="241">
        <v>38847</v>
      </c>
      <c r="B1841" s="242">
        <v>15.8</v>
      </c>
      <c r="C1841" s="238">
        <v>13.5</v>
      </c>
    </row>
    <row r="1842" spans="1:3" x14ac:dyDescent="0.2">
      <c r="A1842" s="241">
        <v>38848</v>
      </c>
      <c r="B1842" s="242">
        <v>17.2</v>
      </c>
      <c r="C1842" s="238">
        <v>12.2</v>
      </c>
    </row>
    <row r="1843" spans="1:3" x14ac:dyDescent="0.2">
      <c r="A1843" s="241">
        <v>38849</v>
      </c>
      <c r="B1843" s="242">
        <v>14.9</v>
      </c>
      <c r="C1843" s="238">
        <v>12.9</v>
      </c>
    </row>
    <row r="1844" spans="1:3" x14ac:dyDescent="0.2">
      <c r="A1844" s="241">
        <v>38850</v>
      </c>
      <c r="B1844" s="242">
        <v>11.9</v>
      </c>
      <c r="C1844" s="238">
        <v>6</v>
      </c>
    </row>
    <row r="1845" spans="1:3" x14ac:dyDescent="0.2">
      <c r="A1845" s="241">
        <v>38851</v>
      </c>
      <c r="B1845" s="242">
        <v>11.1</v>
      </c>
      <c r="C1845" s="238">
        <v>12.7</v>
      </c>
    </row>
    <row r="1846" spans="1:3" x14ac:dyDescent="0.2">
      <c r="A1846" s="241">
        <v>38852</v>
      </c>
      <c r="B1846" s="242">
        <v>14.4</v>
      </c>
      <c r="C1846" s="238">
        <v>0.7</v>
      </c>
    </row>
    <row r="1847" spans="1:3" x14ac:dyDescent="0.2">
      <c r="A1847" s="241">
        <v>38853</v>
      </c>
      <c r="B1847" s="242">
        <v>12.2</v>
      </c>
      <c r="C1847" s="238">
        <v>6</v>
      </c>
    </row>
    <row r="1848" spans="1:3" x14ac:dyDescent="0.2">
      <c r="A1848" s="241">
        <v>38854</v>
      </c>
      <c r="B1848" s="242">
        <v>14.1</v>
      </c>
      <c r="C1848" s="238">
        <v>6.9</v>
      </c>
    </row>
    <row r="1849" spans="1:3" x14ac:dyDescent="0.2">
      <c r="A1849" s="241">
        <v>38855</v>
      </c>
      <c r="B1849" s="242">
        <v>14.1</v>
      </c>
      <c r="C1849" s="238">
        <v>10.6</v>
      </c>
    </row>
    <row r="1850" spans="1:3" x14ac:dyDescent="0.2">
      <c r="A1850" s="241">
        <v>38856</v>
      </c>
      <c r="B1850" s="242">
        <v>12.2</v>
      </c>
      <c r="C1850" s="238">
        <v>0.5</v>
      </c>
    </row>
    <row r="1851" spans="1:3" x14ac:dyDescent="0.2">
      <c r="A1851" s="241">
        <v>38857</v>
      </c>
      <c r="B1851" s="242">
        <v>12.1</v>
      </c>
      <c r="C1851" s="238">
        <v>4</v>
      </c>
    </row>
    <row r="1852" spans="1:3" x14ac:dyDescent="0.2">
      <c r="A1852" s="241">
        <v>38858</v>
      </c>
      <c r="B1852" s="242">
        <v>12.8</v>
      </c>
      <c r="C1852" s="238">
        <v>2.7</v>
      </c>
    </row>
    <row r="1853" spans="1:3" x14ac:dyDescent="0.2">
      <c r="A1853" s="241">
        <v>38859</v>
      </c>
      <c r="B1853" s="242">
        <v>14.3</v>
      </c>
      <c r="C1853" s="238">
        <v>8.1</v>
      </c>
    </row>
    <row r="1854" spans="1:3" x14ac:dyDescent="0.2">
      <c r="A1854" s="241">
        <v>38860</v>
      </c>
      <c r="B1854" s="242">
        <v>10.6</v>
      </c>
      <c r="C1854" s="238">
        <v>6</v>
      </c>
    </row>
    <row r="1855" spans="1:3" x14ac:dyDescent="0.2">
      <c r="A1855" s="241">
        <v>38861</v>
      </c>
      <c r="B1855" s="242">
        <v>11.4</v>
      </c>
      <c r="C1855" s="238">
        <v>4.9000000000000004</v>
      </c>
    </row>
    <row r="1856" spans="1:3" x14ac:dyDescent="0.2">
      <c r="A1856" s="241">
        <v>38862</v>
      </c>
      <c r="B1856" s="242">
        <v>10.4</v>
      </c>
      <c r="C1856" s="238">
        <v>5.3</v>
      </c>
    </row>
    <row r="1857" spans="1:3" x14ac:dyDescent="0.2">
      <c r="A1857" s="241">
        <v>38863</v>
      </c>
      <c r="B1857" s="242">
        <v>12.4</v>
      </c>
      <c r="C1857" s="238">
        <v>1.3</v>
      </c>
    </row>
    <row r="1858" spans="1:3" x14ac:dyDescent="0.2">
      <c r="A1858" s="241">
        <v>38864</v>
      </c>
      <c r="B1858" s="242">
        <v>13.1</v>
      </c>
      <c r="C1858" s="238">
        <v>0</v>
      </c>
    </row>
    <row r="1859" spans="1:3" x14ac:dyDescent="0.2">
      <c r="A1859" s="241">
        <v>38865</v>
      </c>
      <c r="B1859" s="242">
        <v>12.9</v>
      </c>
      <c r="C1859" s="238">
        <v>8.6</v>
      </c>
    </row>
    <row r="1860" spans="1:3" x14ac:dyDescent="0.2">
      <c r="A1860" s="241">
        <v>38866</v>
      </c>
      <c r="B1860" s="242">
        <v>10.7</v>
      </c>
      <c r="C1860" s="238">
        <v>8.1</v>
      </c>
    </row>
    <row r="1861" spans="1:3" x14ac:dyDescent="0.2">
      <c r="A1861" s="241">
        <v>38867</v>
      </c>
      <c r="B1861" s="242">
        <v>9.6999999999999993</v>
      </c>
      <c r="C1861" s="238">
        <v>8.8000000000000007</v>
      </c>
    </row>
    <row r="1862" spans="1:3" x14ac:dyDescent="0.2">
      <c r="A1862" s="241">
        <v>38868</v>
      </c>
      <c r="B1862" s="242">
        <v>9.9</v>
      </c>
      <c r="C1862" s="238">
        <v>0.7</v>
      </c>
    </row>
    <row r="1863" spans="1:3" x14ac:dyDescent="0.2">
      <c r="A1863" s="241">
        <v>38869</v>
      </c>
      <c r="B1863" s="242">
        <v>9.9</v>
      </c>
      <c r="C1863" s="238">
        <v>4.2</v>
      </c>
    </row>
    <row r="1864" spans="1:3" x14ac:dyDescent="0.2">
      <c r="A1864" s="241">
        <v>38870</v>
      </c>
      <c r="B1864" s="242">
        <v>9.9</v>
      </c>
      <c r="C1864" s="238">
        <v>9.6</v>
      </c>
    </row>
    <row r="1865" spans="1:3" x14ac:dyDescent="0.2">
      <c r="A1865" s="241">
        <v>38871</v>
      </c>
      <c r="B1865" s="242">
        <v>12.6</v>
      </c>
      <c r="C1865" s="238">
        <v>6.4</v>
      </c>
    </row>
    <row r="1866" spans="1:3" x14ac:dyDescent="0.2">
      <c r="A1866" s="241">
        <v>38872</v>
      </c>
      <c r="B1866" s="242">
        <v>11.6</v>
      </c>
      <c r="C1866" s="238">
        <v>10.7</v>
      </c>
    </row>
    <row r="1867" spans="1:3" x14ac:dyDescent="0.2">
      <c r="A1867" s="241">
        <v>38873</v>
      </c>
      <c r="B1867" s="242">
        <v>11</v>
      </c>
      <c r="C1867" s="238">
        <v>5.4</v>
      </c>
    </row>
    <row r="1868" spans="1:3" x14ac:dyDescent="0.2">
      <c r="A1868" s="241">
        <v>38874</v>
      </c>
      <c r="B1868" s="242">
        <v>9.6</v>
      </c>
      <c r="C1868" s="238">
        <v>9.5</v>
      </c>
    </row>
    <row r="1869" spans="1:3" x14ac:dyDescent="0.2">
      <c r="A1869" s="241">
        <v>38875</v>
      </c>
      <c r="B1869" s="242">
        <v>11</v>
      </c>
      <c r="C1869" s="238">
        <v>8.8000000000000007</v>
      </c>
    </row>
    <row r="1870" spans="1:3" x14ac:dyDescent="0.2">
      <c r="A1870" s="241">
        <v>38876</v>
      </c>
      <c r="B1870" s="242">
        <v>14</v>
      </c>
      <c r="C1870" s="238">
        <v>15</v>
      </c>
    </row>
    <row r="1871" spans="1:3" x14ac:dyDescent="0.2">
      <c r="A1871" s="241">
        <v>38877</v>
      </c>
      <c r="B1871" s="242">
        <v>17.899999999999999</v>
      </c>
      <c r="C1871" s="238">
        <v>14.5</v>
      </c>
    </row>
    <row r="1872" spans="1:3" x14ac:dyDescent="0.2">
      <c r="A1872" s="241">
        <v>38878</v>
      </c>
      <c r="B1872" s="242">
        <v>21.5</v>
      </c>
      <c r="C1872" s="238">
        <v>14</v>
      </c>
    </row>
    <row r="1873" spans="1:3" x14ac:dyDescent="0.2">
      <c r="A1873" s="241">
        <v>38879</v>
      </c>
      <c r="B1873" s="242">
        <v>25</v>
      </c>
      <c r="C1873" s="238">
        <v>15.1</v>
      </c>
    </row>
    <row r="1874" spans="1:3" x14ac:dyDescent="0.2">
      <c r="A1874" s="241">
        <v>38880</v>
      </c>
      <c r="B1874" s="242">
        <v>23.3</v>
      </c>
      <c r="C1874" s="238">
        <v>15.2</v>
      </c>
    </row>
    <row r="1875" spans="1:3" x14ac:dyDescent="0.2">
      <c r="A1875" s="241">
        <v>38881</v>
      </c>
      <c r="B1875" s="242">
        <v>20.3</v>
      </c>
      <c r="C1875" s="238">
        <v>11.4</v>
      </c>
    </row>
    <row r="1876" spans="1:3" x14ac:dyDescent="0.2">
      <c r="A1876" s="241">
        <v>38882</v>
      </c>
      <c r="B1876" s="242">
        <v>14.5</v>
      </c>
      <c r="C1876" s="238">
        <v>0.7</v>
      </c>
    </row>
    <row r="1877" spans="1:3" x14ac:dyDescent="0.2">
      <c r="A1877" s="241">
        <v>38883</v>
      </c>
      <c r="B1877" s="242">
        <v>12.1</v>
      </c>
      <c r="C1877" s="238">
        <v>0.1</v>
      </c>
    </row>
    <row r="1878" spans="1:3" x14ac:dyDescent="0.2">
      <c r="A1878" s="241">
        <v>38884</v>
      </c>
      <c r="B1878" s="242">
        <v>12.9</v>
      </c>
      <c r="C1878" s="238">
        <v>7</v>
      </c>
    </row>
    <row r="1879" spans="1:3" x14ac:dyDescent="0.2">
      <c r="A1879" s="241">
        <v>38885</v>
      </c>
      <c r="B1879" s="242">
        <v>15.2</v>
      </c>
      <c r="C1879" s="238">
        <v>14.3</v>
      </c>
    </row>
    <row r="1880" spans="1:3" x14ac:dyDescent="0.2">
      <c r="A1880" s="241">
        <v>38886</v>
      </c>
      <c r="B1880" s="242">
        <v>19.3</v>
      </c>
      <c r="C1880" s="238">
        <v>7.7</v>
      </c>
    </row>
    <row r="1881" spans="1:3" x14ac:dyDescent="0.2">
      <c r="A1881" s="241">
        <v>38887</v>
      </c>
      <c r="B1881" s="242">
        <v>17.899999999999999</v>
      </c>
      <c r="C1881" s="238">
        <v>6.4</v>
      </c>
    </row>
    <row r="1882" spans="1:3" x14ac:dyDescent="0.2">
      <c r="A1882" s="241">
        <v>38888</v>
      </c>
      <c r="B1882" s="242">
        <v>16.3</v>
      </c>
      <c r="C1882" s="238">
        <v>6.5</v>
      </c>
    </row>
    <row r="1883" spans="1:3" x14ac:dyDescent="0.2">
      <c r="A1883" s="241">
        <v>38889</v>
      </c>
      <c r="B1883" s="242">
        <v>15.2</v>
      </c>
      <c r="C1883" s="238">
        <v>5.3</v>
      </c>
    </row>
    <row r="1884" spans="1:3" x14ac:dyDescent="0.2">
      <c r="A1884" s="241">
        <v>38890</v>
      </c>
      <c r="B1884" s="242">
        <v>14.9</v>
      </c>
      <c r="C1884" s="238">
        <v>4.4000000000000004</v>
      </c>
    </row>
    <row r="1885" spans="1:3" x14ac:dyDescent="0.2">
      <c r="A1885" s="241">
        <v>38891</v>
      </c>
      <c r="B1885" s="242">
        <v>15</v>
      </c>
      <c r="C1885" s="238">
        <v>13.1</v>
      </c>
    </row>
    <row r="1886" spans="1:3" x14ac:dyDescent="0.2">
      <c r="A1886" s="241">
        <v>38892</v>
      </c>
      <c r="B1886" s="242">
        <v>16.5</v>
      </c>
      <c r="C1886" s="238">
        <v>6.4</v>
      </c>
    </row>
    <row r="1887" spans="1:3" x14ac:dyDescent="0.2">
      <c r="A1887" s="241">
        <v>38893</v>
      </c>
      <c r="B1887" s="242">
        <v>15.9</v>
      </c>
      <c r="C1887" s="238">
        <v>1.5</v>
      </c>
    </row>
    <row r="1888" spans="1:3" x14ac:dyDescent="0.2">
      <c r="A1888" s="241">
        <v>38894</v>
      </c>
      <c r="B1888" s="242">
        <v>14.7</v>
      </c>
      <c r="C1888" s="238">
        <v>0.1</v>
      </c>
    </row>
    <row r="1889" spans="1:3" x14ac:dyDescent="0.2">
      <c r="A1889" s="241">
        <v>38895</v>
      </c>
      <c r="B1889" s="242">
        <v>13.3</v>
      </c>
      <c r="C1889" s="238">
        <v>3.6</v>
      </c>
    </row>
    <row r="1890" spans="1:3" x14ac:dyDescent="0.2">
      <c r="A1890" s="241">
        <v>38896</v>
      </c>
      <c r="B1890" s="242">
        <v>14.1</v>
      </c>
      <c r="C1890" s="238">
        <v>13.6</v>
      </c>
    </row>
    <row r="1891" spans="1:3" x14ac:dyDescent="0.2">
      <c r="A1891" s="241">
        <v>38897</v>
      </c>
      <c r="B1891" s="242">
        <v>16</v>
      </c>
      <c r="C1891" s="238">
        <v>15.5</v>
      </c>
    </row>
    <row r="1892" spans="1:3" x14ac:dyDescent="0.2">
      <c r="A1892" s="241">
        <v>38898</v>
      </c>
      <c r="B1892" s="242">
        <v>18.8</v>
      </c>
      <c r="C1892" s="238">
        <v>12.7</v>
      </c>
    </row>
    <row r="1893" spans="1:3" x14ac:dyDescent="0.2">
      <c r="A1893" s="241">
        <v>38899</v>
      </c>
      <c r="B1893" s="242">
        <v>21.9</v>
      </c>
      <c r="C1893" s="238">
        <v>13.4</v>
      </c>
    </row>
    <row r="1894" spans="1:3" x14ac:dyDescent="0.2">
      <c r="A1894" s="241">
        <v>38900</v>
      </c>
      <c r="B1894" s="242">
        <v>23.7</v>
      </c>
      <c r="C1894" s="238">
        <v>13.7</v>
      </c>
    </row>
    <row r="1895" spans="1:3" x14ac:dyDescent="0.2">
      <c r="A1895" s="241">
        <v>38901</v>
      </c>
      <c r="B1895" s="242">
        <v>23.4</v>
      </c>
      <c r="C1895" s="238">
        <v>15.4</v>
      </c>
    </row>
    <row r="1896" spans="1:3" x14ac:dyDescent="0.2">
      <c r="A1896" s="241">
        <v>38902</v>
      </c>
      <c r="B1896" s="242">
        <v>24.9</v>
      </c>
      <c r="C1896" s="238">
        <v>12.9</v>
      </c>
    </row>
    <row r="1897" spans="1:3" x14ac:dyDescent="0.2">
      <c r="A1897" s="241">
        <v>38903</v>
      </c>
      <c r="B1897" s="242">
        <v>21.6</v>
      </c>
      <c r="C1897" s="238">
        <v>6.2</v>
      </c>
    </row>
    <row r="1898" spans="1:3" x14ac:dyDescent="0.2">
      <c r="A1898" s="241">
        <v>38904</v>
      </c>
      <c r="B1898" s="242">
        <v>19.399999999999999</v>
      </c>
      <c r="C1898" s="238">
        <v>11.7</v>
      </c>
    </row>
    <row r="1899" spans="1:3" x14ac:dyDescent="0.2">
      <c r="A1899" s="241">
        <v>38905</v>
      </c>
      <c r="B1899" s="242">
        <v>18.100000000000001</v>
      </c>
      <c r="C1899" s="238">
        <v>2.1</v>
      </c>
    </row>
    <row r="1900" spans="1:3" x14ac:dyDescent="0.2">
      <c r="A1900" s="241">
        <v>38906</v>
      </c>
      <c r="B1900" s="242">
        <v>18.3</v>
      </c>
      <c r="C1900" s="238">
        <v>11.4</v>
      </c>
    </row>
    <row r="1901" spans="1:3" x14ac:dyDescent="0.2">
      <c r="A1901" s="241">
        <v>38907</v>
      </c>
      <c r="B1901" s="242">
        <v>18.7</v>
      </c>
      <c r="C1901" s="238">
        <v>3.1</v>
      </c>
    </row>
    <row r="1902" spans="1:3" x14ac:dyDescent="0.2">
      <c r="A1902" s="241">
        <v>38908</v>
      </c>
      <c r="B1902" s="242">
        <v>19.7</v>
      </c>
      <c r="C1902" s="238">
        <v>11.1</v>
      </c>
    </row>
    <row r="1903" spans="1:3" x14ac:dyDescent="0.2">
      <c r="A1903" s="241">
        <v>38909</v>
      </c>
      <c r="B1903" s="242">
        <v>17.3</v>
      </c>
      <c r="C1903" s="238">
        <v>7.3</v>
      </c>
    </row>
    <row r="1904" spans="1:3" x14ac:dyDescent="0.2">
      <c r="A1904" s="241">
        <v>38910</v>
      </c>
      <c r="B1904" s="242">
        <v>17.3</v>
      </c>
      <c r="C1904" s="238">
        <v>14.2</v>
      </c>
    </row>
    <row r="1905" spans="1:3" x14ac:dyDescent="0.2">
      <c r="A1905" s="241">
        <v>38911</v>
      </c>
      <c r="B1905" s="242">
        <v>17</v>
      </c>
      <c r="C1905" s="238">
        <v>14.4</v>
      </c>
    </row>
    <row r="1906" spans="1:3" x14ac:dyDescent="0.2">
      <c r="A1906" s="241">
        <v>38912</v>
      </c>
      <c r="B1906" s="242">
        <v>16.2</v>
      </c>
      <c r="C1906" s="238">
        <v>12</v>
      </c>
    </row>
    <row r="1907" spans="1:3" x14ac:dyDescent="0.2">
      <c r="A1907" s="241">
        <v>38913</v>
      </c>
      <c r="B1907" s="242">
        <v>18.899999999999999</v>
      </c>
      <c r="C1907" s="238">
        <v>14</v>
      </c>
    </row>
    <row r="1908" spans="1:3" x14ac:dyDescent="0.2">
      <c r="A1908" s="241">
        <v>38914</v>
      </c>
      <c r="B1908" s="242">
        <v>22</v>
      </c>
      <c r="C1908" s="238">
        <v>15</v>
      </c>
    </row>
    <row r="1909" spans="1:3" x14ac:dyDescent="0.2">
      <c r="A1909" s="241">
        <v>38915</v>
      </c>
      <c r="B1909" s="242">
        <v>23.2</v>
      </c>
      <c r="C1909" s="238">
        <v>14.8</v>
      </c>
    </row>
    <row r="1910" spans="1:3" x14ac:dyDescent="0.2">
      <c r="A1910" s="241">
        <v>38916</v>
      </c>
      <c r="B1910" s="242">
        <v>24.1</v>
      </c>
      <c r="C1910" s="238">
        <v>14.1</v>
      </c>
    </row>
    <row r="1911" spans="1:3" x14ac:dyDescent="0.2">
      <c r="A1911" s="241">
        <v>38917</v>
      </c>
      <c r="B1911" s="242">
        <v>25.9</v>
      </c>
      <c r="C1911" s="238">
        <v>13.6</v>
      </c>
    </row>
    <row r="1912" spans="1:3" x14ac:dyDescent="0.2">
      <c r="A1912" s="241">
        <v>38918</v>
      </c>
      <c r="B1912" s="242">
        <v>22.4</v>
      </c>
      <c r="C1912" s="238">
        <v>8.1999999999999993</v>
      </c>
    </row>
    <row r="1913" spans="1:3" x14ac:dyDescent="0.2">
      <c r="A1913" s="241">
        <v>38919</v>
      </c>
      <c r="B1913" s="242">
        <v>21.1</v>
      </c>
      <c r="C1913" s="238">
        <v>13.5</v>
      </c>
    </row>
    <row r="1914" spans="1:3" x14ac:dyDescent="0.2">
      <c r="A1914" s="241">
        <v>38920</v>
      </c>
      <c r="B1914" s="242">
        <v>22.3</v>
      </c>
      <c r="C1914" s="238">
        <v>3.5</v>
      </c>
    </row>
    <row r="1915" spans="1:3" x14ac:dyDescent="0.2">
      <c r="A1915" s="241">
        <v>38921</v>
      </c>
      <c r="B1915" s="242">
        <v>19.8</v>
      </c>
      <c r="C1915" s="238">
        <v>9</v>
      </c>
    </row>
    <row r="1916" spans="1:3" x14ac:dyDescent="0.2">
      <c r="A1916" s="241">
        <v>38922</v>
      </c>
      <c r="B1916" s="242">
        <v>19.399999999999999</v>
      </c>
      <c r="C1916" s="238">
        <v>12.7</v>
      </c>
    </row>
    <row r="1917" spans="1:3" x14ac:dyDescent="0.2">
      <c r="A1917" s="241">
        <v>38923</v>
      </c>
      <c r="B1917" s="242">
        <v>24.4</v>
      </c>
      <c r="C1917" s="238">
        <v>13.3</v>
      </c>
    </row>
    <row r="1918" spans="1:3" x14ac:dyDescent="0.2">
      <c r="A1918" s="241">
        <v>38924</v>
      </c>
      <c r="B1918" s="242">
        <v>25.1</v>
      </c>
      <c r="C1918" s="238">
        <v>12</v>
      </c>
    </row>
    <row r="1919" spans="1:3" x14ac:dyDescent="0.2">
      <c r="A1919" s="241">
        <v>38925</v>
      </c>
      <c r="B1919" s="242">
        <v>21.9</v>
      </c>
      <c r="C1919" s="238">
        <v>5.8</v>
      </c>
    </row>
    <row r="1920" spans="1:3" x14ac:dyDescent="0.2">
      <c r="A1920" s="241">
        <v>38926</v>
      </c>
      <c r="B1920" s="242">
        <v>21.2</v>
      </c>
      <c r="C1920" s="238">
        <v>8.6999999999999993</v>
      </c>
    </row>
    <row r="1921" spans="1:3" x14ac:dyDescent="0.2">
      <c r="A1921" s="241">
        <v>38927</v>
      </c>
      <c r="B1921" s="242">
        <v>20.399999999999999</v>
      </c>
      <c r="C1921" s="238">
        <v>6.8</v>
      </c>
    </row>
    <row r="1922" spans="1:3" x14ac:dyDescent="0.2">
      <c r="A1922" s="241">
        <v>38928</v>
      </c>
      <c r="B1922" s="242">
        <v>21</v>
      </c>
      <c r="C1922" s="238">
        <v>2.2000000000000002</v>
      </c>
    </row>
    <row r="1923" spans="1:3" x14ac:dyDescent="0.2">
      <c r="A1923" s="241">
        <v>38929</v>
      </c>
      <c r="B1923" s="242">
        <v>20.3</v>
      </c>
      <c r="C1923" s="238">
        <v>7.7</v>
      </c>
    </row>
    <row r="1924" spans="1:3" x14ac:dyDescent="0.2">
      <c r="A1924" s="241">
        <v>38930</v>
      </c>
      <c r="B1924" s="242">
        <v>17.7</v>
      </c>
      <c r="C1924" s="238">
        <v>4.7</v>
      </c>
    </row>
    <row r="1925" spans="1:3" x14ac:dyDescent="0.2">
      <c r="A1925" s="241">
        <v>38931</v>
      </c>
      <c r="B1925" s="242">
        <v>16</v>
      </c>
      <c r="C1925" s="238">
        <v>2</v>
      </c>
    </row>
    <row r="1926" spans="1:3" x14ac:dyDescent="0.2">
      <c r="A1926" s="241">
        <v>38932</v>
      </c>
      <c r="B1926" s="242">
        <v>16.7</v>
      </c>
      <c r="C1926" s="238">
        <v>2.2999999999999998</v>
      </c>
    </row>
    <row r="1927" spans="1:3" x14ac:dyDescent="0.2">
      <c r="A1927" s="241">
        <v>38933</v>
      </c>
      <c r="B1927" s="242">
        <v>18.5</v>
      </c>
      <c r="C1927" s="238">
        <v>1</v>
      </c>
    </row>
    <row r="1928" spans="1:3" x14ac:dyDescent="0.2">
      <c r="A1928" s="241">
        <v>38934</v>
      </c>
      <c r="B1928" s="242">
        <v>19.399999999999999</v>
      </c>
      <c r="C1928" s="238">
        <v>10.5</v>
      </c>
    </row>
    <row r="1929" spans="1:3" x14ac:dyDescent="0.2">
      <c r="A1929" s="241">
        <v>38935</v>
      </c>
      <c r="B1929" s="242">
        <v>17.8</v>
      </c>
      <c r="C1929" s="238">
        <v>11.8</v>
      </c>
    </row>
    <row r="1930" spans="1:3" x14ac:dyDescent="0.2">
      <c r="A1930" s="241">
        <v>38936</v>
      </c>
      <c r="B1930" s="242">
        <v>18.399999999999999</v>
      </c>
      <c r="C1930" s="238">
        <v>1.9</v>
      </c>
    </row>
    <row r="1931" spans="1:3" x14ac:dyDescent="0.2">
      <c r="A1931" s="241">
        <v>38937</v>
      </c>
      <c r="B1931" s="242">
        <v>16.600000000000001</v>
      </c>
      <c r="C1931" s="238">
        <v>2.9</v>
      </c>
    </row>
    <row r="1932" spans="1:3" x14ac:dyDescent="0.2">
      <c r="A1932" s="241">
        <v>38938</v>
      </c>
      <c r="B1932" s="242">
        <v>17.100000000000001</v>
      </c>
      <c r="C1932" s="238">
        <v>4</v>
      </c>
    </row>
    <row r="1933" spans="1:3" x14ac:dyDescent="0.2">
      <c r="A1933" s="241">
        <v>38939</v>
      </c>
      <c r="B1933" s="242">
        <v>15.7</v>
      </c>
      <c r="C1933" s="238">
        <v>6.7</v>
      </c>
    </row>
    <row r="1934" spans="1:3" x14ac:dyDescent="0.2">
      <c r="A1934" s="241">
        <v>38940</v>
      </c>
      <c r="B1934" s="242">
        <v>15.1</v>
      </c>
      <c r="C1934" s="238">
        <v>2.9</v>
      </c>
    </row>
    <row r="1935" spans="1:3" x14ac:dyDescent="0.2">
      <c r="A1935" s="241">
        <v>38941</v>
      </c>
      <c r="B1935" s="242">
        <v>15</v>
      </c>
      <c r="C1935" s="238">
        <v>3.8</v>
      </c>
    </row>
    <row r="1936" spans="1:3" x14ac:dyDescent="0.2">
      <c r="A1936" s="241">
        <v>38942</v>
      </c>
      <c r="B1936" s="242">
        <v>16.100000000000001</v>
      </c>
      <c r="C1936" s="238">
        <v>10.7</v>
      </c>
    </row>
    <row r="1937" spans="1:3" x14ac:dyDescent="0.2">
      <c r="A1937" s="241">
        <v>38943</v>
      </c>
      <c r="B1937" s="242">
        <v>17.2</v>
      </c>
      <c r="C1937" s="238">
        <v>1.4</v>
      </c>
    </row>
    <row r="1938" spans="1:3" x14ac:dyDescent="0.2">
      <c r="A1938" s="241">
        <v>38944</v>
      </c>
      <c r="B1938" s="242">
        <v>17</v>
      </c>
      <c r="C1938" s="238">
        <v>3.1</v>
      </c>
    </row>
    <row r="1939" spans="1:3" x14ac:dyDescent="0.2">
      <c r="A1939" s="241">
        <v>38945</v>
      </c>
      <c r="B1939" s="242">
        <v>18.100000000000001</v>
      </c>
      <c r="C1939" s="238">
        <v>11.4</v>
      </c>
    </row>
    <row r="1940" spans="1:3" x14ac:dyDescent="0.2">
      <c r="A1940" s="241">
        <v>38946</v>
      </c>
      <c r="B1940" s="242">
        <v>19</v>
      </c>
      <c r="C1940" s="238">
        <v>2.5</v>
      </c>
    </row>
    <row r="1941" spans="1:3" x14ac:dyDescent="0.2">
      <c r="A1941" s="241">
        <v>38947</v>
      </c>
      <c r="B1941" s="242">
        <v>19.100000000000001</v>
      </c>
      <c r="C1941" s="238">
        <v>4.8</v>
      </c>
    </row>
    <row r="1942" spans="1:3" x14ac:dyDescent="0.2">
      <c r="A1942" s="241">
        <v>38948</v>
      </c>
      <c r="B1942" s="242">
        <v>18.600000000000001</v>
      </c>
      <c r="C1942" s="238">
        <v>8.6</v>
      </c>
    </row>
    <row r="1943" spans="1:3" x14ac:dyDescent="0.2">
      <c r="A1943" s="241">
        <v>38949</v>
      </c>
      <c r="B1943" s="242">
        <v>17.100000000000001</v>
      </c>
      <c r="C1943" s="238">
        <v>2.9</v>
      </c>
    </row>
    <row r="1944" spans="1:3" x14ac:dyDescent="0.2">
      <c r="A1944" s="241">
        <v>38950</v>
      </c>
      <c r="B1944" s="242">
        <v>17.7</v>
      </c>
      <c r="C1944" s="238">
        <v>5.3</v>
      </c>
    </row>
    <row r="1945" spans="1:3" x14ac:dyDescent="0.2">
      <c r="A1945" s="241">
        <v>38951</v>
      </c>
      <c r="B1945" s="242">
        <v>17.100000000000001</v>
      </c>
      <c r="C1945" s="238">
        <v>5.3</v>
      </c>
    </row>
    <row r="1946" spans="1:3" x14ac:dyDescent="0.2">
      <c r="A1946" s="241">
        <v>38952</v>
      </c>
      <c r="B1946" s="242">
        <v>17.600000000000001</v>
      </c>
      <c r="C1946" s="238">
        <v>5.0999999999999996</v>
      </c>
    </row>
    <row r="1947" spans="1:3" x14ac:dyDescent="0.2">
      <c r="A1947" s="241">
        <v>38953</v>
      </c>
      <c r="B1947" s="242">
        <v>15.9</v>
      </c>
      <c r="C1947" s="238">
        <v>1.8</v>
      </c>
    </row>
    <row r="1948" spans="1:3" x14ac:dyDescent="0.2">
      <c r="A1948" s="241">
        <v>38954</v>
      </c>
      <c r="B1948" s="242">
        <v>16.399999999999999</v>
      </c>
      <c r="C1948" s="238">
        <v>3.4</v>
      </c>
    </row>
    <row r="1949" spans="1:3" x14ac:dyDescent="0.2">
      <c r="A1949" s="241">
        <v>38955</v>
      </c>
      <c r="B1949" s="242">
        <v>16.8</v>
      </c>
      <c r="C1949" s="238">
        <v>4.5</v>
      </c>
    </row>
    <row r="1950" spans="1:3" x14ac:dyDescent="0.2">
      <c r="A1950" s="241">
        <v>38956</v>
      </c>
      <c r="B1950" s="242">
        <v>17.5</v>
      </c>
      <c r="C1950" s="238">
        <v>7.1</v>
      </c>
    </row>
    <row r="1951" spans="1:3" x14ac:dyDescent="0.2">
      <c r="A1951" s="241">
        <v>38957</v>
      </c>
      <c r="B1951" s="242">
        <v>15.5</v>
      </c>
      <c r="C1951" s="238">
        <v>4.9000000000000004</v>
      </c>
    </row>
    <row r="1952" spans="1:3" x14ac:dyDescent="0.2">
      <c r="A1952" s="241">
        <v>38958</v>
      </c>
      <c r="B1952" s="242">
        <v>15.1</v>
      </c>
      <c r="C1952" s="238">
        <v>5.2</v>
      </c>
    </row>
    <row r="1953" spans="1:3" x14ac:dyDescent="0.2">
      <c r="A1953" s="241">
        <v>38959</v>
      </c>
      <c r="B1953" s="242">
        <v>15.9</v>
      </c>
      <c r="C1953" s="238">
        <v>4.0999999999999996</v>
      </c>
    </row>
    <row r="1954" spans="1:3" x14ac:dyDescent="0.2">
      <c r="A1954" s="241">
        <v>38960</v>
      </c>
      <c r="B1954" s="242">
        <v>16.899999999999999</v>
      </c>
      <c r="C1954" s="238">
        <v>0.3</v>
      </c>
    </row>
    <row r="1955" spans="1:3" x14ac:dyDescent="0.2">
      <c r="A1955" s="241">
        <v>38961</v>
      </c>
      <c r="B1955" s="242">
        <v>18.8</v>
      </c>
      <c r="C1955" s="238">
        <v>3.3</v>
      </c>
    </row>
    <row r="1956" spans="1:3" x14ac:dyDescent="0.2">
      <c r="A1956" s="241">
        <v>38962</v>
      </c>
      <c r="B1956" s="242">
        <v>18.3</v>
      </c>
      <c r="C1956" s="238">
        <v>0.4</v>
      </c>
    </row>
    <row r="1957" spans="1:3" x14ac:dyDescent="0.2">
      <c r="A1957" s="241">
        <v>38963</v>
      </c>
      <c r="B1957" s="242">
        <v>19.399999999999999</v>
      </c>
      <c r="C1957" s="238">
        <v>4.3</v>
      </c>
    </row>
    <row r="1958" spans="1:3" x14ac:dyDescent="0.2">
      <c r="A1958" s="241">
        <v>38964</v>
      </c>
      <c r="B1958" s="242">
        <v>17.8</v>
      </c>
      <c r="C1958" s="238">
        <v>6.2</v>
      </c>
    </row>
    <row r="1959" spans="1:3" x14ac:dyDescent="0.2">
      <c r="A1959" s="241">
        <v>38965</v>
      </c>
      <c r="B1959" s="242">
        <v>17.899999999999999</v>
      </c>
      <c r="C1959" s="238">
        <v>0.4</v>
      </c>
    </row>
    <row r="1960" spans="1:3" x14ac:dyDescent="0.2">
      <c r="A1960" s="241">
        <v>38966</v>
      </c>
      <c r="B1960" s="242">
        <v>19.899999999999999</v>
      </c>
      <c r="C1960" s="238">
        <v>8.1</v>
      </c>
    </row>
    <row r="1961" spans="1:3" x14ac:dyDescent="0.2">
      <c r="A1961" s="241">
        <v>38967</v>
      </c>
      <c r="B1961" s="242">
        <v>16.899999999999999</v>
      </c>
      <c r="C1961" s="238">
        <v>7.9</v>
      </c>
    </row>
    <row r="1962" spans="1:3" x14ac:dyDescent="0.2">
      <c r="A1962" s="241">
        <v>38968</v>
      </c>
      <c r="B1962" s="242">
        <v>15</v>
      </c>
      <c r="C1962" s="238">
        <v>9.1999999999999993</v>
      </c>
    </row>
    <row r="1963" spans="1:3" x14ac:dyDescent="0.2">
      <c r="A1963" s="241">
        <v>38969</v>
      </c>
      <c r="B1963" s="242">
        <v>14.5</v>
      </c>
      <c r="C1963" s="238">
        <v>12</v>
      </c>
    </row>
    <row r="1964" spans="1:3" x14ac:dyDescent="0.2">
      <c r="A1964" s="241">
        <v>38970</v>
      </c>
      <c r="B1964" s="242">
        <v>16.600000000000001</v>
      </c>
      <c r="C1964" s="238">
        <v>12</v>
      </c>
    </row>
    <row r="1965" spans="1:3" x14ac:dyDescent="0.2">
      <c r="A1965" s="241">
        <v>38971</v>
      </c>
      <c r="B1965" s="242">
        <v>18.100000000000001</v>
      </c>
      <c r="C1965" s="238">
        <v>10.9</v>
      </c>
    </row>
    <row r="1966" spans="1:3" x14ac:dyDescent="0.2">
      <c r="A1966" s="241">
        <v>38972</v>
      </c>
      <c r="B1966" s="242">
        <v>21.7</v>
      </c>
      <c r="C1966" s="238">
        <v>10</v>
      </c>
    </row>
    <row r="1967" spans="1:3" x14ac:dyDescent="0.2">
      <c r="A1967" s="241">
        <v>38973</v>
      </c>
      <c r="B1967" s="242">
        <v>20.7</v>
      </c>
      <c r="C1967" s="238">
        <v>9.3000000000000007</v>
      </c>
    </row>
    <row r="1968" spans="1:3" x14ac:dyDescent="0.2">
      <c r="A1968" s="241">
        <v>38974</v>
      </c>
      <c r="B1968" s="242">
        <v>21.9</v>
      </c>
      <c r="C1968" s="238">
        <v>5.9</v>
      </c>
    </row>
    <row r="1969" spans="1:3" x14ac:dyDescent="0.2">
      <c r="A1969" s="241">
        <v>38975</v>
      </c>
      <c r="B1969" s="242">
        <v>20.3</v>
      </c>
      <c r="C1969" s="238">
        <v>7.9</v>
      </c>
    </row>
    <row r="1970" spans="1:3" x14ac:dyDescent="0.2">
      <c r="A1970" s="241">
        <v>38976</v>
      </c>
      <c r="B1970" s="242">
        <v>19.2</v>
      </c>
      <c r="C1970" s="238">
        <v>9.1999999999999993</v>
      </c>
    </row>
    <row r="1971" spans="1:3" x14ac:dyDescent="0.2">
      <c r="A1971" s="241">
        <v>38977</v>
      </c>
      <c r="B1971" s="242">
        <v>17.600000000000001</v>
      </c>
      <c r="C1971" s="238">
        <v>0</v>
      </c>
    </row>
    <row r="1972" spans="1:3" x14ac:dyDescent="0.2">
      <c r="A1972" s="241">
        <v>38978</v>
      </c>
      <c r="B1972" s="242">
        <v>18.3</v>
      </c>
      <c r="C1972" s="238">
        <v>2.7</v>
      </c>
    </row>
    <row r="1973" spans="1:3" x14ac:dyDescent="0.2">
      <c r="A1973" s="241">
        <v>38979</v>
      </c>
      <c r="B1973" s="242">
        <v>17.399999999999999</v>
      </c>
      <c r="C1973" s="238">
        <v>5.6</v>
      </c>
    </row>
    <row r="1974" spans="1:3" x14ac:dyDescent="0.2">
      <c r="A1974" s="241">
        <v>38980</v>
      </c>
      <c r="B1974" s="242">
        <v>17.7</v>
      </c>
      <c r="C1974" s="238">
        <v>10.7</v>
      </c>
    </row>
    <row r="1975" spans="1:3" x14ac:dyDescent="0.2">
      <c r="A1975" s="241">
        <v>38981</v>
      </c>
      <c r="B1975" s="242">
        <v>19.7</v>
      </c>
      <c r="C1975" s="238">
        <v>11.2</v>
      </c>
    </row>
    <row r="1976" spans="1:3" x14ac:dyDescent="0.2">
      <c r="A1976" s="241">
        <v>38982</v>
      </c>
      <c r="B1976" s="242">
        <v>21.2</v>
      </c>
      <c r="C1976" s="238">
        <v>7.3</v>
      </c>
    </row>
    <row r="1977" spans="1:3" x14ac:dyDescent="0.2">
      <c r="A1977" s="241">
        <v>38983</v>
      </c>
      <c r="B1977" s="242">
        <v>17.899999999999999</v>
      </c>
      <c r="C1977" s="238">
        <v>0.2</v>
      </c>
    </row>
    <row r="1978" spans="1:3" x14ac:dyDescent="0.2">
      <c r="A1978" s="241">
        <v>38984</v>
      </c>
      <c r="B1978" s="242">
        <v>19.600000000000001</v>
      </c>
      <c r="C1978" s="238">
        <v>1.4</v>
      </c>
    </row>
    <row r="1979" spans="1:3" x14ac:dyDescent="0.2">
      <c r="A1979" s="241">
        <v>38985</v>
      </c>
      <c r="B1979" s="242">
        <v>18.600000000000001</v>
      </c>
      <c r="C1979" s="238">
        <v>1.8</v>
      </c>
    </row>
    <row r="1980" spans="1:3" x14ac:dyDescent="0.2">
      <c r="A1980" s="241">
        <v>38986</v>
      </c>
      <c r="B1980" s="242">
        <v>17.2</v>
      </c>
      <c r="C1980" s="238">
        <v>1.2</v>
      </c>
    </row>
    <row r="1981" spans="1:3" x14ac:dyDescent="0.2">
      <c r="A1981" s="241">
        <v>38987</v>
      </c>
      <c r="B1981" s="242">
        <v>16.3</v>
      </c>
      <c r="C1981" s="238">
        <v>6</v>
      </c>
    </row>
    <row r="1982" spans="1:3" x14ac:dyDescent="0.2">
      <c r="A1982" s="241">
        <v>38988</v>
      </c>
      <c r="B1982" s="242">
        <v>17.3</v>
      </c>
      <c r="C1982" s="238">
        <v>1.9</v>
      </c>
    </row>
    <row r="1983" spans="1:3" x14ac:dyDescent="0.2">
      <c r="A1983" s="241">
        <v>38989</v>
      </c>
      <c r="B1983" s="242">
        <v>18.600000000000001</v>
      </c>
      <c r="C1983" s="238">
        <v>4.7</v>
      </c>
    </row>
    <row r="1984" spans="1:3" x14ac:dyDescent="0.2">
      <c r="A1984" s="241">
        <v>38990</v>
      </c>
      <c r="B1984" s="242">
        <v>17</v>
      </c>
      <c r="C1984" s="238">
        <v>8.3000000000000007</v>
      </c>
    </row>
    <row r="1985" spans="1:3" x14ac:dyDescent="0.2">
      <c r="A1985" s="241">
        <v>38991</v>
      </c>
      <c r="B1985" s="242">
        <v>16.3</v>
      </c>
      <c r="C1985" s="238">
        <v>4.8</v>
      </c>
    </row>
    <row r="1986" spans="1:3" x14ac:dyDescent="0.2">
      <c r="A1986" s="241">
        <v>38992</v>
      </c>
      <c r="B1986" s="242">
        <v>16.399999999999999</v>
      </c>
      <c r="C1986" s="238">
        <v>5.5</v>
      </c>
    </row>
    <row r="1987" spans="1:3" x14ac:dyDescent="0.2">
      <c r="A1987" s="241">
        <v>38993</v>
      </c>
      <c r="B1987" s="242">
        <v>15.8</v>
      </c>
      <c r="C1987" s="238">
        <v>8.1</v>
      </c>
    </row>
    <row r="1988" spans="1:3" x14ac:dyDescent="0.2">
      <c r="A1988" s="241">
        <v>38994</v>
      </c>
      <c r="B1988" s="242">
        <v>14.1</v>
      </c>
      <c r="C1988" s="238">
        <v>3.1</v>
      </c>
    </row>
    <row r="1989" spans="1:3" x14ac:dyDescent="0.2">
      <c r="A1989" s="241">
        <v>38995</v>
      </c>
      <c r="B1989" s="242">
        <v>14.7</v>
      </c>
      <c r="C1989" s="238">
        <v>3.8</v>
      </c>
    </row>
    <row r="1990" spans="1:3" x14ac:dyDescent="0.2">
      <c r="A1990" s="241">
        <v>38996</v>
      </c>
      <c r="B1990" s="242">
        <v>16.5</v>
      </c>
      <c r="C1990" s="238">
        <v>0</v>
      </c>
    </row>
    <row r="1991" spans="1:3" x14ac:dyDescent="0.2">
      <c r="A1991" s="241">
        <v>38997</v>
      </c>
      <c r="B1991" s="242">
        <v>15.2</v>
      </c>
      <c r="C1991" s="238">
        <v>6.7</v>
      </c>
    </row>
    <row r="1992" spans="1:3" x14ac:dyDescent="0.2">
      <c r="A1992" s="241">
        <v>38998</v>
      </c>
      <c r="B1992" s="242">
        <v>14.8</v>
      </c>
      <c r="C1992" s="238">
        <v>2.1</v>
      </c>
    </row>
    <row r="1993" spans="1:3" x14ac:dyDescent="0.2">
      <c r="A1993" s="241">
        <v>38999</v>
      </c>
      <c r="B1993" s="242">
        <v>14.5</v>
      </c>
      <c r="C1993" s="238">
        <v>3.5</v>
      </c>
    </row>
    <row r="1994" spans="1:3" x14ac:dyDescent="0.2">
      <c r="A1994" s="241">
        <v>39000</v>
      </c>
      <c r="B1994" s="242">
        <v>15.9</v>
      </c>
      <c r="C1994" s="238">
        <v>0.9</v>
      </c>
    </row>
    <row r="1995" spans="1:3" x14ac:dyDescent="0.2">
      <c r="A1995" s="241">
        <v>39001</v>
      </c>
      <c r="B1995" s="242">
        <v>15.8</v>
      </c>
      <c r="C1995" s="238">
        <v>7.9</v>
      </c>
    </row>
    <row r="1996" spans="1:3" x14ac:dyDescent="0.2">
      <c r="A1996" s="241">
        <v>39002</v>
      </c>
      <c r="B1996" s="242">
        <v>15.4</v>
      </c>
      <c r="C1996" s="238">
        <v>1.3</v>
      </c>
    </row>
    <row r="1997" spans="1:3" x14ac:dyDescent="0.2">
      <c r="A1997" s="241">
        <v>39003</v>
      </c>
      <c r="B1997" s="242">
        <v>12.4</v>
      </c>
      <c r="C1997" s="238">
        <v>4</v>
      </c>
    </row>
    <row r="1998" spans="1:3" x14ac:dyDescent="0.2">
      <c r="A1998" s="241">
        <v>39004</v>
      </c>
      <c r="B1998" s="242">
        <v>13.5</v>
      </c>
      <c r="C1998" s="238">
        <v>3.6</v>
      </c>
    </row>
    <row r="1999" spans="1:3" x14ac:dyDescent="0.2">
      <c r="A1999" s="241">
        <v>39005</v>
      </c>
      <c r="B1999" s="242">
        <v>10.6</v>
      </c>
      <c r="C1999" s="238">
        <v>3.2</v>
      </c>
    </row>
    <row r="2000" spans="1:3" x14ac:dyDescent="0.2">
      <c r="A2000" s="241">
        <v>39006</v>
      </c>
      <c r="B2000" s="242">
        <v>10.8</v>
      </c>
      <c r="C2000" s="238">
        <v>8</v>
      </c>
    </row>
    <row r="2001" spans="1:3" x14ac:dyDescent="0.2">
      <c r="A2001" s="241">
        <v>39007</v>
      </c>
      <c r="B2001" s="242">
        <v>13</v>
      </c>
      <c r="C2001" s="238">
        <v>8.1</v>
      </c>
    </row>
    <row r="2002" spans="1:3" x14ac:dyDescent="0.2">
      <c r="A2002" s="241">
        <v>39008</v>
      </c>
      <c r="B2002" s="242">
        <v>14.4</v>
      </c>
      <c r="C2002" s="238">
        <v>0.1</v>
      </c>
    </row>
    <row r="2003" spans="1:3" x14ac:dyDescent="0.2">
      <c r="A2003" s="241">
        <v>39009</v>
      </c>
      <c r="B2003" s="242">
        <v>15</v>
      </c>
      <c r="C2003" s="238">
        <v>1.4</v>
      </c>
    </row>
    <row r="2004" spans="1:3" x14ac:dyDescent="0.2">
      <c r="A2004" s="241">
        <v>39010</v>
      </c>
      <c r="B2004" s="242">
        <v>15.1</v>
      </c>
      <c r="C2004" s="238">
        <v>2</v>
      </c>
    </row>
    <row r="2005" spans="1:3" x14ac:dyDescent="0.2">
      <c r="A2005" s="241">
        <v>39011</v>
      </c>
      <c r="B2005" s="242">
        <v>15.1</v>
      </c>
      <c r="C2005" s="238">
        <v>1.1000000000000001</v>
      </c>
    </row>
    <row r="2006" spans="1:3" x14ac:dyDescent="0.2">
      <c r="A2006" s="241">
        <v>39012</v>
      </c>
      <c r="B2006" s="242">
        <v>14.5</v>
      </c>
      <c r="C2006" s="238">
        <v>1.2</v>
      </c>
    </row>
    <row r="2007" spans="1:3" x14ac:dyDescent="0.2">
      <c r="A2007" s="241">
        <v>39013</v>
      </c>
      <c r="B2007" s="242">
        <v>14.5</v>
      </c>
      <c r="C2007" s="238">
        <v>4.7</v>
      </c>
    </row>
    <row r="2008" spans="1:3" x14ac:dyDescent="0.2">
      <c r="A2008" s="241">
        <v>39014</v>
      </c>
      <c r="B2008" s="242">
        <v>13.6</v>
      </c>
      <c r="C2008" s="238">
        <v>2.8</v>
      </c>
    </row>
    <row r="2009" spans="1:3" x14ac:dyDescent="0.2">
      <c r="A2009" s="241">
        <v>39015</v>
      </c>
      <c r="B2009" s="242">
        <v>12.6</v>
      </c>
      <c r="C2009" s="238">
        <v>4.3</v>
      </c>
    </row>
    <row r="2010" spans="1:3" x14ac:dyDescent="0.2">
      <c r="A2010" s="241">
        <v>39016</v>
      </c>
      <c r="B2010" s="242">
        <v>17.100000000000001</v>
      </c>
      <c r="C2010" s="238">
        <v>1.6</v>
      </c>
    </row>
    <row r="2011" spans="1:3" x14ac:dyDescent="0.2">
      <c r="A2011" s="241">
        <v>39017</v>
      </c>
      <c r="B2011" s="242">
        <v>13.7</v>
      </c>
      <c r="C2011" s="238">
        <v>5.2</v>
      </c>
    </row>
    <row r="2012" spans="1:3" x14ac:dyDescent="0.2">
      <c r="A2012" s="241">
        <v>39018</v>
      </c>
      <c r="B2012" s="242">
        <v>14.8</v>
      </c>
      <c r="C2012" s="238">
        <v>0</v>
      </c>
    </row>
    <row r="2013" spans="1:3" x14ac:dyDescent="0.2">
      <c r="A2013" s="241">
        <v>39019</v>
      </c>
      <c r="B2013" s="242">
        <v>14.3</v>
      </c>
      <c r="C2013" s="238">
        <v>4.5</v>
      </c>
    </row>
    <row r="2014" spans="1:3" x14ac:dyDescent="0.2">
      <c r="A2014" s="241">
        <v>39020</v>
      </c>
      <c r="B2014" s="242">
        <v>13.1</v>
      </c>
      <c r="C2014" s="238">
        <v>1.3</v>
      </c>
    </row>
    <row r="2015" spans="1:3" x14ac:dyDescent="0.2">
      <c r="A2015" s="241">
        <v>39021</v>
      </c>
      <c r="B2015" s="242">
        <v>13.6</v>
      </c>
      <c r="C2015" s="238">
        <v>3.1</v>
      </c>
    </row>
    <row r="2016" spans="1:3" x14ac:dyDescent="0.2">
      <c r="A2016" s="241">
        <v>39022</v>
      </c>
      <c r="B2016" s="242">
        <v>8.5</v>
      </c>
      <c r="C2016" s="238">
        <v>4.0999999999999996</v>
      </c>
    </row>
    <row r="2017" spans="1:3" x14ac:dyDescent="0.2">
      <c r="A2017" s="241">
        <v>39023</v>
      </c>
      <c r="B2017" s="242">
        <v>7.2</v>
      </c>
      <c r="C2017" s="238">
        <v>3.4</v>
      </c>
    </row>
    <row r="2018" spans="1:3" x14ac:dyDescent="0.2">
      <c r="A2018" s="241">
        <v>39024</v>
      </c>
      <c r="B2018" s="242">
        <v>7.4</v>
      </c>
      <c r="C2018" s="238">
        <v>3.6</v>
      </c>
    </row>
    <row r="2019" spans="1:3" x14ac:dyDescent="0.2">
      <c r="A2019" s="241">
        <v>39025</v>
      </c>
      <c r="B2019" s="242">
        <v>11.8</v>
      </c>
      <c r="C2019" s="238">
        <v>2.5</v>
      </c>
    </row>
    <row r="2020" spans="1:3" x14ac:dyDescent="0.2">
      <c r="A2020" s="241">
        <v>39026</v>
      </c>
      <c r="B2020" s="242">
        <v>12.7</v>
      </c>
      <c r="C2020" s="238">
        <v>0.1</v>
      </c>
    </row>
    <row r="2021" spans="1:3" x14ac:dyDescent="0.2">
      <c r="A2021" s="241">
        <v>39027</v>
      </c>
      <c r="B2021" s="242">
        <v>12.4</v>
      </c>
      <c r="C2021" s="238">
        <v>1</v>
      </c>
    </row>
    <row r="2022" spans="1:3" x14ac:dyDescent="0.2">
      <c r="A2022" s="241">
        <v>39028</v>
      </c>
      <c r="B2022" s="242">
        <v>9.1999999999999993</v>
      </c>
      <c r="C2022" s="238">
        <v>1.5</v>
      </c>
    </row>
    <row r="2023" spans="1:3" x14ac:dyDescent="0.2">
      <c r="A2023" s="241">
        <v>39029</v>
      </c>
      <c r="B2023" s="242">
        <v>11.9</v>
      </c>
      <c r="C2023" s="238">
        <v>0.1</v>
      </c>
    </row>
    <row r="2024" spans="1:3" x14ac:dyDescent="0.2">
      <c r="A2024" s="241">
        <v>39030</v>
      </c>
      <c r="B2024" s="242">
        <v>10.9</v>
      </c>
      <c r="C2024" s="238">
        <v>5.5</v>
      </c>
    </row>
    <row r="2025" spans="1:3" x14ac:dyDescent="0.2">
      <c r="A2025" s="241">
        <v>39031</v>
      </c>
      <c r="B2025" s="242">
        <v>8.4</v>
      </c>
      <c r="C2025" s="238">
        <v>0.5</v>
      </c>
    </row>
    <row r="2026" spans="1:3" x14ac:dyDescent="0.2">
      <c r="A2026" s="241">
        <v>39032</v>
      </c>
      <c r="B2026" s="242">
        <v>10.6</v>
      </c>
      <c r="C2026" s="238">
        <v>1.2</v>
      </c>
    </row>
    <row r="2027" spans="1:3" x14ac:dyDescent="0.2">
      <c r="A2027" s="241">
        <v>39033</v>
      </c>
      <c r="B2027" s="242">
        <v>9.6</v>
      </c>
      <c r="C2027" s="238">
        <v>1.7</v>
      </c>
    </row>
    <row r="2028" spans="1:3" x14ac:dyDescent="0.2">
      <c r="A2028" s="241">
        <v>39034</v>
      </c>
      <c r="B2028" s="242">
        <v>12.6</v>
      </c>
      <c r="C2028" s="238">
        <v>3.3</v>
      </c>
    </row>
    <row r="2029" spans="1:3" x14ac:dyDescent="0.2">
      <c r="A2029" s="241">
        <v>39035</v>
      </c>
      <c r="B2029" s="242">
        <v>12.6</v>
      </c>
      <c r="C2029" s="238">
        <v>0</v>
      </c>
    </row>
    <row r="2030" spans="1:3" x14ac:dyDescent="0.2">
      <c r="A2030" s="241">
        <v>39036</v>
      </c>
      <c r="B2030" s="242">
        <v>12.9</v>
      </c>
      <c r="C2030" s="238">
        <v>1</v>
      </c>
    </row>
    <row r="2031" spans="1:3" x14ac:dyDescent="0.2">
      <c r="A2031" s="241">
        <v>39037</v>
      </c>
      <c r="B2031" s="242">
        <v>13.5</v>
      </c>
      <c r="C2031" s="238">
        <v>0.7</v>
      </c>
    </row>
    <row r="2032" spans="1:3" x14ac:dyDescent="0.2">
      <c r="A2032" s="241">
        <v>39038</v>
      </c>
      <c r="B2032" s="242">
        <v>11.7</v>
      </c>
      <c r="C2032" s="238">
        <v>6.2</v>
      </c>
    </row>
    <row r="2033" spans="1:3" x14ac:dyDescent="0.2">
      <c r="A2033" s="241">
        <v>39039</v>
      </c>
      <c r="B2033" s="242">
        <v>9.9</v>
      </c>
      <c r="C2033" s="238">
        <v>6.2</v>
      </c>
    </row>
    <row r="2034" spans="1:3" x14ac:dyDescent="0.2">
      <c r="A2034" s="241">
        <v>39040</v>
      </c>
      <c r="B2034" s="242">
        <v>7.3</v>
      </c>
      <c r="C2034" s="238">
        <v>1.9</v>
      </c>
    </row>
    <row r="2035" spans="1:3" x14ac:dyDescent="0.2">
      <c r="A2035" s="241">
        <v>39041</v>
      </c>
      <c r="B2035" s="242">
        <v>8.9</v>
      </c>
      <c r="C2035" s="238">
        <v>0</v>
      </c>
    </row>
    <row r="2036" spans="1:3" x14ac:dyDescent="0.2">
      <c r="A2036" s="241">
        <v>39042</v>
      </c>
      <c r="B2036" s="242">
        <v>9.1</v>
      </c>
      <c r="C2036" s="238">
        <v>3.1</v>
      </c>
    </row>
    <row r="2037" spans="1:3" x14ac:dyDescent="0.2">
      <c r="A2037" s="241">
        <v>39043</v>
      </c>
      <c r="B2037" s="242">
        <v>8.9</v>
      </c>
      <c r="C2037" s="238">
        <v>1.8</v>
      </c>
    </row>
    <row r="2038" spans="1:3" x14ac:dyDescent="0.2">
      <c r="A2038" s="241">
        <v>39044</v>
      </c>
      <c r="B2038" s="242">
        <v>11.2</v>
      </c>
      <c r="C2038" s="238">
        <v>1</v>
      </c>
    </row>
    <row r="2039" spans="1:3" x14ac:dyDescent="0.2">
      <c r="A2039" s="241">
        <v>39045</v>
      </c>
      <c r="B2039" s="242">
        <v>10.7</v>
      </c>
      <c r="C2039" s="238">
        <v>4.0999999999999996</v>
      </c>
    </row>
    <row r="2040" spans="1:3" x14ac:dyDescent="0.2">
      <c r="A2040" s="241">
        <v>39046</v>
      </c>
      <c r="B2040" s="242">
        <v>13.5</v>
      </c>
      <c r="C2040" s="238">
        <v>0.8</v>
      </c>
    </row>
    <row r="2041" spans="1:3" x14ac:dyDescent="0.2">
      <c r="A2041" s="241">
        <v>39047</v>
      </c>
      <c r="B2041" s="242">
        <v>11.3</v>
      </c>
      <c r="C2041" s="238">
        <v>5.5</v>
      </c>
    </row>
    <row r="2042" spans="1:3" x14ac:dyDescent="0.2">
      <c r="A2042" s="241">
        <v>39048</v>
      </c>
      <c r="B2042" s="242">
        <v>11.7</v>
      </c>
      <c r="C2042" s="238">
        <v>6.3</v>
      </c>
    </row>
    <row r="2043" spans="1:3" x14ac:dyDescent="0.2">
      <c r="A2043" s="241">
        <v>39049</v>
      </c>
      <c r="B2043" s="242">
        <v>11.4</v>
      </c>
      <c r="C2043" s="238">
        <v>1</v>
      </c>
    </row>
    <row r="2044" spans="1:3" x14ac:dyDescent="0.2">
      <c r="A2044" s="241">
        <v>39050</v>
      </c>
      <c r="B2044" s="242">
        <v>10.4</v>
      </c>
      <c r="C2044" s="238">
        <v>5.5</v>
      </c>
    </row>
    <row r="2045" spans="1:3" x14ac:dyDescent="0.2">
      <c r="A2045" s="241">
        <v>39051</v>
      </c>
      <c r="B2045" s="242">
        <v>6.8</v>
      </c>
      <c r="C2045" s="238">
        <v>3.7</v>
      </c>
    </row>
    <row r="2046" spans="1:3" x14ac:dyDescent="0.2">
      <c r="A2046" s="241">
        <v>39052</v>
      </c>
      <c r="B2046" s="242">
        <v>9.1</v>
      </c>
      <c r="C2046" s="238">
        <v>0</v>
      </c>
    </row>
    <row r="2047" spans="1:3" x14ac:dyDescent="0.2">
      <c r="A2047" s="241">
        <v>39053</v>
      </c>
      <c r="B2047" s="242">
        <v>9.6</v>
      </c>
      <c r="C2047" s="238">
        <v>0</v>
      </c>
    </row>
    <row r="2048" spans="1:3" x14ac:dyDescent="0.2">
      <c r="A2048" s="241">
        <v>39054</v>
      </c>
      <c r="B2048" s="242">
        <v>9.1</v>
      </c>
      <c r="C2048" s="238">
        <v>0</v>
      </c>
    </row>
    <row r="2049" spans="1:3" x14ac:dyDescent="0.2">
      <c r="A2049" s="241">
        <v>39055</v>
      </c>
      <c r="B2049" s="242">
        <v>10.4</v>
      </c>
      <c r="C2049" s="238">
        <v>3</v>
      </c>
    </row>
    <row r="2050" spans="1:3" x14ac:dyDescent="0.2">
      <c r="A2050" s="241">
        <v>39056</v>
      </c>
      <c r="B2050" s="242">
        <v>12.4</v>
      </c>
      <c r="C2050" s="238">
        <v>0</v>
      </c>
    </row>
    <row r="2051" spans="1:3" x14ac:dyDescent="0.2">
      <c r="A2051" s="241">
        <v>39057</v>
      </c>
      <c r="B2051" s="242">
        <v>10.7</v>
      </c>
      <c r="C2051" s="238">
        <v>0.8</v>
      </c>
    </row>
    <row r="2052" spans="1:3" x14ac:dyDescent="0.2">
      <c r="A2052" s="241">
        <v>39058</v>
      </c>
      <c r="B2052" s="242">
        <v>9.1999999999999993</v>
      </c>
      <c r="C2052" s="238">
        <v>0.2</v>
      </c>
    </row>
    <row r="2053" spans="1:3" x14ac:dyDescent="0.2">
      <c r="A2053" s="241">
        <v>39059</v>
      </c>
      <c r="B2053" s="242">
        <v>9.3000000000000007</v>
      </c>
      <c r="C2053" s="238">
        <v>0.5</v>
      </c>
    </row>
    <row r="2054" spans="1:3" x14ac:dyDescent="0.2">
      <c r="A2054" s="241">
        <v>39060</v>
      </c>
      <c r="B2054" s="242">
        <v>8.5</v>
      </c>
      <c r="C2054" s="238">
        <v>3.6</v>
      </c>
    </row>
    <row r="2055" spans="1:3" x14ac:dyDescent="0.2">
      <c r="A2055" s="241">
        <v>39061</v>
      </c>
      <c r="B2055" s="242">
        <v>7.6</v>
      </c>
      <c r="C2055" s="238">
        <v>4</v>
      </c>
    </row>
    <row r="2056" spans="1:3" x14ac:dyDescent="0.2">
      <c r="A2056" s="241">
        <v>39062</v>
      </c>
      <c r="B2056" s="242">
        <v>8.3000000000000007</v>
      </c>
      <c r="C2056" s="238">
        <v>0</v>
      </c>
    </row>
    <row r="2057" spans="1:3" x14ac:dyDescent="0.2">
      <c r="A2057" s="241">
        <v>39063</v>
      </c>
      <c r="B2057" s="242">
        <v>9.4</v>
      </c>
      <c r="C2057" s="238">
        <v>3.3</v>
      </c>
    </row>
    <row r="2058" spans="1:3" x14ac:dyDescent="0.2">
      <c r="A2058" s="241">
        <v>39064</v>
      </c>
      <c r="B2058" s="242">
        <v>10.7</v>
      </c>
      <c r="C2058" s="238">
        <v>0.8</v>
      </c>
    </row>
    <row r="2059" spans="1:3" x14ac:dyDescent="0.2">
      <c r="A2059" s="241">
        <v>39065</v>
      </c>
      <c r="B2059" s="242">
        <v>10.3</v>
      </c>
      <c r="C2059" s="238">
        <v>0</v>
      </c>
    </row>
    <row r="2060" spans="1:3" x14ac:dyDescent="0.2">
      <c r="A2060" s="241">
        <v>39066</v>
      </c>
      <c r="B2060" s="242">
        <v>8.4</v>
      </c>
      <c r="C2060" s="238">
        <v>0.8</v>
      </c>
    </row>
    <row r="2061" spans="1:3" x14ac:dyDescent="0.2">
      <c r="A2061" s="241">
        <v>39067</v>
      </c>
      <c r="B2061" s="242">
        <v>8</v>
      </c>
      <c r="C2061" s="238">
        <v>0.9</v>
      </c>
    </row>
    <row r="2062" spans="1:3" x14ac:dyDescent="0.2">
      <c r="A2062" s="241">
        <v>39068</v>
      </c>
      <c r="B2062" s="242">
        <v>8.1999999999999993</v>
      </c>
      <c r="C2062" s="238">
        <v>2.6</v>
      </c>
    </row>
    <row r="2063" spans="1:3" x14ac:dyDescent="0.2">
      <c r="A2063" s="241">
        <v>39069</v>
      </c>
      <c r="B2063" s="242">
        <v>1.3</v>
      </c>
      <c r="C2063" s="238">
        <v>4.9000000000000004</v>
      </c>
    </row>
    <row r="2064" spans="1:3" x14ac:dyDescent="0.2">
      <c r="A2064" s="241">
        <v>39070</v>
      </c>
      <c r="B2064" s="242">
        <v>2.2000000000000002</v>
      </c>
      <c r="C2064" s="238">
        <v>4.8</v>
      </c>
    </row>
    <row r="2065" spans="1:3" x14ac:dyDescent="0.2">
      <c r="A2065" s="241">
        <v>39071</v>
      </c>
      <c r="B2065" s="242">
        <v>6.9</v>
      </c>
      <c r="C2065" s="238">
        <v>0</v>
      </c>
    </row>
    <row r="2066" spans="1:3" x14ac:dyDescent="0.2">
      <c r="A2066" s="241">
        <v>39072</v>
      </c>
      <c r="B2066" s="242">
        <v>6.9</v>
      </c>
      <c r="C2066" s="238">
        <v>0</v>
      </c>
    </row>
    <row r="2067" spans="1:3" x14ac:dyDescent="0.2">
      <c r="A2067" s="241">
        <v>39073</v>
      </c>
      <c r="B2067" s="242">
        <v>6</v>
      </c>
      <c r="C2067" s="238">
        <v>0.5</v>
      </c>
    </row>
    <row r="2068" spans="1:3" x14ac:dyDescent="0.2">
      <c r="A2068" s="241">
        <v>39074</v>
      </c>
      <c r="B2068" s="242">
        <v>3.6</v>
      </c>
      <c r="C2068" s="238">
        <v>0</v>
      </c>
    </row>
    <row r="2069" spans="1:3" x14ac:dyDescent="0.2">
      <c r="A2069" s="241">
        <v>39075</v>
      </c>
      <c r="B2069" s="242">
        <v>4.7</v>
      </c>
      <c r="C2069" s="238">
        <v>0</v>
      </c>
    </row>
    <row r="2070" spans="1:3" x14ac:dyDescent="0.2">
      <c r="A2070" s="241">
        <v>39076</v>
      </c>
      <c r="B2070" s="242">
        <v>6.3</v>
      </c>
      <c r="C2070" s="238">
        <v>0</v>
      </c>
    </row>
    <row r="2071" spans="1:3" x14ac:dyDescent="0.2">
      <c r="A2071" s="241">
        <v>39077</v>
      </c>
      <c r="B2071" s="242">
        <v>3.7</v>
      </c>
      <c r="C2071" s="238">
        <v>0</v>
      </c>
    </row>
    <row r="2072" spans="1:3" x14ac:dyDescent="0.2">
      <c r="A2072" s="241">
        <v>39078</v>
      </c>
      <c r="B2072" s="242">
        <v>1.5</v>
      </c>
      <c r="C2072" s="238">
        <v>0</v>
      </c>
    </row>
    <row r="2073" spans="1:3" x14ac:dyDescent="0.2">
      <c r="A2073" s="241">
        <v>39079</v>
      </c>
      <c r="B2073" s="242">
        <v>6.6</v>
      </c>
      <c r="C2073" s="238">
        <v>0</v>
      </c>
    </row>
    <row r="2074" spans="1:3" x14ac:dyDescent="0.2">
      <c r="A2074" s="241">
        <v>39080</v>
      </c>
      <c r="B2074" s="242">
        <v>6.2</v>
      </c>
      <c r="C2074" s="238">
        <v>3.5</v>
      </c>
    </row>
    <row r="2075" spans="1:3" x14ac:dyDescent="0.2">
      <c r="A2075" s="241">
        <v>39081</v>
      </c>
      <c r="B2075" s="242">
        <v>10.199999999999999</v>
      </c>
      <c r="C2075" s="238">
        <v>0.5</v>
      </c>
    </row>
    <row r="2076" spans="1:3" x14ac:dyDescent="0.2">
      <c r="A2076" s="241">
        <v>39082</v>
      </c>
      <c r="B2076" s="242">
        <v>10.1</v>
      </c>
      <c r="C2076" s="238">
        <v>0.4</v>
      </c>
    </row>
    <row r="2077" spans="1:3" x14ac:dyDescent="0.2">
      <c r="A2077" s="241">
        <v>39083</v>
      </c>
      <c r="B2077" s="242">
        <v>8.8000000000000007</v>
      </c>
      <c r="C2077" s="238">
        <v>1.8</v>
      </c>
    </row>
    <row r="2078" spans="1:3" x14ac:dyDescent="0.2">
      <c r="A2078" s="241">
        <v>39084</v>
      </c>
      <c r="B2078" s="242">
        <v>7.7</v>
      </c>
      <c r="C2078" s="238">
        <v>0.5</v>
      </c>
    </row>
    <row r="2079" spans="1:3" x14ac:dyDescent="0.2">
      <c r="A2079" s="241">
        <v>39085</v>
      </c>
      <c r="B2079" s="242">
        <v>8.4</v>
      </c>
      <c r="C2079" s="238">
        <v>0</v>
      </c>
    </row>
    <row r="2080" spans="1:3" x14ac:dyDescent="0.2">
      <c r="A2080" s="241">
        <v>39086</v>
      </c>
      <c r="B2080" s="242">
        <v>9.6</v>
      </c>
      <c r="C2080" s="238">
        <v>0</v>
      </c>
    </row>
    <row r="2081" spans="1:3" x14ac:dyDescent="0.2">
      <c r="A2081" s="241">
        <v>39087</v>
      </c>
      <c r="B2081" s="242">
        <v>9.1999999999999993</v>
      </c>
      <c r="C2081" s="238">
        <v>0.3</v>
      </c>
    </row>
    <row r="2082" spans="1:3" x14ac:dyDescent="0.2">
      <c r="A2082" s="241">
        <v>39088</v>
      </c>
      <c r="B2082" s="242">
        <v>7.5</v>
      </c>
      <c r="C2082" s="238">
        <v>0</v>
      </c>
    </row>
    <row r="2083" spans="1:3" x14ac:dyDescent="0.2">
      <c r="A2083" s="241">
        <v>39089</v>
      </c>
      <c r="B2083" s="242">
        <v>8.6</v>
      </c>
      <c r="C2083" s="238">
        <v>0</v>
      </c>
    </row>
    <row r="2084" spans="1:3" x14ac:dyDescent="0.2">
      <c r="A2084" s="241">
        <v>39090</v>
      </c>
      <c r="B2084" s="242">
        <v>9.1999999999999993</v>
      </c>
      <c r="C2084" s="238">
        <v>4</v>
      </c>
    </row>
    <row r="2085" spans="1:3" x14ac:dyDescent="0.2">
      <c r="A2085" s="241">
        <v>39091</v>
      </c>
      <c r="B2085" s="242">
        <v>11.1</v>
      </c>
      <c r="C2085" s="238">
        <v>2.5</v>
      </c>
    </row>
    <row r="2086" spans="1:3" x14ac:dyDescent="0.2">
      <c r="A2086" s="241">
        <v>39092</v>
      </c>
      <c r="B2086" s="242">
        <v>9.8000000000000007</v>
      </c>
      <c r="C2086" s="238">
        <v>0</v>
      </c>
    </row>
    <row r="2087" spans="1:3" x14ac:dyDescent="0.2">
      <c r="A2087" s="241">
        <v>39093</v>
      </c>
      <c r="B2087" s="242">
        <v>8.6999999999999993</v>
      </c>
      <c r="C2087" s="238">
        <v>0</v>
      </c>
    </row>
    <row r="2088" spans="1:3" x14ac:dyDescent="0.2">
      <c r="A2088" s="241">
        <v>39094</v>
      </c>
      <c r="B2088" s="242">
        <v>9.8000000000000007</v>
      </c>
      <c r="C2088" s="238">
        <v>0.5</v>
      </c>
    </row>
    <row r="2089" spans="1:3" x14ac:dyDescent="0.2">
      <c r="A2089" s="241">
        <v>39095</v>
      </c>
      <c r="B2089" s="242">
        <v>10</v>
      </c>
      <c r="C2089" s="238">
        <v>0.2</v>
      </c>
    </row>
    <row r="2090" spans="1:3" x14ac:dyDescent="0.2">
      <c r="A2090" s="241">
        <v>39096</v>
      </c>
      <c r="B2090" s="242">
        <v>8.3000000000000007</v>
      </c>
      <c r="C2090" s="238">
        <v>6.7</v>
      </c>
    </row>
    <row r="2091" spans="1:3" x14ac:dyDescent="0.2">
      <c r="A2091" s="241">
        <v>39097</v>
      </c>
      <c r="B2091" s="242">
        <v>7.5</v>
      </c>
      <c r="C2091" s="238">
        <v>2.2000000000000002</v>
      </c>
    </row>
    <row r="2092" spans="1:3" x14ac:dyDescent="0.2">
      <c r="A2092" s="241">
        <v>39098</v>
      </c>
      <c r="B2092" s="242">
        <v>8.6999999999999993</v>
      </c>
      <c r="C2092" s="238">
        <v>0</v>
      </c>
    </row>
    <row r="2093" spans="1:3" x14ac:dyDescent="0.2">
      <c r="A2093" s="241">
        <v>39099</v>
      </c>
      <c r="B2093" s="242">
        <v>9.5</v>
      </c>
      <c r="C2093" s="238">
        <v>0.3</v>
      </c>
    </row>
    <row r="2094" spans="1:3" x14ac:dyDescent="0.2">
      <c r="A2094" s="241">
        <v>39100</v>
      </c>
      <c r="B2094" s="242">
        <v>9.6999999999999993</v>
      </c>
      <c r="C2094" s="238">
        <v>0</v>
      </c>
    </row>
    <row r="2095" spans="1:3" x14ac:dyDescent="0.2">
      <c r="A2095" s="241">
        <v>39101</v>
      </c>
      <c r="B2095" s="242">
        <v>9.8000000000000007</v>
      </c>
      <c r="C2095" s="238">
        <v>4.5</v>
      </c>
    </row>
    <row r="2096" spans="1:3" x14ac:dyDescent="0.2">
      <c r="A2096" s="241">
        <v>39102</v>
      </c>
      <c r="B2096" s="242">
        <v>9.8000000000000007</v>
      </c>
      <c r="C2096" s="238">
        <v>2.2999999999999998</v>
      </c>
    </row>
    <row r="2097" spans="1:3" x14ac:dyDescent="0.2">
      <c r="A2097" s="241">
        <v>39103</v>
      </c>
      <c r="B2097" s="242">
        <v>7.6</v>
      </c>
      <c r="C2097" s="238">
        <v>3.7</v>
      </c>
    </row>
    <row r="2098" spans="1:3" x14ac:dyDescent="0.2">
      <c r="A2098" s="241">
        <v>39104</v>
      </c>
      <c r="B2098" s="242">
        <v>2.9</v>
      </c>
      <c r="C2098" s="238">
        <v>3.5</v>
      </c>
    </row>
    <row r="2099" spans="1:3" x14ac:dyDescent="0.2">
      <c r="A2099" s="241">
        <v>39105</v>
      </c>
      <c r="B2099" s="242">
        <v>-0.5</v>
      </c>
      <c r="C2099" s="238">
        <v>3.6</v>
      </c>
    </row>
    <row r="2100" spans="1:3" x14ac:dyDescent="0.2">
      <c r="A2100" s="241">
        <v>39106</v>
      </c>
      <c r="B2100" s="242">
        <v>0.4</v>
      </c>
      <c r="C2100" s="238">
        <v>5.8</v>
      </c>
    </row>
    <row r="2101" spans="1:3" x14ac:dyDescent="0.2">
      <c r="A2101" s="241">
        <v>39107</v>
      </c>
      <c r="B2101" s="242">
        <v>-0.7</v>
      </c>
      <c r="C2101" s="238">
        <v>6.6</v>
      </c>
    </row>
    <row r="2102" spans="1:3" x14ac:dyDescent="0.2">
      <c r="A2102" s="241">
        <v>39108</v>
      </c>
      <c r="B2102" s="242">
        <v>5.7</v>
      </c>
      <c r="C2102" s="238">
        <v>0</v>
      </c>
    </row>
    <row r="2103" spans="1:3" x14ac:dyDescent="0.2">
      <c r="A2103" s="241">
        <v>39109</v>
      </c>
      <c r="B2103" s="242">
        <v>6.3</v>
      </c>
      <c r="C2103" s="238">
        <v>2.1</v>
      </c>
    </row>
    <row r="2104" spans="1:3" x14ac:dyDescent="0.2">
      <c r="A2104" s="241">
        <v>39110</v>
      </c>
      <c r="B2104" s="242">
        <v>7.8</v>
      </c>
      <c r="C2104" s="238">
        <v>0.1</v>
      </c>
    </row>
    <row r="2105" spans="1:3" x14ac:dyDescent="0.2">
      <c r="A2105" s="241">
        <v>39111</v>
      </c>
      <c r="B2105" s="242">
        <v>8.1</v>
      </c>
      <c r="C2105" s="238">
        <v>1.5</v>
      </c>
    </row>
    <row r="2106" spans="1:3" x14ac:dyDescent="0.2">
      <c r="A2106" s="241">
        <v>39112</v>
      </c>
      <c r="B2106" s="242">
        <v>7.7</v>
      </c>
      <c r="C2106" s="238">
        <v>0.3</v>
      </c>
    </row>
    <row r="2107" spans="1:3" x14ac:dyDescent="0.2">
      <c r="A2107" s="241">
        <v>39113</v>
      </c>
      <c r="B2107" s="242">
        <v>7.4</v>
      </c>
      <c r="C2107" s="238">
        <v>4.3</v>
      </c>
    </row>
    <row r="2108" spans="1:3" x14ac:dyDescent="0.2">
      <c r="A2108" s="241">
        <v>39114</v>
      </c>
      <c r="B2108" s="242">
        <v>7.7</v>
      </c>
      <c r="C2108" s="238">
        <v>2</v>
      </c>
    </row>
    <row r="2109" spans="1:3" x14ac:dyDescent="0.2">
      <c r="A2109" s="241">
        <v>39115</v>
      </c>
      <c r="B2109" s="242">
        <v>7.6</v>
      </c>
      <c r="C2109" s="238">
        <v>1.6</v>
      </c>
    </row>
    <row r="2110" spans="1:3" x14ac:dyDescent="0.2">
      <c r="A2110" s="241">
        <v>39116</v>
      </c>
      <c r="B2110" s="242">
        <v>6.1</v>
      </c>
      <c r="C2110" s="238">
        <v>7.3</v>
      </c>
    </row>
    <row r="2111" spans="1:3" x14ac:dyDescent="0.2">
      <c r="A2111" s="241">
        <v>39117</v>
      </c>
      <c r="B2111" s="242">
        <v>2.9</v>
      </c>
      <c r="C2111" s="238">
        <v>2.7</v>
      </c>
    </row>
    <row r="2112" spans="1:3" x14ac:dyDescent="0.2">
      <c r="A2112" s="241">
        <v>39118</v>
      </c>
      <c r="B2112" s="242">
        <v>4.0999999999999996</v>
      </c>
      <c r="C2112" s="238">
        <v>0.9</v>
      </c>
    </row>
    <row r="2113" spans="1:3" x14ac:dyDescent="0.2">
      <c r="A2113" s="241">
        <v>39119</v>
      </c>
      <c r="B2113" s="242">
        <v>3.7</v>
      </c>
      <c r="C2113" s="238">
        <v>2.5</v>
      </c>
    </row>
    <row r="2114" spans="1:3" x14ac:dyDescent="0.2">
      <c r="A2114" s="241">
        <v>39120</v>
      </c>
      <c r="B2114" s="242">
        <v>3.9</v>
      </c>
      <c r="C2114" s="238">
        <v>4.0999999999999996</v>
      </c>
    </row>
    <row r="2115" spans="1:3" x14ac:dyDescent="0.2">
      <c r="A2115" s="241">
        <v>39121</v>
      </c>
      <c r="B2115" s="242">
        <v>-0.2</v>
      </c>
      <c r="C2115" s="238">
        <v>0</v>
      </c>
    </row>
    <row r="2116" spans="1:3" x14ac:dyDescent="0.2">
      <c r="A2116" s="241">
        <v>39122</v>
      </c>
      <c r="B2116" s="242">
        <v>1.9</v>
      </c>
      <c r="C2116" s="238">
        <v>1.1000000000000001</v>
      </c>
    </row>
    <row r="2117" spans="1:3" x14ac:dyDescent="0.2">
      <c r="A2117" s="241">
        <v>39123</v>
      </c>
      <c r="B2117" s="242">
        <v>2.7</v>
      </c>
      <c r="C2117" s="238">
        <v>0</v>
      </c>
    </row>
    <row r="2118" spans="1:3" x14ac:dyDescent="0.2">
      <c r="A2118" s="241">
        <v>39124</v>
      </c>
      <c r="B2118" s="242">
        <v>7.9</v>
      </c>
      <c r="C2118" s="238">
        <v>3</v>
      </c>
    </row>
    <row r="2119" spans="1:3" x14ac:dyDescent="0.2">
      <c r="A2119" s="241">
        <v>39125</v>
      </c>
      <c r="B2119" s="242">
        <v>8.1999999999999993</v>
      </c>
      <c r="C2119" s="238">
        <v>1.2</v>
      </c>
    </row>
    <row r="2120" spans="1:3" x14ac:dyDescent="0.2">
      <c r="A2120" s="241">
        <v>39126</v>
      </c>
      <c r="B2120" s="242">
        <v>7.7</v>
      </c>
      <c r="C2120" s="238">
        <v>0.5</v>
      </c>
    </row>
    <row r="2121" spans="1:3" x14ac:dyDescent="0.2">
      <c r="A2121" s="241">
        <v>39127</v>
      </c>
      <c r="B2121" s="242">
        <v>6.4</v>
      </c>
      <c r="C2121" s="238">
        <v>0</v>
      </c>
    </row>
    <row r="2122" spans="1:3" x14ac:dyDescent="0.2">
      <c r="A2122" s="241">
        <v>39128</v>
      </c>
      <c r="B2122" s="242">
        <v>7.8</v>
      </c>
      <c r="C2122" s="238">
        <v>7.4</v>
      </c>
    </row>
    <row r="2123" spans="1:3" x14ac:dyDescent="0.2">
      <c r="A2123" s="241">
        <v>39129</v>
      </c>
      <c r="B2123" s="242">
        <v>8.9</v>
      </c>
      <c r="C2123" s="238">
        <v>4.9000000000000004</v>
      </c>
    </row>
    <row r="2124" spans="1:3" x14ac:dyDescent="0.2">
      <c r="A2124" s="241">
        <v>39130</v>
      </c>
      <c r="B2124" s="242">
        <v>7.7</v>
      </c>
      <c r="C2124" s="238">
        <v>3</v>
      </c>
    </row>
    <row r="2125" spans="1:3" x14ac:dyDescent="0.2">
      <c r="A2125" s="241">
        <v>39131</v>
      </c>
      <c r="B2125" s="242">
        <v>5.6</v>
      </c>
      <c r="C2125" s="238">
        <v>0.5</v>
      </c>
    </row>
    <row r="2126" spans="1:3" x14ac:dyDescent="0.2">
      <c r="A2126" s="241">
        <v>39132</v>
      </c>
      <c r="B2126" s="242">
        <v>4.5999999999999996</v>
      </c>
      <c r="C2126" s="238">
        <v>0.9</v>
      </c>
    </row>
    <row r="2127" spans="1:3" x14ac:dyDescent="0.2">
      <c r="A2127" s="241">
        <v>39133</v>
      </c>
      <c r="B2127" s="242">
        <v>8.5</v>
      </c>
      <c r="C2127" s="238">
        <v>0.3</v>
      </c>
    </row>
    <row r="2128" spans="1:3" x14ac:dyDescent="0.2">
      <c r="A2128" s="241">
        <v>39134</v>
      </c>
      <c r="B2128" s="242">
        <v>8.1</v>
      </c>
      <c r="C2128" s="238">
        <v>0.5</v>
      </c>
    </row>
    <row r="2129" spans="1:3" x14ac:dyDescent="0.2">
      <c r="A2129" s="241">
        <v>39135</v>
      </c>
      <c r="B2129" s="242">
        <v>9</v>
      </c>
      <c r="C2129" s="238">
        <v>3.4</v>
      </c>
    </row>
    <row r="2130" spans="1:3" x14ac:dyDescent="0.2">
      <c r="A2130" s="241">
        <v>39136</v>
      </c>
      <c r="B2130" s="242">
        <v>9.6999999999999993</v>
      </c>
      <c r="C2130" s="238">
        <v>2.2000000000000002</v>
      </c>
    </row>
    <row r="2131" spans="1:3" x14ac:dyDescent="0.2">
      <c r="A2131" s="241">
        <v>39137</v>
      </c>
      <c r="B2131" s="242">
        <v>9</v>
      </c>
      <c r="C2131" s="238">
        <v>0.3</v>
      </c>
    </row>
    <row r="2132" spans="1:3" x14ac:dyDescent="0.2">
      <c r="A2132" s="241">
        <v>39138</v>
      </c>
      <c r="B2132" s="242">
        <v>7.8</v>
      </c>
      <c r="C2132" s="238">
        <v>0</v>
      </c>
    </row>
    <row r="2133" spans="1:3" x14ac:dyDescent="0.2">
      <c r="A2133" s="241">
        <v>39139</v>
      </c>
      <c r="B2133" s="242">
        <v>7.3</v>
      </c>
      <c r="C2133" s="238">
        <v>0.3</v>
      </c>
    </row>
    <row r="2134" spans="1:3" x14ac:dyDescent="0.2">
      <c r="A2134" s="241">
        <v>39140</v>
      </c>
      <c r="B2134" s="242">
        <v>6.9</v>
      </c>
      <c r="C2134" s="238">
        <v>0</v>
      </c>
    </row>
    <row r="2135" spans="1:3" x14ac:dyDescent="0.2">
      <c r="A2135" s="241">
        <v>39141</v>
      </c>
      <c r="B2135" s="242">
        <v>9</v>
      </c>
      <c r="C2135" s="238">
        <v>4.0999999999999996</v>
      </c>
    </row>
    <row r="2136" spans="1:3" x14ac:dyDescent="0.2">
      <c r="A2136" s="241">
        <v>39142</v>
      </c>
      <c r="B2136" s="242">
        <v>7.8</v>
      </c>
      <c r="C2136" s="238">
        <v>4.3</v>
      </c>
    </row>
    <row r="2137" spans="1:3" x14ac:dyDescent="0.2">
      <c r="A2137" s="241">
        <v>39143</v>
      </c>
      <c r="B2137" s="242">
        <v>6.5</v>
      </c>
      <c r="C2137" s="238">
        <v>5</v>
      </c>
    </row>
    <row r="2138" spans="1:3" x14ac:dyDescent="0.2">
      <c r="A2138" s="241">
        <v>39144</v>
      </c>
      <c r="B2138" s="242">
        <v>6</v>
      </c>
      <c r="C2138" s="238">
        <v>3.9</v>
      </c>
    </row>
    <row r="2139" spans="1:3" x14ac:dyDescent="0.2">
      <c r="A2139" s="241">
        <v>39145</v>
      </c>
      <c r="B2139" s="242">
        <v>9.1</v>
      </c>
      <c r="C2139" s="238">
        <v>1.5</v>
      </c>
    </row>
    <row r="2140" spans="1:3" x14ac:dyDescent="0.2">
      <c r="A2140" s="241">
        <v>39146</v>
      </c>
      <c r="B2140" s="242">
        <v>9.1999999999999993</v>
      </c>
      <c r="C2140" s="238">
        <v>7.2</v>
      </c>
    </row>
    <row r="2141" spans="1:3" x14ac:dyDescent="0.2">
      <c r="A2141" s="241">
        <v>39147</v>
      </c>
      <c r="B2141" s="242">
        <v>9.1</v>
      </c>
      <c r="C2141" s="238">
        <v>0</v>
      </c>
    </row>
    <row r="2142" spans="1:3" x14ac:dyDescent="0.2">
      <c r="A2142" s="241">
        <v>39148</v>
      </c>
      <c r="B2142" s="242">
        <v>8.3000000000000007</v>
      </c>
      <c r="C2142" s="238">
        <v>0.5</v>
      </c>
    </row>
    <row r="2143" spans="1:3" x14ac:dyDescent="0.2">
      <c r="A2143" s="241">
        <v>39149</v>
      </c>
      <c r="B2143" s="242">
        <v>8</v>
      </c>
      <c r="C2143" s="238">
        <v>9.8000000000000007</v>
      </c>
    </row>
    <row r="2144" spans="1:3" x14ac:dyDescent="0.2">
      <c r="A2144" s="241">
        <v>39150</v>
      </c>
      <c r="B2144" s="242">
        <v>8.1</v>
      </c>
      <c r="C2144" s="238">
        <v>2.9</v>
      </c>
    </row>
    <row r="2145" spans="1:3" x14ac:dyDescent="0.2">
      <c r="A2145" s="241">
        <v>39151</v>
      </c>
      <c r="B2145" s="242">
        <v>8.4</v>
      </c>
      <c r="C2145" s="238">
        <v>8.5</v>
      </c>
    </row>
    <row r="2146" spans="1:3" x14ac:dyDescent="0.2">
      <c r="A2146" s="241">
        <v>39152</v>
      </c>
      <c r="B2146" s="242">
        <v>9.5</v>
      </c>
      <c r="C2146" s="238">
        <v>6.9</v>
      </c>
    </row>
    <row r="2147" spans="1:3" x14ac:dyDescent="0.2">
      <c r="A2147" s="241">
        <v>39153</v>
      </c>
      <c r="B2147" s="242">
        <v>8.6</v>
      </c>
      <c r="C2147" s="238">
        <v>10.5</v>
      </c>
    </row>
    <row r="2148" spans="1:3" x14ac:dyDescent="0.2">
      <c r="A2148" s="241">
        <v>39154</v>
      </c>
      <c r="B2148" s="242">
        <v>5.2</v>
      </c>
      <c r="C2148" s="238">
        <v>7.9</v>
      </c>
    </row>
    <row r="2149" spans="1:3" x14ac:dyDescent="0.2">
      <c r="A2149" s="241">
        <v>39155</v>
      </c>
      <c r="B2149" s="242">
        <v>6.4</v>
      </c>
      <c r="C2149" s="238">
        <v>8.4</v>
      </c>
    </row>
    <row r="2150" spans="1:3" x14ac:dyDescent="0.2">
      <c r="A2150" s="241">
        <v>39156</v>
      </c>
      <c r="B2150" s="242">
        <v>7.9</v>
      </c>
      <c r="C2150" s="238">
        <v>10.7</v>
      </c>
    </row>
    <row r="2151" spans="1:3" x14ac:dyDescent="0.2">
      <c r="A2151" s="241">
        <v>39157</v>
      </c>
      <c r="B2151" s="242">
        <v>9.1</v>
      </c>
      <c r="C2151" s="238">
        <v>5.3</v>
      </c>
    </row>
    <row r="2152" spans="1:3" x14ac:dyDescent="0.2">
      <c r="A2152" s="241">
        <v>39158</v>
      </c>
      <c r="B2152" s="242">
        <v>9.9</v>
      </c>
      <c r="C2152" s="238">
        <v>4.0999999999999996</v>
      </c>
    </row>
    <row r="2153" spans="1:3" x14ac:dyDescent="0.2">
      <c r="A2153" s="241">
        <v>39159</v>
      </c>
      <c r="B2153" s="242">
        <v>7.5</v>
      </c>
      <c r="C2153" s="238">
        <v>6.2</v>
      </c>
    </row>
    <row r="2154" spans="1:3" x14ac:dyDescent="0.2">
      <c r="A2154" s="241">
        <v>39160</v>
      </c>
      <c r="B2154" s="242">
        <v>4</v>
      </c>
      <c r="C2154" s="238">
        <v>4</v>
      </c>
    </row>
    <row r="2155" spans="1:3" x14ac:dyDescent="0.2">
      <c r="A2155" s="241">
        <v>39161</v>
      </c>
      <c r="B2155" s="242">
        <v>5.7</v>
      </c>
      <c r="C2155" s="238">
        <v>7.3</v>
      </c>
    </row>
    <row r="2156" spans="1:3" x14ac:dyDescent="0.2">
      <c r="A2156" s="241">
        <v>39162</v>
      </c>
      <c r="B2156" s="242">
        <v>6.3</v>
      </c>
      <c r="C2156" s="238">
        <v>8</v>
      </c>
    </row>
    <row r="2157" spans="1:3" x14ac:dyDescent="0.2">
      <c r="A2157" s="241">
        <v>39163</v>
      </c>
      <c r="B2157" s="242">
        <v>6.7</v>
      </c>
      <c r="C2157" s="238">
        <v>8.6</v>
      </c>
    </row>
    <row r="2158" spans="1:3" x14ac:dyDescent="0.2">
      <c r="A2158" s="241">
        <v>39164</v>
      </c>
      <c r="B2158" s="242">
        <v>6.8</v>
      </c>
      <c r="C2158" s="238">
        <v>2.1</v>
      </c>
    </row>
    <row r="2159" spans="1:3" x14ac:dyDescent="0.2">
      <c r="A2159" s="241">
        <v>39165</v>
      </c>
      <c r="B2159" s="242">
        <v>8.4</v>
      </c>
      <c r="C2159" s="238">
        <v>2</v>
      </c>
    </row>
    <row r="2160" spans="1:3" x14ac:dyDescent="0.2">
      <c r="A2160" s="241">
        <v>39166</v>
      </c>
      <c r="B2160" s="242">
        <v>9.4</v>
      </c>
      <c r="C2160" s="238">
        <v>9.1999999999999993</v>
      </c>
    </row>
    <row r="2161" spans="1:3" x14ac:dyDescent="0.2">
      <c r="A2161" s="241">
        <v>39167</v>
      </c>
      <c r="B2161" s="242">
        <v>10.5</v>
      </c>
      <c r="C2161" s="238">
        <v>11.3</v>
      </c>
    </row>
    <row r="2162" spans="1:3" x14ac:dyDescent="0.2">
      <c r="A2162" s="241">
        <v>39168</v>
      </c>
      <c r="B2162" s="242">
        <v>11</v>
      </c>
      <c r="C2162" s="238">
        <v>10.199999999999999</v>
      </c>
    </row>
    <row r="2163" spans="1:3" x14ac:dyDescent="0.2">
      <c r="A2163" s="241">
        <v>39169</v>
      </c>
      <c r="B2163" s="242">
        <v>10.7</v>
      </c>
      <c r="C2163" s="238">
        <v>10.5</v>
      </c>
    </row>
    <row r="2164" spans="1:3" x14ac:dyDescent="0.2">
      <c r="A2164" s="241">
        <v>39170</v>
      </c>
      <c r="B2164" s="242">
        <v>8.1</v>
      </c>
      <c r="C2164" s="238">
        <v>1.3</v>
      </c>
    </row>
    <row r="2165" spans="1:3" x14ac:dyDescent="0.2">
      <c r="A2165" s="241">
        <v>39171</v>
      </c>
      <c r="B2165" s="242">
        <v>9.5</v>
      </c>
      <c r="C2165" s="238">
        <v>7.7</v>
      </c>
    </row>
    <row r="2166" spans="1:3" x14ac:dyDescent="0.2">
      <c r="A2166" s="241">
        <v>39172</v>
      </c>
      <c r="B2166" s="242">
        <v>10.5</v>
      </c>
      <c r="C2166" s="238">
        <v>10.3</v>
      </c>
    </row>
    <row r="2167" spans="1:3" x14ac:dyDescent="0.2">
      <c r="A2167" s="241">
        <v>39173</v>
      </c>
      <c r="B2167" s="242">
        <v>11.3</v>
      </c>
      <c r="C2167" s="238">
        <v>11.4</v>
      </c>
    </row>
    <row r="2168" spans="1:3" x14ac:dyDescent="0.2">
      <c r="A2168" s="241">
        <v>39174</v>
      </c>
      <c r="B2168" s="242">
        <v>10.8</v>
      </c>
      <c r="C2168" s="238">
        <v>10.7</v>
      </c>
    </row>
    <row r="2169" spans="1:3" x14ac:dyDescent="0.2">
      <c r="A2169" s="241">
        <v>39175</v>
      </c>
      <c r="B2169" s="242">
        <v>6.9</v>
      </c>
      <c r="C2169" s="238">
        <v>4.2</v>
      </c>
    </row>
    <row r="2170" spans="1:3" x14ac:dyDescent="0.2">
      <c r="A2170" s="241">
        <v>39176</v>
      </c>
      <c r="B2170" s="242">
        <v>6</v>
      </c>
      <c r="C2170" s="238">
        <v>11.1</v>
      </c>
    </row>
    <row r="2171" spans="1:3" x14ac:dyDescent="0.2">
      <c r="A2171" s="241">
        <v>39177</v>
      </c>
      <c r="B2171" s="242">
        <v>8.4</v>
      </c>
      <c r="C2171" s="238">
        <v>10.3</v>
      </c>
    </row>
    <row r="2172" spans="1:3" x14ac:dyDescent="0.2">
      <c r="A2172" s="241">
        <v>39178</v>
      </c>
      <c r="B2172" s="242">
        <v>9.5</v>
      </c>
      <c r="C2172" s="238">
        <v>11.8</v>
      </c>
    </row>
    <row r="2173" spans="1:3" x14ac:dyDescent="0.2">
      <c r="A2173" s="241">
        <v>39179</v>
      </c>
      <c r="B2173" s="242">
        <v>7.6</v>
      </c>
      <c r="C2173" s="238">
        <v>8.8000000000000007</v>
      </c>
    </row>
    <row r="2174" spans="1:3" x14ac:dyDescent="0.2">
      <c r="A2174" s="241">
        <v>39180</v>
      </c>
      <c r="B2174" s="242">
        <v>8</v>
      </c>
      <c r="C2174" s="238">
        <v>11.4</v>
      </c>
    </row>
    <row r="2175" spans="1:3" x14ac:dyDescent="0.2">
      <c r="A2175" s="241">
        <v>39181</v>
      </c>
      <c r="B2175" s="242">
        <v>10.1</v>
      </c>
      <c r="C2175" s="238">
        <v>6.9</v>
      </c>
    </row>
    <row r="2176" spans="1:3" x14ac:dyDescent="0.2">
      <c r="A2176" s="241">
        <v>39182</v>
      </c>
      <c r="B2176" s="242">
        <v>10.8</v>
      </c>
      <c r="C2176" s="238">
        <v>2</v>
      </c>
    </row>
    <row r="2177" spans="1:3" x14ac:dyDescent="0.2">
      <c r="A2177" s="241">
        <v>39183</v>
      </c>
      <c r="B2177" s="242">
        <v>10.4</v>
      </c>
      <c r="C2177" s="238">
        <v>5.5</v>
      </c>
    </row>
    <row r="2178" spans="1:3" x14ac:dyDescent="0.2">
      <c r="A2178" s="241">
        <v>39184</v>
      </c>
      <c r="B2178" s="242">
        <v>12.8</v>
      </c>
      <c r="C2178" s="238">
        <v>10.7</v>
      </c>
    </row>
    <row r="2179" spans="1:3" x14ac:dyDescent="0.2">
      <c r="A2179" s="241">
        <v>39185</v>
      </c>
      <c r="B2179" s="242">
        <v>15.2</v>
      </c>
      <c r="C2179" s="238">
        <v>6.7</v>
      </c>
    </row>
    <row r="2180" spans="1:3" x14ac:dyDescent="0.2">
      <c r="A2180" s="241">
        <v>39186</v>
      </c>
      <c r="B2180" s="242">
        <v>17.2</v>
      </c>
      <c r="C2180" s="238">
        <v>10.5</v>
      </c>
    </row>
    <row r="2181" spans="1:3" x14ac:dyDescent="0.2">
      <c r="A2181" s="241">
        <v>39187</v>
      </c>
      <c r="B2181" s="242">
        <v>17.5</v>
      </c>
      <c r="C2181" s="238">
        <v>12.5</v>
      </c>
    </row>
    <row r="2182" spans="1:3" x14ac:dyDescent="0.2">
      <c r="A2182" s="241">
        <v>39188</v>
      </c>
      <c r="B2182" s="242">
        <v>12.2</v>
      </c>
      <c r="C2182" s="238">
        <v>12.5</v>
      </c>
    </row>
    <row r="2183" spans="1:3" x14ac:dyDescent="0.2">
      <c r="A2183" s="241">
        <v>39189</v>
      </c>
      <c r="B2183" s="242">
        <v>9.6</v>
      </c>
      <c r="C2183" s="238">
        <v>5.3</v>
      </c>
    </row>
    <row r="2184" spans="1:3" x14ac:dyDescent="0.2">
      <c r="A2184" s="241">
        <v>39190</v>
      </c>
      <c r="B2184" s="242">
        <v>9.8000000000000007</v>
      </c>
      <c r="C2184" s="238">
        <v>11.5</v>
      </c>
    </row>
    <row r="2185" spans="1:3" x14ac:dyDescent="0.2">
      <c r="A2185" s="241">
        <v>39191</v>
      </c>
      <c r="B2185" s="242">
        <v>10.9</v>
      </c>
      <c r="C2185" s="238">
        <v>9.6999999999999993</v>
      </c>
    </row>
    <row r="2186" spans="1:3" x14ac:dyDescent="0.2">
      <c r="A2186" s="241">
        <v>39192</v>
      </c>
      <c r="B2186" s="242">
        <v>6.9</v>
      </c>
      <c r="C2186" s="238">
        <v>11.6</v>
      </c>
    </row>
    <row r="2187" spans="1:3" x14ac:dyDescent="0.2">
      <c r="A2187" s="241">
        <v>39193</v>
      </c>
      <c r="B2187" s="242">
        <v>8.1</v>
      </c>
      <c r="C2187" s="238">
        <v>11.8</v>
      </c>
    </row>
    <row r="2188" spans="1:3" x14ac:dyDescent="0.2">
      <c r="A2188" s="241">
        <v>39194</v>
      </c>
      <c r="B2188" s="242">
        <v>11.9</v>
      </c>
      <c r="C2188" s="238">
        <v>12</v>
      </c>
    </row>
    <row r="2189" spans="1:3" x14ac:dyDescent="0.2">
      <c r="A2189" s="241">
        <v>39195</v>
      </c>
      <c r="B2189" s="242">
        <v>13.5</v>
      </c>
      <c r="C2189" s="238">
        <v>4.9000000000000004</v>
      </c>
    </row>
    <row r="2190" spans="1:3" x14ac:dyDescent="0.2">
      <c r="A2190" s="241">
        <v>39196</v>
      </c>
      <c r="B2190" s="242">
        <v>14.9</v>
      </c>
      <c r="C2190" s="238">
        <v>2.2000000000000002</v>
      </c>
    </row>
    <row r="2191" spans="1:3" x14ac:dyDescent="0.2">
      <c r="A2191" s="241">
        <v>39197</v>
      </c>
      <c r="B2191" s="242">
        <v>17.100000000000001</v>
      </c>
      <c r="C2191" s="238">
        <v>7.5</v>
      </c>
    </row>
    <row r="2192" spans="1:3" x14ac:dyDescent="0.2">
      <c r="A2192" s="241">
        <v>39198</v>
      </c>
      <c r="B2192" s="242">
        <v>15.4</v>
      </c>
      <c r="C2192" s="238">
        <v>10.1</v>
      </c>
    </row>
    <row r="2193" spans="1:3" x14ac:dyDescent="0.2">
      <c r="A2193" s="241">
        <v>39199</v>
      </c>
      <c r="B2193" s="242">
        <v>17.399999999999999</v>
      </c>
      <c r="C2193" s="238">
        <v>12.3</v>
      </c>
    </row>
    <row r="2194" spans="1:3" x14ac:dyDescent="0.2">
      <c r="A2194" s="241">
        <v>39200</v>
      </c>
      <c r="B2194" s="242">
        <v>16.5</v>
      </c>
      <c r="C2194" s="238">
        <v>12.2</v>
      </c>
    </row>
    <row r="2195" spans="1:3" x14ac:dyDescent="0.2">
      <c r="A2195" s="241">
        <v>39201</v>
      </c>
      <c r="B2195" s="242">
        <v>14.9</v>
      </c>
      <c r="C2195" s="238">
        <v>13.5</v>
      </c>
    </row>
    <row r="2196" spans="1:3" x14ac:dyDescent="0.2">
      <c r="A2196" s="241">
        <v>39202</v>
      </c>
      <c r="B2196" s="242">
        <v>13.5</v>
      </c>
      <c r="C2196" s="238">
        <v>13.8</v>
      </c>
    </row>
    <row r="2197" spans="1:3" x14ac:dyDescent="0.2">
      <c r="A2197" s="241">
        <v>39203</v>
      </c>
      <c r="B2197" s="242">
        <v>14.5</v>
      </c>
      <c r="C2197" s="238">
        <v>13.8</v>
      </c>
    </row>
    <row r="2198" spans="1:3" x14ac:dyDescent="0.2">
      <c r="A2198" s="241">
        <v>39204</v>
      </c>
      <c r="B2198" s="242">
        <v>13.4</v>
      </c>
      <c r="C2198" s="238">
        <v>13.8</v>
      </c>
    </row>
    <row r="2199" spans="1:3" x14ac:dyDescent="0.2">
      <c r="A2199" s="241">
        <v>39205</v>
      </c>
      <c r="B2199" s="242">
        <v>12.8</v>
      </c>
      <c r="C2199" s="238">
        <v>12.7</v>
      </c>
    </row>
    <row r="2200" spans="1:3" x14ac:dyDescent="0.2">
      <c r="A2200" s="241">
        <v>39206</v>
      </c>
      <c r="B2200" s="242">
        <v>13.9</v>
      </c>
      <c r="C2200" s="238">
        <v>13.5</v>
      </c>
    </row>
    <row r="2201" spans="1:3" x14ac:dyDescent="0.2">
      <c r="A2201" s="241">
        <v>39207</v>
      </c>
      <c r="B2201" s="242">
        <v>10.4</v>
      </c>
      <c r="C2201" s="238">
        <v>10.4</v>
      </c>
    </row>
    <row r="2202" spans="1:3" x14ac:dyDescent="0.2">
      <c r="A2202" s="241">
        <v>39208</v>
      </c>
      <c r="B2202" s="242">
        <v>11.6</v>
      </c>
      <c r="C2202" s="238">
        <v>2</v>
      </c>
    </row>
    <row r="2203" spans="1:3" x14ac:dyDescent="0.2">
      <c r="A2203" s="241">
        <v>39209</v>
      </c>
      <c r="B2203" s="242">
        <v>11.5</v>
      </c>
      <c r="C2203" s="238">
        <v>0</v>
      </c>
    </row>
    <row r="2204" spans="1:3" x14ac:dyDescent="0.2">
      <c r="A2204" s="241">
        <v>39210</v>
      </c>
      <c r="B2204" s="242">
        <v>12.3</v>
      </c>
      <c r="C2204" s="238">
        <v>4.5</v>
      </c>
    </row>
    <row r="2205" spans="1:3" x14ac:dyDescent="0.2">
      <c r="A2205" s="241">
        <v>39211</v>
      </c>
      <c r="B2205" s="242">
        <v>12.7</v>
      </c>
      <c r="C2205" s="238">
        <v>9.6999999999999993</v>
      </c>
    </row>
    <row r="2206" spans="1:3" x14ac:dyDescent="0.2">
      <c r="A2206" s="241">
        <v>39212</v>
      </c>
      <c r="B2206" s="242">
        <v>12.8</v>
      </c>
      <c r="C2206" s="238">
        <v>3.6</v>
      </c>
    </row>
    <row r="2207" spans="1:3" x14ac:dyDescent="0.2">
      <c r="A2207" s="241">
        <v>39213</v>
      </c>
      <c r="B2207" s="242">
        <v>11.9</v>
      </c>
      <c r="C2207" s="238">
        <v>0.9</v>
      </c>
    </row>
    <row r="2208" spans="1:3" x14ac:dyDescent="0.2">
      <c r="A2208" s="241">
        <v>39214</v>
      </c>
      <c r="B2208" s="242">
        <v>13.2</v>
      </c>
      <c r="C2208" s="238">
        <v>5.6</v>
      </c>
    </row>
    <row r="2209" spans="1:3" x14ac:dyDescent="0.2">
      <c r="A2209" s="241">
        <v>39215</v>
      </c>
      <c r="B2209" s="242">
        <v>15.3</v>
      </c>
      <c r="C2209" s="238">
        <v>1.6</v>
      </c>
    </row>
    <row r="2210" spans="1:3" x14ac:dyDescent="0.2">
      <c r="A2210" s="241">
        <v>39216</v>
      </c>
      <c r="B2210" s="242">
        <v>12.8</v>
      </c>
      <c r="C2210" s="238">
        <v>3</v>
      </c>
    </row>
    <row r="2211" spans="1:3" x14ac:dyDescent="0.2">
      <c r="A2211" s="241">
        <v>39217</v>
      </c>
      <c r="B2211" s="242">
        <v>12.1</v>
      </c>
      <c r="C2211" s="238">
        <v>9</v>
      </c>
    </row>
    <row r="2212" spans="1:3" x14ac:dyDescent="0.2">
      <c r="A2212" s="241">
        <v>39218</v>
      </c>
      <c r="B2212" s="242">
        <v>11.2</v>
      </c>
      <c r="C2212" s="238">
        <v>7.5</v>
      </c>
    </row>
    <row r="2213" spans="1:3" x14ac:dyDescent="0.2">
      <c r="A2213" s="241">
        <v>39219</v>
      </c>
      <c r="B2213" s="242">
        <v>9.4</v>
      </c>
      <c r="C2213" s="238">
        <v>6.1</v>
      </c>
    </row>
    <row r="2214" spans="1:3" x14ac:dyDescent="0.2">
      <c r="A2214" s="241">
        <v>39220</v>
      </c>
      <c r="B2214" s="242">
        <v>15.1</v>
      </c>
      <c r="C2214" s="238">
        <v>9.9</v>
      </c>
    </row>
    <row r="2215" spans="1:3" x14ac:dyDescent="0.2">
      <c r="A2215" s="241">
        <v>39221</v>
      </c>
      <c r="B2215" s="242">
        <v>13.8</v>
      </c>
      <c r="C2215" s="238">
        <v>14.7</v>
      </c>
    </row>
    <row r="2216" spans="1:3" x14ac:dyDescent="0.2">
      <c r="A2216" s="241">
        <v>39222</v>
      </c>
      <c r="B2216" s="242">
        <v>14.2</v>
      </c>
      <c r="C2216" s="238">
        <v>6.6</v>
      </c>
    </row>
    <row r="2217" spans="1:3" x14ac:dyDescent="0.2">
      <c r="A2217" s="241">
        <v>39223</v>
      </c>
      <c r="B2217" s="242">
        <v>14.6</v>
      </c>
      <c r="C2217" s="238">
        <v>3.4</v>
      </c>
    </row>
    <row r="2218" spans="1:3" x14ac:dyDescent="0.2">
      <c r="A2218" s="241">
        <v>39224</v>
      </c>
      <c r="B2218" s="242">
        <v>12.6</v>
      </c>
      <c r="C2218" s="238">
        <v>3.5</v>
      </c>
    </row>
    <row r="2219" spans="1:3" x14ac:dyDescent="0.2">
      <c r="A2219" s="241">
        <v>39225</v>
      </c>
      <c r="B2219" s="242">
        <v>12.3</v>
      </c>
      <c r="C2219" s="238">
        <v>14.7</v>
      </c>
    </row>
    <row r="2220" spans="1:3" x14ac:dyDescent="0.2">
      <c r="A2220" s="241">
        <v>39226</v>
      </c>
      <c r="B2220" s="242">
        <v>15.8</v>
      </c>
      <c r="C2220" s="238">
        <v>14.8</v>
      </c>
    </row>
    <row r="2221" spans="1:3" x14ac:dyDescent="0.2">
      <c r="A2221" s="241">
        <v>39227</v>
      </c>
      <c r="B2221" s="242">
        <v>16</v>
      </c>
      <c r="C2221" s="238">
        <v>9.9</v>
      </c>
    </row>
    <row r="2222" spans="1:3" x14ac:dyDescent="0.2">
      <c r="A2222" s="241">
        <v>39228</v>
      </c>
      <c r="B2222" s="242">
        <v>13.5</v>
      </c>
      <c r="C2222" s="238">
        <v>1.9</v>
      </c>
    </row>
    <row r="2223" spans="1:3" x14ac:dyDescent="0.2">
      <c r="A2223" s="241">
        <v>39229</v>
      </c>
      <c r="B2223" s="242">
        <v>13.3</v>
      </c>
      <c r="C2223" s="238">
        <v>2.4</v>
      </c>
    </row>
    <row r="2224" spans="1:3" x14ac:dyDescent="0.2">
      <c r="A2224" s="241">
        <v>39230</v>
      </c>
      <c r="B2224" s="242">
        <v>13.2</v>
      </c>
      <c r="C2224" s="238">
        <v>0.3</v>
      </c>
    </row>
    <row r="2225" spans="1:3" x14ac:dyDescent="0.2">
      <c r="A2225" s="241">
        <v>39231</v>
      </c>
      <c r="B2225" s="242">
        <v>11.2</v>
      </c>
      <c r="C2225" s="238">
        <v>1.4</v>
      </c>
    </row>
    <row r="2226" spans="1:3" x14ac:dyDescent="0.2">
      <c r="A2226" s="241">
        <v>39232</v>
      </c>
      <c r="B2226" s="242">
        <v>15.4</v>
      </c>
      <c r="C2226" s="238">
        <v>9.1</v>
      </c>
    </row>
    <row r="2227" spans="1:3" x14ac:dyDescent="0.2">
      <c r="A2227" s="241">
        <v>39233</v>
      </c>
      <c r="B2227" s="242">
        <v>14.3</v>
      </c>
      <c r="C2227" s="238">
        <v>8.8000000000000007</v>
      </c>
    </row>
    <row r="2228" spans="1:3" x14ac:dyDescent="0.2">
      <c r="A2228" s="241">
        <v>39234</v>
      </c>
      <c r="B2228" s="242">
        <v>17.399999999999999</v>
      </c>
      <c r="C2228" s="238">
        <v>13.7</v>
      </c>
    </row>
    <row r="2229" spans="1:3" x14ac:dyDescent="0.2">
      <c r="A2229" s="241">
        <v>39235</v>
      </c>
      <c r="B2229" s="242">
        <v>17.7</v>
      </c>
      <c r="C2229" s="238">
        <v>12.3</v>
      </c>
    </row>
    <row r="2230" spans="1:3" x14ac:dyDescent="0.2">
      <c r="A2230" s="241">
        <v>39236</v>
      </c>
      <c r="B2230" s="242">
        <v>17.3</v>
      </c>
      <c r="C2230" s="238">
        <v>6.6</v>
      </c>
    </row>
    <row r="2231" spans="1:3" x14ac:dyDescent="0.2">
      <c r="A2231" s="241">
        <v>39237</v>
      </c>
      <c r="B2231" s="242">
        <v>18.100000000000001</v>
      </c>
      <c r="C2231" s="238">
        <v>10</v>
      </c>
    </row>
    <row r="2232" spans="1:3" x14ac:dyDescent="0.2">
      <c r="A2232" s="241">
        <v>39238</v>
      </c>
      <c r="B2232" s="242">
        <v>17.5</v>
      </c>
      <c r="C2232" s="238">
        <v>5.5</v>
      </c>
    </row>
    <row r="2233" spans="1:3" x14ac:dyDescent="0.2">
      <c r="A2233" s="241">
        <v>39239</v>
      </c>
      <c r="B2233" s="242">
        <v>14.9</v>
      </c>
      <c r="C2233" s="238">
        <v>1.8</v>
      </c>
    </row>
    <row r="2234" spans="1:3" x14ac:dyDescent="0.2">
      <c r="A2234" s="241">
        <v>39240</v>
      </c>
      <c r="B2234" s="242">
        <v>18.2</v>
      </c>
      <c r="C2234" s="238">
        <v>10.3</v>
      </c>
    </row>
    <row r="2235" spans="1:3" x14ac:dyDescent="0.2">
      <c r="A2235" s="241">
        <v>39241</v>
      </c>
      <c r="B2235" s="242">
        <v>19.3</v>
      </c>
      <c r="C2235" s="238">
        <v>5.5</v>
      </c>
    </row>
    <row r="2236" spans="1:3" x14ac:dyDescent="0.2">
      <c r="A2236" s="241">
        <v>39242</v>
      </c>
      <c r="B2236" s="242">
        <v>16.100000000000001</v>
      </c>
      <c r="C2236" s="238">
        <v>0.9</v>
      </c>
    </row>
    <row r="2237" spans="1:3" x14ac:dyDescent="0.2">
      <c r="A2237" s="241">
        <v>39243</v>
      </c>
      <c r="B2237" s="242">
        <v>15.8</v>
      </c>
      <c r="C2237" s="238">
        <v>3.5</v>
      </c>
    </row>
    <row r="2238" spans="1:3" x14ac:dyDescent="0.2">
      <c r="A2238" s="241">
        <v>39244</v>
      </c>
      <c r="B2238" s="242">
        <v>15.9</v>
      </c>
      <c r="C2238" s="238">
        <v>1.4</v>
      </c>
    </row>
    <row r="2239" spans="1:3" x14ac:dyDescent="0.2">
      <c r="A2239" s="241">
        <v>39245</v>
      </c>
      <c r="B2239" s="242">
        <v>15.1</v>
      </c>
      <c r="C2239" s="238">
        <v>0</v>
      </c>
    </row>
    <row r="2240" spans="1:3" x14ac:dyDescent="0.2">
      <c r="A2240" s="241">
        <v>39246</v>
      </c>
      <c r="B2240" s="242">
        <v>15.5</v>
      </c>
      <c r="C2240" s="238">
        <v>3.5</v>
      </c>
    </row>
    <row r="2241" spans="1:3" x14ac:dyDescent="0.2">
      <c r="A2241" s="241">
        <v>39247</v>
      </c>
      <c r="B2241" s="242">
        <v>16.899999999999999</v>
      </c>
      <c r="C2241" s="238">
        <v>0.6</v>
      </c>
    </row>
    <row r="2242" spans="1:3" x14ac:dyDescent="0.2">
      <c r="A2242" s="241">
        <v>39248</v>
      </c>
      <c r="B2242" s="242">
        <v>17.7</v>
      </c>
      <c r="C2242" s="238">
        <v>6.1</v>
      </c>
    </row>
    <row r="2243" spans="1:3" x14ac:dyDescent="0.2">
      <c r="A2243" s="241">
        <v>39249</v>
      </c>
      <c r="B2243" s="242">
        <v>16.3</v>
      </c>
      <c r="C2243" s="238">
        <v>6.9</v>
      </c>
    </row>
    <row r="2244" spans="1:3" x14ac:dyDescent="0.2">
      <c r="A2244" s="241">
        <v>39250</v>
      </c>
      <c r="B2244" s="242">
        <v>15.8</v>
      </c>
      <c r="C2244" s="238">
        <v>6.5</v>
      </c>
    </row>
    <row r="2245" spans="1:3" x14ac:dyDescent="0.2">
      <c r="A2245" s="241">
        <v>39251</v>
      </c>
      <c r="B2245" s="242">
        <v>16.600000000000001</v>
      </c>
      <c r="C2245" s="238">
        <v>4.0999999999999996</v>
      </c>
    </row>
    <row r="2246" spans="1:3" x14ac:dyDescent="0.2">
      <c r="A2246" s="241">
        <v>39252</v>
      </c>
      <c r="B2246" s="242">
        <v>19.3</v>
      </c>
      <c r="C2246" s="238">
        <v>14</v>
      </c>
    </row>
    <row r="2247" spans="1:3" x14ac:dyDescent="0.2">
      <c r="A2247" s="241">
        <v>39253</v>
      </c>
      <c r="B2247" s="242">
        <v>17.8</v>
      </c>
      <c r="C2247" s="238">
        <v>10.9</v>
      </c>
    </row>
    <row r="2248" spans="1:3" x14ac:dyDescent="0.2">
      <c r="A2248" s="241">
        <v>39254</v>
      </c>
      <c r="B2248" s="242">
        <v>15.7</v>
      </c>
      <c r="C2248" s="238">
        <v>2.5</v>
      </c>
    </row>
    <row r="2249" spans="1:3" x14ac:dyDescent="0.2">
      <c r="A2249" s="241">
        <v>39255</v>
      </c>
      <c r="B2249" s="242">
        <v>17.2</v>
      </c>
      <c r="C2249" s="238">
        <v>8.1</v>
      </c>
    </row>
    <row r="2250" spans="1:3" x14ac:dyDescent="0.2">
      <c r="A2250" s="241">
        <v>39256</v>
      </c>
      <c r="B2250" s="242">
        <v>16.7</v>
      </c>
      <c r="C2250" s="238">
        <v>7</v>
      </c>
    </row>
    <row r="2251" spans="1:3" x14ac:dyDescent="0.2">
      <c r="A2251" s="241">
        <v>39257</v>
      </c>
      <c r="B2251" s="242">
        <v>15.1</v>
      </c>
      <c r="C2251" s="238">
        <v>0.6</v>
      </c>
    </row>
    <row r="2252" spans="1:3" x14ac:dyDescent="0.2">
      <c r="A2252" s="241">
        <v>39258</v>
      </c>
      <c r="B2252" s="242">
        <v>15</v>
      </c>
      <c r="C2252" s="238">
        <v>5.2</v>
      </c>
    </row>
    <row r="2253" spans="1:3" x14ac:dyDescent="0.2">
      <c r="A2253" s="241">
        <v>39259</v>
      </c>
      <c r="B2253" s="242">
        <v>12.9</v>
      </c>
      <c r="C2253" s="238">
        <v>1</v>
      </c>
    </row>
    <row r="2254" spans="1:3" x14ac:dyDescent="0.2">
      <c r="A2254" s="241">
        <v>39260</v>
      </c>
      <c r="B2254" s="242">
        <v>14.5</v>
      </c>
      <c r="C2254" s="238">
        <v>7.7</v>
      </c>
    </row>
    <row r="2255" spans="1:3" x14ac:dyDescent="0.2">
      <c r="A2255" s="241">
        <v>39261</v>
      </c>
      <c r="B2255" s="242">
        <v>15.2</v>
      </c>
      <c r="C2255" s="238">
        <v>15.1</v>
      </c>
    </row>
    <row r="2256" spans="1:3" x14ac:dyDescent="0.2">
      <c r="A2256" s="241">
        <v>39262</v>
      </c>
      <c r="B2256" s="242">
        <v>15.2</v>
      </c>
      <c r="C2256" s="238">
        <v>1.1000000000000001</v>
      </c>
    </row>
    <row r="2257" spans="1:3" x14ac:dyDescent="0.2">
      <c r="A2257" s="241">
        <v>39263</v>
      </c>
      <c r="B2257" s="242">
        <v>16.600000000000001</v>
      </c>
      <c r="C2257" s="238">
        <v>4.7</v>
      </c>
    </row>
    <row r="2258" spans="1:3" x14ac:dyDescent="0.2">
      <c r="A2258" s="241">
        <v>39264</v>
      </c>
      <c r="B2258" s="242">
        <v>17.8</v>
      </c>
      <c r="C2258" s="238">
        <v>8.3000000000000007</v>
      </c>
    </row>
    <row r="2259" spans="1:3" x14ac:dyDescent="0.2">
      <c r="A2259" s="241">
        <v>39265</v>
      </c>
      <c r="B2259" s="242">
        <v>17.2</v>
      </c>
      <c r="C2259" s="238">
        <v>8.1</v>
      </c>
    </row>
    <row r="2260" spans="1:3" x14ac:dyDescent="0.2">
      <c r="A2260" s="241">
        <v>39266</v>
      </c>
      <c r="B2260" s="242">
        <v>15.4</v>
      </c>
      <c r="C2260" s="238">
        <v>6.1</v>
      </c>
    </row>
    <row r="2261" spans="1:3" x14ac:dyDescent="0.2">
      <c r="A2261" s="241">
        <v>39267</v>
      </c>
      <c r="B2261" s="242">
        <v>15.8</v>
      </c>
      <c r="C2261" s="238">
        <v>4.9000000000000004</v>
      </c>
    </row>
    <row r="2262" spans="1:3" x14ac:dyDescent="0.2">
      <c r="A2262" s="241">
        <v>39268</v>
      </c>
      <c r="B2262" s="242">
        <v>15.9</v>
      </c>
      <c r="C2262" s="238">
        <v>8.4</v>
      </c>
    </row>
    <row r="2263" spans="1:3" x14ac:dyDescent="0.2">
      <c r="A2263" s="241">
        <v>39269</v>
      </c>
      <c r="B2263" s="242">
        <v>15.8</v>
      </c>
      <c r="C2263" s="238">
        <v>0</v>
      </c>
    </row>
    <row r="2264" spans="1:3" x14ac:dyDescent="0.2">
      <c r="A2264" s="241">
        <v>39270</v>
      </c>
      <c r="B2264" s="242">
        <v>16.399999999999999</v>
      </c>
      <c r="C2264" s="238">
        <v>7.6</v>
      </c>
    </row>
    <row r="2265" spans="1:3" x14ac:dyDescent="0.2">
      <c r="A2265" s="241">
        <v>39271</v>
      </c>
      <c r="B2265" s="242">
        <v>16.3</v>
      </c>
      <c r="C2265" s="238">
        <v>12</v>
      </c>
    </row>
    <row r="2266" spans="1:3" x14ac:dyDescent="0.2">
      <c r="A2266" s="241">
        <v>39272</v>
      </c>
      <c r="B2266" s="242">
        <v>14.8</v>
      </c>
      <c r="C2266" s="238">
        <v>10</v>
      </c>
    </row>
    <row r="2267" spans="1:3" x14ac:dyDescent="0.2">
      <c r="A2267" s="241">
        <v>39273</v>
      </c>
      <c r="B2267" s="242">
        <v>15.6</v>
      </c>
      <c r="C2267" s="238">
        <v>12.6</v>
      </c>
    </row>
    <row r="2268" spans="1:3" x14ac:dyDescent="0.2">
      <c r="A2268" s="241">
        <v>39274</v>
      </c>
      <c r="B2268" s="242">
        <v>16</v>
      </c>
      <c r="C2268" s="238">
        <v>1.8</v>
      </c>
    </row>
    <row r="2269" spans="1:3" x14ac:dyDescent="0.2">
      <c r="A2269" s="241">
        <v>39275</v>
      </c>
      <c r="B2269" s="242">
        <v>16.899999999999999</v>
      </c>
      <c r="C2269" s="238">
        <v>2.6</v>
      </c>
    </row>
    <row r="2270" spans="1:3" x14ac:dyDescent="0.2">
      <c r="A2270" s="241">
        <v>39276</v>
      </c>
      <c r="B2270" s="242">
        <v>19.100000000000001</v>
      </c>
      <c r="C2270" s="238">
        <v>6.1</v>
      </c>
    </row>
    <row r="2271" spans="1:3" x14ac:dyDescent="0.2">
      <c r="A2271" s="241">
        <v>39277</v>
      </c>
      <c r="B2271" s="242">
        <v>19.100000000000001</v>
      </c>
      <c r="C2271" s="238">
        <v>8.8000000000000007</v>
      </c>
    </row>
    <row r="2272" spans="1:3" x14ac:dyDescent="0.2">
      <c r="A2272" s="241">
        <v>39278</v>
      </c>
      <c r="B2272" s="242">
        <v>19.5</v>
      </c>
      <c r="C2272" s="238">
        <v>6.2</v>
      </c>
    </row>
    <row r="2273" spans="1:3" x14ac:dyDescent="0.2">
      <c r="A2273" s="241">
        <v>39279</v>
      </c>
      <c r="B2273" s="242">
        <v>18.899999999999999</v>
      </c>
      <c r="C2273" s="238">
        <v>2.8</v>
      </c>
    </row>
    <row r="2274" spans="1:3" x14ac:dyDescent="0.2">
      <c r="A2274" s="241">
        <v>39280</v>
      </c>
      <c r="B2274" s="242">
        <v>18.100000000000001</v>
      </c>
      <c r="C2274" s="238">
        <v>11.8</v>
      </c>
    </row>
    <row r="2275" spans="1:3" x14ac:dyDescent="0.2">
      <c r="A2275" s="241">
        <v>39281</v>
      </c>
      <c r="B2275" s="242">
        <v>18.2</v>
      </c>
      <c r="C2275" s="238">
        <v>13.2</v>
      </c>
    </row>
    <row r="2276" spans="1:3" x14ac:dyDescent="0.2">
      <c r="A2276" s="241">
        <v>39282</v>
      </c>
      <c r="B2276" s="242">
        <v>18.3</v>
      </c>
      <c r="C2276" s="238">
        <v>13.3</v>
      </c>
    </row>
    <row r="2277" spans="1:3" x14ac:dyDescent="0.2">
      <c r="A2277" s="241">
        <v>39283</v>
      </c>
      <c r="B2277" s="242">
        <v>16.7</v>
      </c>
      <c r="C2277" s="238">
        <v>1</v>
      </c>
    </row>
    <row r="2278" spans="1:3" x14ac:dyDescent="0.2">
      <c r="A2278" s="241">
        <v>39284</v>
      </c>
      <c r="B2278" s="242">
        <v>16.899999999999999</v>
      </c>
      <c r="C2278" s="238">
        <v>12.3</v>
      </c>
    </row>
    <row r="2279" spans="1:3" x14ac:dyDescent="0.2">
      <c r="A2279" s="241">
        <v>39285</v>
      </c>
      <c r="B2279" s="242">
        <v>15.1</v>
      </c>
      <c r="C2279" s="238">
        <v>8.3000000000000007</v>
      </c>
    </row>
    <row r="2280" spans="1:3" x14ac:dyDescent="0.2">
      <c r="A2280" s="241">
        <v>39286</v>
      </c>
      <c r="B2280" s="242">
        <v>15.5</v>
      </c>
      <c r="C2280" s="238">
        <v>1.4</v>
      </c>
    </row>
    <row r="2281" spans="1:3" x14ac:dyDescent="0.2">
      <c r="A2281" s="241">
        <v>39287</v>
      </c>
      <c r="B2281" s="242">
        <v>16</v>
      </c>
      <c r="C2281" s="238">
        <v>6.2</v>
      </c>
    </row>
    <row r="2282" spans="1:3" x14ac:dyDescent="0.2">
      <c r="A2282" s="241">
        <v>39288</v>
      </c>
      <c r="B2282" s="242">
        <v>18.100000000000001</v>
      </c>
      <c r="C2282" s="238">
        <v>10.9</v>
      </c>
    </row>
    <row r="2283" spans="1:3" x14ac:dyDescent="0.2">
      <c r="A2283" s="241">
        <v>39289</v>
      </c>
      <c r="B2283" s="242">
        <v>18.3</v>
      </c>
      <c r="C2283" s="238">
        <v>1.7</v>
      </c>
    </row>
    <row r="2284" spans="1:3" x14ac:dyDescent="0.2">
      <c r="A2284" s="241">
        <v>39290</v>
      </c>
      <c r="B2284" s="242">
        <v>17.7</v>
      </c>
      <c r="C2284" s="238">
        <v>11.4</v>
      </c>
    </row>
    <row r="2285" spans="1:3" x14ac:dyDescent="0.2">
      <c r="A2285" s="241">
        <v>39291</v>
      </c>
      <c r="B2285" s="242">
        <v>16.899999999999999</v>
      </c>
      <c r="C2285" s="238">
        <v>8.6999999999999993</v>
      </c>
    </row>
    <row r="2286" spans="1:3" x14ac:dyDescent="0.2">
      <c r="A2286" s="241">
        <v>39292</v>
      </c>
      <c r="B2286" s="242">
        <v>14.9</v>
      </c>
      <c r="C2286" s="238">
        <v>6.5</v>
      </c>
    </row>
    <row r="2287" spans="1:3" x14ac:dyDescent="0.2">
      <c r="A2287" s="241">
        <v>39293</v>
      </c>
      <c r="B2287" s="242">
        <v>14.9</v>
      </c>
      <c r="C2287" s="238">
        <v>9.1999999999999993</v>
      </c>
    </row>
    <row r="2288" spans="1:3" x14ac:dyDescent="0.2">
      <c r="A2288" s="241">
        <v>39294</v>
      </c>
      <c r="B2288" s="242">
        <v>15</v>
      </c>
      <c r="C2288" s="238">
        <v>11.7</v>
      </c>
    </row>
    <row r="2289" spans="1:3" x14ac:dyDescent="0.2">
      <c r="A2289" s="241">
        <v>39295</v>
      </c>
      <c r="B2289" s="242">
        <v>16.399999999999999</v>
      </c>
      <c r="C2289" s="238">
        <v>13.5</v>
      </c>
    </row>
    <row r="2290" spans="1:3" x14ac:dyDescent="0.2">
      <c r="A2290" s="241">
        <v>39296</v>
      </c>
      <c r="B2290" s="242">
        <v>16.399999999999999</v>
      </c>
      <c r="C2290" s="238">
        <v>3.8</v>
      </c>
    </row>
    <row r="2291" spans="1:3" x14ac:dyDescent="0.2">
      <c r="A2291" s="241">
        <v>39297</v>
      </c>
      <c r="B2291" s="242">
        <v>17.7</v>
      </c>
      <c r="C2291" s="238">
        <v>14</v>
      </c>
    </row>
    <row r="2292" spans="1:3" x14ac:dyDescent="0.2">
      <c r="A2292" s="241">
        <v>39298</v>
      </c>
      <c r="B2292" s="242">
        <v>18.5</v>
      </c>
      <c r="C2292" s="238">
        <v>13.8</v>
      </c>
    </row>
    <row r="2293" spans="1:3" x14ac:dyDescent="0.2">
      <c r="A2293" s="241">
        <v>39299</v>
      </c>
      <c r="B2293" s="242">
        <v>24.4</v>
      </c>
      <c r="C2293" s="238">
        <v>13.6</v>
      </c>
    </row>
    <row r="2294" spans="1:3" x14ac:dyDescent="0.2">
      <c r="A2294" s="241">
        <v>39300</v>
      </c>
      <c r="B2294" s="242">
        <v>19.8</v>
      </c>
      <c r="C2294" s="238">
        <v>4.2</v>
      </c>
    </row>
    <row r="2295" spans="1:3" x14ac:dyDescent="0.2">
      <c r="A2295" s="241">
        <v>39301</v>
      </c>
      <c r="B2295" s="242">
        <v>16.8</v>
      </c>
      <c r="C2295" s="238">
        <v>3.3</v>
      </c>
    </row>
    <row r="2296" spans="1:3" x14ac:dyDescent="0.2">
      <c r="A2296" s="241">
        <v>39302</v>
      </c>
      <c r="B2296" s="242">
        <v>16.100000000000001</v>
      </c>
      <c r="C2296" s="238">
        <v>3.4</v>
      </c>
    </row>
    <row r="2297" spans="1:3" x14ac:dyDescent="0.2">
      <c r="A2297" s="241">
        <v>39303</v>
      </c>
      <c r="B2297" s="242">
        <v>15.9</v>
      </c>
      <c r="C2297" s="238">
        <v>0.8</v>
      </c>
    </row>
    <row r="2298" spans="1:3" x14ac:dyDescent="0.2">
      <c r="A2298" s="241">
        <v>39304</v>
      </c>
      <c r="B2298" s="242">
        <v>15.8</v>
      </c>
      <c r="C2298" s="238">
        <v>6.6</v>
      </c>
    </row>
    <row r="2299" spans="1:3" x14ac:dyDescent="0.2">
      <c r="A2299" s="241">
        <v>39305</v>
      </c>
      <c r="B2299" s="242">
        <v>14.7</v>
      </c>
      <c r="C2299" s="238">
        <v>12.7</v>
      </c>
    </row>
    <row r="2300" spans="1:3" x14ac:dyDescent="0.2">
      <c r="A2300" s="241">
        <v>39306</v>
      </c>
      <c r="B2300" s="242">
        <v>17.600000000000001</v>
      </c>
      <c r="C2300" s="238">
        <v>5.0999999999999996</v>
      </c>
    </row>
    <row r="2301" spans="1:3" x14ac:dyDescent="0.2">
      <c r="A2301" s="241">
        <v>39307</v>
      </c>
      <c r="B2301" s="242">
        <v>18</v>
      </c>
      <c r="C2301" s="238">
        <v>11.4</v>
      </c>
    </row>
    <row r="2302" spans="1:3" x14ac:dyDescent="0.2">
      <c r="A2302" s="241">
        <v>39308</v>
      </c>
      <c r="B2302" s="242">
        <v>18.899999999999999</v>
      </c>
      <c r="C2302" s="238">
        <v>1.6</v>
      </c>
    </row>
    <row r="2303" spans="1:3" x14ac:dyDescent="0.2">
      <c r="A2303" s="241">
        <v>39309</v>
      </c>
      <c r="B2303" s="242">
        <v>19.600000000000001</v>
      </c>
      <c r="C2303" s="238">
        <v>7.5</v>
      </c>
    </row>
    <row r="2304" spans="1:3" x14ac:dyDescent="0.2">
      <c r="A2304" s="241">
        <v>39310</v>
      </c>
      <c r="B2304" s="242">
        <v>16.3</v>
      </c>
      <c r="C2304" s="238">
        <v>6.6</v>
      </c>
    </row>
    <row r="2305" spans="1:3" x14ac:dyDescent="0.2">
      <c r="A2305" s="241">
        <v>39311</v>
      </c>
      <c r="B2305" s="242">
        <v>15.9</v>
      </c>
      <c r="C2305" s="238">
        <v>8.1999999999999993</v>
      </c>
    </row>
    <row r="2306" spans="1:3" x14ac:dyDescent="0.2">
      <c r="A2306" s="241">
        <v>39312</v>
      </c>
      <c r="B2306" s="242">
        <v>16.8</v>
      </c>
      <c r="C2306" s="238">
        <v>3.2</v>
      </c>
    </row>
    <row r="2307" spans="1:3" x14ac:dyDescent="0.2">
      <c r="A2307" s="241">
        <v>39313</v>
      </c>
      <c r="B2307" s="242">
        <v>18.5</v>
      </c>
      <c r="C2307" s="238">
        <v>1.4</v>
      </c>
    </row>
    <row r="2308" spans="1:3" x14ac:dyDescent="0.2">
      <c r="A2308" s="241">
        <v>39314</v>
      </c>
      <c r="B2308" s="242">
        <v>16.8</v>
      </c>
      <c r="C2308" s="238">
        <v>3.1</v>
      </c>
    </row>
    <row r="2309" spans="1:3" x14ac:dyDescent="0.2">
      <c r="A2309" s="241">
        <v>39315</v>
      </c>
      <c r="B2309" s="242">
        <v>17.2</v>
      </c>
      <c r="C2309" s="238">
        <v>4</v>
      </c>
    </row>
    <row r="2310" spans="1:3" x14ac:dyDescent="0.2">
      <c r="A2310" s="241">
        <v>39316</v>
      </c>
      <c r="B2310" s="242">
        <v>19.3</v>
      </c>
      <c r="C2310" s="238">
        <v>7.5</v>
      </c>
    </row>
    <row r="2311" spans="1:3" x14ac:dyDescent="0.2">
      <c r="A2311" s="241">
        <v>39317</v>
      </c>
      <c r="B2311" s="242">
        <v>17.7</v>
      </c>
      <c r="C2311" s="238">
        <v>3.9</v>
      </c>
    </row>
    <row r="2312" spans="1:3" x14ac:dyDescent="0.2">
      <c r="A2312" s="241">
        <v>39318</v>
      </c>
      <c r="B2312" s="242">
        <v>17.2</v>
      </c>
      <c r="C2312" s="238">
        <v>11.5</v>
      </c>
    </row>
    <row r="2313" spans="1:3" x14ac:dyDescent="0.2">
      <c r="A2313" s="241">
        <v>39319</v>
      </c>
      <c r="B2313" s="242">
        <v>18.5</v>
      </c>
      <c r="C2313" s="238">
        <v>9.8000000000000007</v>
      </c>
    </row>
    <row r="2314" spans="1:3" x14ac:dyDescent="0.2">
      <c r="A2314" s="241">
        <v>39320</v>
      </c>
      <c r="B2314" s="242">
        <v>17.399999999999999</v>
      </c>
      <c r="C2314" s="238">
        <v>9.6</v>
      </c>
    </row>
    <row r="2315" spans="1:3" x14ac:dyDescent="0.2">
      <c r="A2315" s="241">
        <v>39321</v>
      </c>
      <c r="B2315" s="242">
        <v>15.3</v>
      </c>
      <c r="C2315" s="238">
        <v>5.5</v>
      </c>
    </row>
    <row r="2316" spans="1:3" x14ac:dyDescent="0.2">
      <c r="A2316" s="241">
        <v>39322</v>
      </c>
      <c r="B2316" s="242">
        <v>13.6</v>
      </c>
      <c r="C2316" s="238">
        <v>8.8000000000000007</v>
      </c>
    </row>
    <row r="2317" spans="1:3" x14ac:dyDescent="0.2">
      <c r="A2317" s="241">
        <v>39323</v>
      </c>
      <c r="B2317" s="242">
        <v>13.9</v>
      </c>
      <c r="C2317" s="238">
        <v>12.5</v>
      </c>
    </row>
    <row r="2318" spans="1:3" x14ac:dyDescent="0.2">
      <c r="A2318" s="241">
        <v>39324</v>
      </c>
      <c r="B2318" s="242">
        <v>17</v>
      </c>
      <c r="C2318" s="238">
        <v>2.8</v>
      </c>
    </row>
    <row r="2319" spans="1:3" x14ac:dyDescent="0.2">
      <c r="A2319" s="241">
        <v>39325</v>
      </c>
      <c r="B2319" s="242">
        <v>16.899999999999999</v>
      </c>
      <c r="C2319" s="238">
        <v>1.6</v>
      </c>
    </row>
    <row r="2320" spans="1:3" x14ac:dyDescent="0.2">
      <c r="A2320" s="241">
        <v>39326</v>
      </c>
      <c r="B2320" s="242">
        <v>17.2</v>
      </c>
      <c r="C2320" s="238">
        <v>3.8</v>
      </c>
    </row>
    <row r="2321" spans="1:3" x14ac:dyDescent="0.2">
      <c r="A2321" s="241">
        <v>39327</v>
      </c>
      <c r="B2321" s="242">
        <v>17.8</v>
      </c>
      <c r="C2321" s="238">
        <v>3.2</v>
      </c>
    </row>
    <row r="2322" spans="1:3" x14ac:dyDescent="0.2">
      <c r="A2322" s="241">
        <v>39328</v>
      </c>
      <c r="B2322" s="242">
        <v>14.5</v>
      </c>
      <c r="C2322" s="238">
        <v>9.3000000000000007</v>
      </c>
    </row>
    <row r="2323" spans="1:3" x14ac:dyDescent="0.2">
      <c r="A2323" s="241">
        <v>39329</v>
      </c>
      <c r="B2323" s="242">
        <v>13.9</v>
      </c>
      <c r="C2323" s="238">
        <v>9.6</v>
      </c>
    </row>
    <row r="2324" spans="1:3" x14ac:dyDescent="0.2">
      <c r="A2324" s="241">
        <v>39330</v>
      </c>
      <c r="B2324" s="242">
        <v>14.6</v>
      </c>
      <c r="C2324" s="238">
        <v>0</v>
      </c>
    </row>
    <row r="2325" spans="1:3" x14ac:dyDescent="0.2">
      <c r="A2325" s="241">
        <v>39331</v>
      </c>
      <c r="B2325" s="242">
        <v>17.3</v>
      </c>
      <c r="C2325" s="238">
        <v>2.1</v>
      </c>
    </row>
    <row r="2326" spans="1:3" x14ac:dyDescent="0.2">
      <c r="A2326" s="241">
        <v>39332</v>
      </c>
      <c r="B2326" s="242">
        <v>17</v>
      </c>
      <c r="C2326" s="238">
        <v>9.6</v>
      </c>
    </row>
    <row r="2327" spans="1:3" x14ac:dyDescent="0.2">
      <c r="A2327" s="241">
        <v>39333</v>
      </c>
      <c r="B2327" s="242">
        <v>16.8</v>
      </c>
      <c r="C2327" s="238">
        <v>1.1000000000000001</v>
      </c>
    </row>
    <row r="2328" spans="1:3" x14ac:dyDescent="0.2">
      <c r="A2328" s="241">
        <v>39334</v>
      </c>
      <c r="B2328" s="242">
        <v>15.6</v>
      </c>
      <c r="C2328" s="238">
        <v>1</v>
      </c>
    </row>
    <row r="2329" spans="1:3" x14ac:dyDescent="0.2">
      <c r="A2329" s="241">
        <v>39335</v>
      </c>
      <c r="B2329" s="242">
        <v>15.3</v>
      </c>
      <c r="C2329" s="238">
        <v>3.1</v>
      </c>
    </row>
    <row r="2330" spans="1:3" x14ac:dyDescent="0.2">
      <c r="A2330" s="241">
        <v>39336</v>
      </c>
      <c r="B2330" s="242">
        <v>14.9</v>
      </c>
      <c r="C2330" s="238">
        <v>1</v>
      </c>
    </row>
    <row r="2331" spans="1:3" x14ac:dyDescent="0.2">
      <c r="A2331" s="241">
        <v>39337</v>
      </c>
      <c r="B2331" s="242">
        <v>14.8</v>
      </c>
      <c r="C2331" s="238">
        <v>2.6</v>
      </c>
    </row>
    <row r="2332" spans="1:3" x14ac:dyDescent="0.2">
      <c r="A2332" s="241">
        <v>39338</v>
      </c>
      <c r="B2332" s="242">
        <v>13.6</v>
      </c>
      <c r="C2332" s="238">
        <v>3.1</v>
      </c>
    </row>
    <row r="2333" spans="1:3" x14ac:dyDescent="0.2">
      <c r="A2333" s="241">
        <v>39339</v>
      </c>
      <c r="B2333" s="242">
        <v>15.4</v>
      </c>
      <c r="C2333" s="238">
        <v>0.7</v>
      </c>
    </row>
    <row r="2334" spans="1:3" x14ac:dyDescent="0.2">
      <c r="A2334" s="241">
        <v>39340</v>
      </c>
      <c r="B2334" s="242">
        <v>14.1</v>
      </c>
      <c r="C2334" s="238">
        <v>10.8</v>
      </c>
    </row>
    <row r="2335" spans="1:3" x14ac:dyDescent="0.2">
      <c r="A2335" s="241">
        <v>39341</v>
      </c>
      <c r="B2335" s="242">
        <v>16.7</v>
      </c>
      <c r="C2335" s="238">
        <v>10.5</v>
      </c>
    </row>
    <row r="2336" spans="1:3" x14ac:dyDescent="0.2">
      <c r="A2336" s="241">
        <v>39342</v>
      </c>
      <c r="B2336" s="242">
        <v>14.6</v>
      </c>
      <c r="C2336" s="238">
        <v>0</v>
      </c>
    </row>
    <row r="2337" spans="1:3" x14ac:dyDescent="0.2">
      <c r="A2337" s="241">
        <v>39343</v>
      </c>
      <c r="B2337" s="242">
        <v>11.9</v>
      </c>
      <c r="C2337" s="238">
        <v>8.4</v>
      </c>
    </row>
    <row r="2338" spans="1:3" x14ac:dyDescent="0.2">
      <c r="A2338" s="241">
        <v>39344</v>
      </c>
      <c r="B2338" s="242">
        <v>14.7</v>
      </c>
      <c r="C2338" s="238">
        <v>5.7</v>
      </c>
    </row>
    <row r="2339" spans="1:3" x14ac:dyDescent="0.2">
      <c r="A2339" s="241">
        <v>39345</v>
      </c>
      <c r="B2339" s="242">
        <v>16.2</v>
      </c>
      <c r="C2339" s="238">
        <v>1.3</v>
      </c>
    </row>
    <row r="2340" spans="1:3" x14ac:dyDescent="0.2">
      <c r="A2340" s="241">
        <v>39346</v>
      </c>
      <c r="B2340" s="242">
        <v>16.8</v>
      </c>
      <c r="C2340" s="238">
        <v>1.8</v>
      </c>
    </row>
    <row r="2341" spans="1:3" x14ac:dyDescent="0.2">
      <c r="A2341" s="241">
        <v>39347</v>
      </c>
      <c r="B2341" s="242">
        <v>16.2</v>
      </c>
      <c r="C2341" s="238">
        <v>3.3</v>
      </c>
    </row>
    <row r="2342" spans="1:3" x14ac:dyDescent="0.2">
      <c r="A2342" s="241">
        <v>39348</v>
      </c>
      <c r="B2342" s="242">
        <v>17</v>
      </c>
      <c r="C2342" s="238">
        <v>8.5</v>
      </c>
    </row>
    <row r="2343" spans="1:3" x14ac:dyDescent="0.2">
      <c r="A2343" s="241">
        <v>39349</v>
      </c>
      <c r="B2343" s="242">
        <v>15.9</v>
      </c>
      <c r="C2343" s="238">
        <v>2.8</v>
      </c>
    </row>
    <row r="2344" spans="1:3" x14ac:dyDescent="0.2">
      <c r="A2344" s="241">
        <v>39350</v>
      </c>
      <c r="B2344" s="242">
        <v>13.7</v>
      </c>
      <c r="C2344" s="238">
        <v>5.3</v>
      </c>
    </row>
    <row r="2345" spans="1:3" x14ac:dyDescent="0.2">
      <c r="A2345" s="241">
        <v>39351</v>
      </c>
      <c r="B2345" s="242">
        <v>11</v>
      </c>
      <c r="C2345" s="238">
        <v>0.8</v>
      </c>
    </row>
    <row r="2346" spans="1:3" x14ac:dyDescent="0.2">
      <c r="A2346" s="241">
        <v>39352</v>
      </c>
      <c r="B2346" s="242">
        <v>12.7</v>
      </c>
      <c r="C2346" s="238">
        <v>10.199999999999999</v>
      </c>
    </row>
    <row r="2347" spans="1:3" x14ac:dyDescent="0.2">
      <c r="A2347" s="241">
        <v>39353</v>
      </c>
      <c r="B2347" s="242">
        <v>13.8</v>
      </c>
      <c r="C2347" s="238">
        <v>0.9</v>
      </c>
    </row>
    <row r="2348" spans="1:3" x14ac:dyDescent="0.2">
      <c r="A2348" s="241">
        <v>39354</v>
      </c>
      <c r="B2348" s="242">
        <v>12.8</v>
      </c>
      <c r="C2348" s="238">
        <v>0</v>
      </c>
    </row>
    <row r="2349" spans="1:3" x14ac:dyDescent="0.2">
      <c r="A2349" s="241">
        <v>39355</v>
      </c>
      <c r="B2349" s="242">
        <v>12.3</v>
      </c>
      <c r="C2349" s="238">
        <v>4.8</v>
      </c>
    </row>
    <row r="2350" spans="1:3" x14ac:dyDescent="0.2">
      <c r="A2350" s="241">
        <v>39356</v>
      </c>
      <c r="B2350" s="242">
        <v>11.3</v>
      </c>
      <c r="C2350" s="238">
        <v>0</v>
      </c>
    </row>
    <row r="2351" spans="1:3" x14ac:dyDescent="0.2">
      <c r="A2351" s="241">
        <v>39357</v>
      </c>
      <c r="B2351" s="242">
        <v>12.5</v>
      </c>
      <c r="C2351" s="238">
        <v>6.8</v>
      </c>
    </row>
    <row r="2352" spans="1:3" x14ac:dyDescent="0.2">
      <c r="A2352" s="241">
        <v>39358</v>
      </c>
      <c r="B2352" s="242">
        <v>13.2</v>
      </c>
      <c r="C2352" s="238">
        <v>0</v>
      </c>
    </row>
    <row r="2353" spans="1:3" x14ac:dyDescent="0.2">
      <c r="A2353" s="241">
        <v>39359</v>
      </c>
      <c r="B2353" s="242">
        <v>14.7</v>
      </c>
      <c r="C2353" s="238">
        <v>4.0999999999999996</v>
      </c>
    </row>
    <row r="2354" spans="1:3" x14ac:dyDescent="0.2">
      <c r="A2354" s="241">
        <v>39360</v>
      </c>
      <c r="B2354" s="242">
        <v>13.5</v>
      </c>
      <c r="C2354" s="238">
        <v>3.1</v>
      </c>
    </row>
    <row r="2355" spans="1:3" x14ac:dyDescent="0.2">
      <c r="A2355" s="241">
        <v>39361</v>
      </c>
      <c r="B2355" s="242">
        <v>12</v>
      </c>
      <c r="C2355" s="238">
        <v>9.5</v>
      </c>
    </row>
    <row r="2356" spans="1:3" x14ac:dyDescent="0.2">
      <c r="A2356" s="241">
        <v>39362</v>
      </c>
      <c r="B2356" s="242">
        <v>9.8000000000000007</v>
      </c>
      <c r="C2356" s="238">
        <v>8.6999999999999993</v>
      </c>
    </row>
    <row r="2357" spans="1:3" x14ac:dyDescent="0.2">
      <c r="A2357" s="241">
        <v>39363</v>
      </c>
      <c r="B2357" s="242">
        <v>9.6999999999999993</v>
      </c>
      <c r="C2357" s="238">
        <v>1.5</v>
      </c>
    </row>
    <row r="2358" spans="1:3" x14ac:dyDescent="0.2">
      <c r="A2358" s="241">
        <v>39364</v>
      </c>
      <c r="B2358" s="242">
        <v>12.3</v>
      </c>
      <c r="C2358" s="238">
        <v>0.5</v>
      </c>
    </row>
    <row r="2359" spans="1:3" x14ac:dyDescent="0.2">
      <c r="A2359" s="241">
        <v>39365</v>
      </c>
      <c r="B2359" s="242">
        <v>11.1</v>
      </c>
      <c r="C2359" s="238">
        <v>6</v>
      </c>
    </row>
    <row r="2360" spans="1:3" x14ac:dyDescent="0.2">
      <c r="A2360" s="241">
        <v>39366</v>
      </c>
      <c r="B2360" s="242">
        <v>11.1</v>
      </c>
      <c r="C2360" s="238">
        <v>6.6</v>
      </c>
    </row>
    <row r="2361" spans="1:3" x14ac:dyDescent="0.2">
      <c r="A2361" s="241">
        <v>39367</v>
      </c>
      <c r="B2361" s="242">
        <v>14.1</v>
      </c>
      <c r="C2361" s="238">
        <v>4.9000000000000004</v>
      </c>
    </row>
    <row r="2362" spans="1:3" x14ac:dyDescent="0.2">
      <c r="A2362" s="241">
        <v>39368</v>
      </c>
      <c r="B2362" s="242">
        <v>12</v>
      </c>
      <c r="C2362" s="238">
        <v>6.9</v>
      </c>
    </row>
    <row r="2363" spans="1:3" x14ac:dyDescent="0.2">
      <c r="A2363" s="241">
        <v>39369</v>
      </c>
      <c r="B2363" s="242">
        <v>12.6</v>
      </c>
      <c r="C2363" s="238">
        <v>9.8000000000000007</v>
      </c>
    </row>
    <row r="2364" spans="1:3" x14ac:dyDescent="0.2">
      <c r="A2364" s="241">
        <v>39370</v>
      </c>
      <c r="B2364" s="242">
        <v>13.1</v>
      </c>
      <c r="C2364" s="238">
        <v>2</v>
      </c>
    </row>
    <row r="2365" spans="1:3" x14ac:dyDescent="0.2">
      <c r="A2365" s="241">
        <v>39371</v>
      </c>
      <c r="B2365" s="242">
        <v>15.2</v>
      </c>
      <c r="C2365" s="238">
        <v>5.8</v>
      </c>
    </row>
    <row r="2366" spans="1:3" x14ac:dyDescent="0.2">
      <c r="A2366" s="241">
        <v>39372</v>
      </c>
      <c r="B2366" s="242">
        <v>12.9</v>
      </c>
      <c r="C2366" s="238">
        <v>2.4</v>
      </c>
    </row>
    <row r="2367" spans="1:3" x14ac:dyDescent="0.2">
      <c r="A2367" s="241">
        <v>39373</v>
      </c>
      <c r="B2367" s="242">
        <v>11.2</v>
      </c>
      <c r="C2367" s="238">
        <v>6.5</v>
      </c>
    </row>
    <row r="2368" spans="1:3" x14ac:dyDescent="0.2">
      <c r="A2368" s="241">
        <v>39374</v>
      </c>
      <c r="B2368" s="242">
        <v>9.8000000000000007</v>
      </c>
      <c r="C2368" s="238">
        <v>0</v>
      </c>
    </row>
    <row r="2369" spans="1:3" x14ac:dyDescent="0.2">
      <c r="A2369" s="241">
        <v>39375</v>
      </c>
      <c r="B2369" s="242">
        <v>5.2</v>
      </c>
      <c r="C2369" s="238">
        <v>6.3</v>
      </c>
    </row>
    <row r="2370" spans="1:3" x14ac:dyDescent="0.2">
      <c r="A2370" s="241">
        <v>39376</v>
      </c>
      <c r="B2370" s="242">
        <v>10.8</v>
      </c>
      <c r="C2370" s="238">
        <v>3</v>
      </c>
    </row>
    <row r="2371" spans="1:3" x14ac:dyDescent="0.2">
      <c r="A2371" s="241">
        <v>39377</v>
      </c>
      <c r="B2371" s="242">
        <v>6.1</v>
      </c>
      <c r="C2371" s="238">
        <v>8</v>
      </c>
    </row>
    <row r="2372" spans="1:3" x14ac:dyDescent="0.2">
      <c r="A2372" s="241">
        <v>39378</v>
      </c>
      <c r="B2372" s="242">
        <v>4.9000000000000004</v>
      </c>
      <c r="C2372" s="238">
        <v>8.6</v>
      </c>
    </row>
    <row r="2373" spans="1:3" x14ac:dyDescent="0.2">
      <c r="A2373" s="241">
        <v>39379</v>
      </c>
      <c r="B2373" s="242">
        <v>8.3000000000000007</v>
      </c>
      <c r="C2373" s="238">
        <v>0</v>
      </c>
    </row>
    <row r="2374" spans="1:3" x14ac:dyDescent="0.2">
      <c r="A2374" s="241">
        <v>39380</v>
      </c>
      <c r="B2374" s="242">
        <v>8.5</v>
      </c>
      <c r="C2374" s="238">
        <v>0</v>
      </c>
    </row>
    <row r="2375" spans="1:3" x14ac:dyDescent="0.2">
      <c r="A2375" s="241">
        <v>39381</v>
      </c>
      <c r="B2375" s="242">
        <v>8</v>
      </c>
      <c r="C2375" s="238">
        <v>0</v>
      </c>
    </row>
    <row r="2376" spans="1:3" x14ac:dyDescent="0.2">
      <c r="A2376" s="241">
        <v>39382</v>
      </c>
      <c r="B2376" s="242">
        <v>10.199999999999999</v>
      </c>
      <c r="C2376" s="238">
        <v>1.8</v>
      </c>
    </row>
    <row r="2377" spans="1:3" x14ac:dyDescent="0.2">
      <c r="A2377" s="241">
        <v>39383</v>
      </c>
      <c r="B2377" s="242">
        <v>11.5</v>
      </c>
      <c r="C2377" s="238">
        <v>0.2</v>
      </c>
    </row>
    <row r="2378" spans="1:3" x14ac:dyDescent="0.2">
      <c r="A2378" s="241">
        <v>39384</v>
      </c>
      <c r="B2378" s="242">
        <v>11</v>
      </c>
      <c r="C2378" s="238">
        <v>0.8</v>
      </c>
    </row>
    <row r="2379" spans="1:3" x14ac:dyDescent="0.2">
      <c r="A2379" s="241">
        <v>39385</v>
      </c>
      <c r="B2379" s="242">
        <v>10.6</v>
      </c>
      <c r="C2379" s="238">
        <v>5.5</v>
      </c>
    </row>
    <row r="2380" spans="1:3" x14ac:dyDescent="0.2">
      <c r="A2380" s="241">
        <v>39386</v>
      </c>
      <c r="B2380" s="242">
        <v>12.8</v>
      </c>
      <c r="C2380" s="238">
        <v>0</v>
      </c>
    </row>
    <row r="2381" spans="1:3" x14ac:dyDescent="0.2">
      <c r="A2381" s="241">
        <v>39387</v>
      </c>
      <c r="B2381" s="242">
        <v>13.3</v>
      </c>
      <c r="C2381" s="238">
        <v>3.7</v>
      </c>
    </row>
    <row r="2382" spans="1:3" x14ac:dyDescent="0.2">
      <c r="A2382" s="241">
        <v>39388</v>
      </c>
      <c r="B2382" s="242">
        <v>13.3</v>
      </c>
      <c r="C2382" s="238">
        <v>0</v>
      </c>
    </row>
    <row r="2383" spans="1:3" x14ac:dyDescent="0.2">
      <c r="A2383" s="241">
        <v>39389</v>
      </c>
      <c r="B2383" s="242">
        <v>12.2</v>
      </c>
      <c r="C2383" s="238">
        <v>2.8</v>
      </c>
    </row>
    <row r="2384" spans="1:3" x14ac:dyDescent="0.2">
      <c r="A2384" s="241">
        <v>39390</v>
      </c>
      <c r="B2384" s="242">
        <v>10.199999999999999</v>
      </c>
      <c r="C2384" s="238">
        <v>0.2</v>
      </c>
    </row>
    <row r="2385" spans="1:3" x14ac:dyDescent="0.2">
      <c r="A2385" s="241">
        <v>39391</v>
      </c>
      <c r="B2385" s="242">
        <v>11.3</v>
      </c>
      <c r="C2385" s="238">
        <v>2.7</v>
      </c>
    </row>
    <row r="2386" spans="1:3" x14ac:dyDescent="0.2">
      <c r="A2386" s="241">
        <v>39392</v>
      </c>
      <c r="B2386" s="242">
        <v>10.4</v>
      </c>
      <c r="C2386" s="238">
        <v>4.2</v>
      </c>
    </row>
    <row r="2387" spans="1:3" x14ac:dyDescent="0.2">
      <c r="A2387" s="241">
        <v>39393</v>
      </c>
      <c r="B2387" s="242">
        <v>11.9</v>
      </c>
      <c r="C2387" s="238">
        <v>0.5</v>
      </c>
    </row>
    <row r="2388" spans="1:3" x14ac:dyDescent="0.2">
      <c r="A2388" s="241">
        <v>39394</v>
      </c>
      <c r="B2388" s="242">
        <v>11.2</v>
      </c>
      <c r="C2388" s="238">
        <v>0</v>
      </c>
    </row>
    <row r="2389" spans="1:3" x14ac:dyDescent="0.2">
      <c r="A2389" s="241">
        <v>39395</v>
      </c>
      <c r="B2389" s="242">
        <v>7.5</v>
      </c>
      <c r="C2389" s="238">
        <v>3.5</v>
      </c>
    </row>
    <row r="2390" spans="1:3" x14ac:dyDescent="0.2">
      <c r="A2390" s="241">
        <v>39396</v>
      </c>
      <c r="B2390" s="242">
        <v>9.9</v>
      </c>
      <c r="C2390" s="238">
        <v>2.4</v>
      </c>
    </row>
    <row r="2391" spans="1:3" x14ac:dyDescent="0.2">
      <c r="A2391" s="241">
        <v>39397</v>
      </c>
      <c r="B2391" s="242">
        <v>8.6</v>
      </c>
      <c r="C2391" s="238">
        <v>3.7</v>
      </c>
    </row>
    <row r="2392" spans="1:3" x14ac:dyDescent="0.2">
      <c r="A2392" s="241">
        <v>39398</v>
      </c>
      <c r="B2392" s="242">
        <v>8.6</v>
      </c>
      <c r="C2392" s="238">
        <v>3.6</v>
      </c>
    </row>
    <row r="2393" spans="1:3" x14ac:dyDescent="0.2">
      <c r="A2393" s="241">
        <v>39399</v>
      </c>
      <c r="B2393" s="242">
        <v>6.2</v>
      </c>
      <c r="C2393" s="238">
        <v>0</v>
      </c>
    </row>
    <row r="2394" spans="1:3" x14ac:dyDescent="0.2">
      <c r="A2394" s="241">
        <v>39400</v>
      </c>
      <c r="B2394" s="242">
        <v>2.8</v>
      </c>
      <c r="C2394" s="238">
        <v>4.9000000000000004</v>
      </c>
    </row>
    <row r="2395" spans="1:3" x14ac:dyDescent="0.2">
      <c r="A2395" s="241">
        <v>39401</v>
      </c>
      <c r="B2395" s="242">
        <v>3</v>
      </c>
      <c r="C2395" s="238">
        <v>7.2</v>
      </c>
    </row>
    <row r="2396" spans="1:3" x14ac:dyDescent="0.2">
      <c r="A2396" s="241">
        <v>39402</v>
      </c>
      <c r="B2396" s="242">
        <v>7.6</v>
      </c>
      <c r="C2396" s="238">
        <v>0.6</v>
      </c>
    </row>
    <row r="2397" spans="1:3" x14ac:dyDescent="0.2">
      <c r="A2397" s="241">
        <v>39403</v>
      </c>
      <c r="B2397" s="242">
        <v>8</v>
      </c>
      <c r="C2397" s="238">
        <v>0.9</v>
      </c>
    </row>
    <row r="2398" spans="1:3" x14ac:dyDescent="0.2">
      <c r="A2398" s="241">
        <v>39404</v>
      </c>
      <c r="B2398" s="242">
        <v>4.5</v>
      </c>
      <c r="C2398" s="238">
        <v>6.5</v>
      </c>
    </row>
    <row r="2399" spans="1:3" x14ac:dyDescent="0.2">
      <c r="A2399" s="241">
        <v>39405</v>
      </c>
      <c r="B2399" s="242">
        <v>4.7</v>
      </c>
      <c r="C2399" s="238">
        <v>0.3</v>
      </c>
    </row>
    <row r="2400" spans="1:3" x14ac:dyDescent="0.2">
      <c r="A2400" s="241">
        <v>39406</v>
      </c>
      <c r="B2400" s="242">
        <v>7.1</v>
      </c>
      <c r="C2400" s="238">
        <v>0.2</v>
      </c>
    </row>
    <row r="2401" spans="1:3" x14ac:dyDescent="0.2">
      <c r="A2401" s="241">
        <v>39407</v>
      </c>
      <c r="B2401" s="242">
        <v>9.6999999999999993</v>
      </c>
      <c r="C2401" s="238">
        <v>0.9</v>
      </c>
    </row>
    <row r="2402" spans="1:3" x14ac:dyDescent="0.2">
      <c r="A2402" s="241">
        <v>39408</v>
      </c>
      <c r="B2402" s="242">
        <v>8.8000000000000007</v>
      </c>
      <c r="C2402" s="238">
        <v>1.5</v>
      </c>
    </row>
    <row r="2403" spans="1:3" x14ac:dyDescent="0.2">
      <c r="A2403" s="241">
        <v>39409</v>
      </c>
      <c r="B2403" s="242">
        <v>7.5</v>
      </c>
      <c r="C2403" s="238">
        <v>2.7</v>
      </c>
    </row>
    <row r="2404" spans="1:3" x14ac:dyDescent="0.2">
      <c r="A2404" s="241">
        <v>39410</v>
      </c>
      <c r="B2404" s="242">
        <v>7.9</v>
      </c>
      <c r="C2404" s="238">
        <v>1.2</v>
      </c>
    </row>
    <row r="2405" spans="1:3" x14ac:dyDescent="0.2">
      <c r="A2405" s="241">
        <v>39411</v>
      </c>
      <c r="B2405" s="242">
        <v>7.7</v>
      </c>
      <c r="C2405" s="238">
        <v>1.5</v>
      </c>
    </row>
    <row r="2406" spans="1:3" x14ac:dyDescent="0.2">
      <c r="A2406" s="241">
        <v>39412</v>
      </c>
      <c r="B2406" s="242">
        <v>6.8</v>
      </c>
      <c r="C2406" s="238">
        <v>1.4</v>
      </c>
    </row>
    <row r="2407" spans="1:3" x14ac:dyDescent="0.2">
      <c r="A2407" s="241">
        <v>39413</v>
      </c>
      <c r="B2407" s="242">
        <v>7</v>
      </c>
      <c r="C2407" s="238">
        <v>1.3</v>
      </c>
    </row>
    <row r="2408" spans="1:3" x14ac:dyDescent="0.2">
      <c r="A2408" s="241">
        <v>39414</v>
      </c>
      <c r="B2408" s="242">
        <v>7.1</v>
      </c>
      <c r="C2408" s="238">
        <v>0</v>
      </c>
    </row>
    <row r="2409" spans="1:3" x14ac:dyDescent="0.2">
      <c r="A2409" s="241">
        <v>39415</v>
      </c>
      <c r="B2409" s="242">
        <v>8.3000000000000007</v>
      </c>
      <c r="C2409" s="238">
        <v>1</v>
      </c>
    </row>
    <row r="2410" spans="1:3" x14ac:dyDescent="0.2">
      <c r="A2410" s="241">
        <v>39416</v>
      </c>
      <c r="B2410" s="242">
        <v>9.1999999999999993</v>
      </c>
      <c r="C2410" s="238">
        <v>0</v>
      </c>
    </row>
    <row r="2411" spans="1:3" x14ac:dyDescent="0.2">
      <c r="A2411" s="241">
        <v>39417</v>
      </c>
      <c r="B2411" s="242">
        <v>9.3000000000000007</v>
      </c>
      <c r="C2411" s="238">
        <v>5.4</v>
      </c>
    </row>
    <row r="2412" spans="1:3" x14ac:dyDescent="0.2">
      <c r="A2412" s="241">
        <v>39418</v>
      </c>
      <c r="B2412" s="242">
        <v>9.6999999999999993</v>
      </c>
      <c r="C2412" s="238">
        <v>0</v>
      </c>
    </row>
    <row r="2413" spans="1:3" x14ac:dyDescent="0.2">
      <c r="A2413" s="241">
        <v>39419</v>
      </c>
      <c r="B2413" s="242">
        <v>8.1</v>
      </c>
      <c r="C2413" s="238">
        <v>2.4</v>
      </c>
    </row>
    <row r="2414" spans="1:3" x14ac:dyDescent="0.2">
      <c r="A2414" s="241">
        <v>39420</v>
      </c>
      <c r="B2414" s="242">
        <v>8.9</v>
      </c>
      <c r="C2414" s="238">
        <v>0</v>
      </c>
    </row>
    <row r="2415" spans="1:3" x14ac:dyDescent="0.2">
      <c r="A2415" s="241">
        <v>39421</v>
      </c>
      <c r="B2415" s="242">
        <v>11.2</v>
      </c>
      <c r="C2415" s="238">
        <v>0</v>
      </c>
    </row>
    <row r="2416" spans="1:3" x14ac:dyDescent="0.2">
      <c r="A2416" s="241">
        <v>39422</v>
      </c>
      <c r="B2416" s="242">
        <v>10.4</v>
      </c>
      <c r="C2416" s="238">
        <v>0</v>
      </c>
    </row>
    <row r="2417" spans="1:3" x14ac:dyDescent="0.2">
      <c r="A2417" s="241">
        <v>39423</v>
      </c>
      <c r="B2417" s="242">
        <v>9.6999999999999993</v>
      </c>
      <c r="C2417" s="238">
        <v>0.7</v>
      </c>
    </row>
    <row r="2418" spans="1:3" x14ac:dyDescent="0.2">
      <c r="A2418" s="241">
        <v>39424</v>
      </c>
      <c r="B2418" s="242">
        <v>7.2</v>
      </c>
      <c r="C2418" s="238">
        <v>0.7</v>
      </c>
    </row>
    <row r="2419" spans="1:3" x14ac:dyDescent="0.2">
      <c r="A2419" s="241">
        <v>39425</v>
      </c>
      <c r="B2419" s="242">
        <v>8.1</v>
      </c>
      <c r="C2419" s="238">
        <v>3.6</v>
      </c>
    </row>
    <row r="2420" spans="1:3" x14ac:dyDescent="0.2">
      <c r="A2420" s="241">
        <v>39426</v>
      </c>
      <c r="B2420" s="242">
        <v>7.4</v>
      </c>
      <c r="C2420" s="238">
        <v>3.5</v>
      </c>
    </row>
    <row r="2421" spans="1:3" x14ac:dyDescent="0.2">
      <c r="A2421" s="241">
        <v>39427</v>
      </c>
      <c r="B2421" s="242">
        <v>6.3</v>
      </c>
      <c r="C2421" s="238">
        <v>5.4</v>
      </c>
    </row>
    <row r="2422" spans="1:3" x14ac:dyDescent="0.2">
      <c r="A2422" s="241">
        <v>39428</v>
      </c>
      <c r="B2422" s="242">
        <v>2.7</v>
      </c>
      <c r="C2422" s="238">
        <v>0</v>
      </c>
    </row>
    <row r="2423" spans="1:3" x14ac:dyDescent="0.2">
      <c r="A2423" s="241">
        <v>39429</v>
      </c>
      <c r="B2423" s="242">
        <v>2.6</v>
      </c>
      <c r="C2423" s="238">
        <v>6.2</v>
      </c>
    </row>
    <row r="2424" spans="1:3" x14ac:dyDescent="0.2">
      <c r="A2424" s="241">
        <v>39430</v>
      </c>
      <c r="B2424" s="242">
        <v>1.6</v>
      </c>
      <c r="C2424" s="238">
        <v>2.5</v>
      </c>
    </row>
    <row r="2425" spans="1:3" x14ac:dyDescent="0.2">
      <c r="A2425" s="241">
        <v>39431</v>
      </c>
      <c r="B2425" s="242">
        <v>1.9</v>
      </c>
      <c r="C2425" s="238">
        <v>1</v>
      </c>
    </row>
    <row r="2426" spans="1:3" x14ac:dyDescent="0.2">
      <c r="A2426" s="241">
        <v>39432</v>
      </c>
      <c r="B2426" s="242">
        <v>-0.9</v>
      </c>
      <c r="C2426" s="238">
        <v>6.2</v>
      </c>
    </row>
    <row r="2427" spans="1:3" x14ac:dyDescent="0.2">
      <c r="A2427" s="241">
        <v>39433</v>
      </c>
      <c r="B2427" s="242">
        <v>0.1</v>
      </c>
      <c r="C2427" s="238">
        <v>0</v>
      </c>
    </row>
    <row r="2428" spans="1:3" x14ac:dyDescent="0.2">
      <c r="A2428" s="241">
        <v>39434</v>
      </c>
      <c r="B2428" s="242">
        <v>-1.2</v>
      </c>
      <c r="C2428" s="238">
        <v>0</v>
      </c>
    </row>
    <row r="2429" spans="1:3" x14ac:dyDescent="0.2">
      <c r="A2429" s="241">
        <v>39435</v>
      </c>
      <c r="B2429" s="242">
        <v>-2.1</v>
      </c>
      <c r="C2429" s="238">
        <v>0</v>
      </c>
    </row>
    <row r="2430" spans="1:3" x14ac:dyDescent="0.2">
      <c r="A2430" s="241">
        <v>39436</v>
      </c>
      <c r="B2430" s="242">
        <v>-2.8</v>
      </c>
      <c r="C2430" s="238">
        <v>0</v>
      </c>
    </row>
    <row r="2431" spans="1:3" x14ac:dyDescent="0.2">
      <c r="A2431" s="241">
        <v>39437</v>
      </c>
      <c r="B2431" s="242">
        <v>-4.2</v>
      </c>
      <c r="C2431" s="238">
        <v>0</v>
      </c>
    </row>
    <row r="2432" spans="1:3" x14ac:dyDescent="0.2">
      <c r="A2432" s="241">
        <v>39438</v>
      </c>
      <c r="B2432" s="242">
        <v>-0.4</v>
      </c>
      <c r="C2432" s="238">
        <v>6.3</v>
      </c>
    </row>
    <row r="2433" spans="1:3" x14ac:dyDescent="0.2">
      <c r="A2433" s="241">
        <v>39439</v>
      </c>
      <c r="B2433" s="242">
        <v>5.9</v>
      </c>
      <c r="C2433" s="238">
        <v>5.2</v>
      </c>
    </row>
    <row r="2434" spans="1:3" x14ac:dyDescent="0.2">
      <c r="A2434" s="241">
        <v>39440</v>
      </c>
      <c r="B2434" s="242">
        <v>4.8</v>
      </c>
      <c r="C2434" s="238">
        <v>0</v>
      </c>
    </row>
    <row r="2435" spans="1:3" x14ac:dyDescent="0.2">
      <c r="A2435" s="241">
        <v>39441</v>
      </c>
      <c r="B2435" s="242">
        <v>4.5</v>
      </c>
      <c r="C2435" s="238">
        <v>0.2</v>
      </c>
    </row>
    <row r="2436" spans="1:3" x14ac:dyDescent="0.2">
      <c r="A2436" s="241">
        <v>39442</v>
      </c>
      <c r="B2436" s="242">
        <v>6.1</v>
      </c>
      <c r="C2436" s="238">
        <v>4.2</v>
      </c>
    </row>
    <row r="2437" spans="1:3" x14ac:dyDescent="0.2">
      <c r="A2437" s="241">
        <v>39443</v>
      </c>
      <c r="B2437" s="242">
        <v>6.3</v>
      </c>
      <c r="C2437" s="238">
        <v>0</v>
      </c>
    </row>
    <row r="2438" spans="1:3" x14ac:dyDescent="0.2">
      <c r="A2438" s="241">
        <v>39444</v>
      </c>
      <c r="B2438" s="242">
        <v>7.5</v>
      </c>
      <c r="C2438" s="238">
        <v>0</v>
      </c>
    </row>
    <row r="2439" spans="1:3" x14ac:dyDescent="0.2">
      <c r="A2439" s="241">
        <v>39445</v>
      </c>
      <c r="B2439" s="242">
        <v>7.2</v>
      </c>
      <c r="C2439" s="238">
        <v>6</v>
      </c>
    </row>
    <row r="2440" spans="1:3" x14ac:dyDescent="0.2">
      <c r="A2440" s="241">
        <v>39446</v>
      </c>
      <c r="B2440" s="242">
        <v>6.5</v>
      </c>
      <c r="C2440" s="238">
        <v>1.9</v>
      </c>
    </row>
    <row r="2441" spans="1:3" x14ac:dyDescent="0.2">
      <c r="A2441" s="241">
        <v>39447</v>
      </c>
      <c r="B2441" s="242">
        <v>4.7</v>
      </c>
      <c r="C2441" s="238">
        <v>0</v>
      </c>
    </row>
    <row r="2442" spans="1:3" x14ac:dyDescent="0.2">
      <c r="A2442" s="241">
        <v>39448</v>
      </c>
      <c r="B2442" s="242">
        <v>2.1</v>
      </c>
      <c r="C2442" s="238">
        <v>0.5</v>
      </c>
    </row>
    <row r="2443" spans="1:3" x14ac:dyDescent="0.2">
      <c r="A2443" s="241">
        <v>39449</v>
      </c>
      <c r="B2443" s="242">
        <v>-0.4</v>
      </c>
      <c r="C2443" s="238">
        <v>6.3</v>
      </c>
    </row>
    <row r="2444" spans="1:3" x14ac:dyDescent="0.2">
      <c r="A2444" s="241">
        <v>39450</v>
      </c>
      <c r="B2444" s="242">
        <v>0.2</v>
      </c>
      <c r="C2444" s="238">
        <v>2</v>
      </c>
    </row>
    <row r="2445" spans="1:3" x14ac:dyDescent="0.2">
      <c r="A2445" s="241">
        <v>39451</v>
      </c>
      <c r="B2445" s="242">
        <v>3.8</v>
      </c>
      <c r="C2445" s="238">
        <v>1.1000000000000001</v>
      </c>
    </row>
    <row r="2446" spans="1:3" x14ac:dyDescent="0.2">
      <c r="A2446" s="241">
        <v>39452</v>
      </c>
      <c r="B2446" s="242">
        <v>7</v>
      </c>
      <c r="C2446" s="238">
        <v>0.8</v>
      </c>
    </row>
    <row r="2447" spans="1:3" x14ac:dyDescent="0.2">
      <c r="A2447" s="241">
        <v>39453</v>
      </c>
      <c r="B2447" s="242">
        <v>5.7</v>
      </c>
      <c r="C2447" s="238">
        <v>6.5</v>
      </c>
    </row>
    <row r="2448" spans="1:3" x14ac:dyDescent="0.2">
      <c r="A2448" s="241">
        <v>39454</v>
      </c>
      <c r="B2448" s="242">
        <v>7.3</v>
      </c>
      <c r="C2448" s="238">
        <v>1.2</v>
      </c>
    </row>
    <row r="2449" spans="1:3" x14ac:dyDescent="0.2">
      <c r="A2449" s="241">
        <v>39455</v>
      </c>
      <c r="B2449" s="242">
        <v>7.2</v>
      </c>
      <c r="C2449" s="238">
        <v>0.5</v>
      </c>
    </row>
    <row r="2450" spans="1:3" x14ac:dyDescent="0.2">
      <c r="A2450" s="241">
        <v>39456</v>
      </c>
      <c r="B2450" s="242">
        <v>6.9</v>
      </c>
      <c r="C2450" s="238">
        <v>2</v>
      </c>
    </row>
    <row r="2451" spans="1:3" x14ac:dyDescent="0.2">
      <c r="A2451" s="241">
        <v>39457</v>
      </c>
      <c r="B2451" s="242">
        <v>8.4</v>
      </c>
      <c r="C2451" s="238">
        <v>0.2</v>
      </c>
    </row>
    <row r="2452" spans="1:3" x14ac:dyDescent="0.2">
      <c r="A2452" s="241">
        <v>39458</v>
      </c>
      <c r="B2452" s="242">
        <v>9.1</v>
      </c>
      <c r="C2452" s="238">
        <v>0</v>
      </c>
    </row>
    <row r="2453" spans="1:3" x14ac:dyDescent="0.2">
      <c r="A2453" s="241">
        <v>39459</v>
      </c>
      <c r="B2453" s="242">
        <v>6.3</v>
      </c>
      <c r="C2453" s="238">
        <v>3.2</v>
      </c>
    </row>
    <row r="2454" spans="1:3" x14ac:dyDescent="0.2">
      <c r="A2454" s="241">
        <v>39460</v>
      </c>
      <c r="B2454" s="242">
        <v>6.4</v>
      </c>
      <c r="C2454" s="238">
        <v>0.2</v>
      </c>
    </row>
    <row r="2455" spans="1:3" x14ac:dyDescent="0.2">
      <c r="A2455" s="241">
        <v>39461</v>
      </c>
      <c r="B2455" s="242">
        <v>7.2</v>
      </c>
      <c r="C2455" s="238">
        <v>1.8</v>
      </c>
    </row>
    <row r="2456" spans="1:3" x14ac:dyDescent="0.2">
      <c r="A2456" s="241">
        <v>39462</v>
      </c>
      <c r="B2456" s="242">
        <v>8.6999999999999993</v>
      </c>
      <c r="C2456" s="238">
        <v>0</v>
      </c>
    </row>
    <row r="2457" spans="1:3" x14ac:dyDescent="0.2">
      <c r="A2457" s="241">
        <v>39463</v>
      </c>
      <c r="B2457" s="242">
        <v>6.8</v>
      </c>
      <c r="C2457" s="238">
        <v>2</v>
      </c>
    </row>
    <row r="2458" spans="1:3" x14ac:dyDescent="0.2">
      <c r="A2458" s="241">
        <v>39464</v>
      </c>
      <c r="B2458" s="242">
        <v>6.4</v>
      </c>
      <c r="C2458" s="238">
        <v>0</v>
      </c>
    </row>
    <row r="2459" spans="1:3" x14ac:dyDescent="0.2">
      <c r="A2459" s="241">
        <v>39465</v>
      </c>
      <c r="B2459" s="242">
        <v>8.3000000000000007</v>
      </c>
      <c r="C2459" s="238">
        <v>0</v>
      </c>
    </row>
    <row r="2460" spans="1:3" x14ac:dyDescent="0.2">
      <c r="A2460" s="241">
        <v>39466</v>
      </c>
      <c r="B2460" s="242">
        <v>8.6</v>
      </c>
      <c r="C2460" s="238">
        <v>0</v>
      </c>
    </row>
    <row r="2461" spans="1:3" x14ac:dyDescent="0.2">
      <c r="A2461" s="241">
        <v>39467</v>
      </c>
      <c r="B2461" s="242">
        <v>9.1</v>
      </c>
      <c r="C2461" s="238">
        <v>0</v>
      </c>
    </row>
    <row r="2462" spans="1:3" x14ac:dyDescent="0.2">
      <c r="A2462" s="241">
        <v>39468</v>
      </c>
      <c r="B2462" s="242">
        <v>8.3000000000000007</v>
      </c>
      <c r="C2462" s="238">
        <v>0</v>
      </c>
    </row>
    <row r="2463" spans="1:3" x14ac:dyDescent="0.2">
      <c r="A2463" s="241">
        <v>39469</v>
      </c>
      <c r="B2463" s="242">
        <v>5.7</v>
      </c>
      <c r="C2463" s="238">
        <v>5.9</v>
      </c>
    </row>
    <row r="2464" spans="1:3" x14ac:dyDescent="0.2">
      <c r="A2464" s="241">
        <v>39470</v>
      </c>
      <c r="B2464" s="242">
        <v>7.4</v>
      </c>
      <c r="C2464" s="238">
        <v>0</v>
      </c>
    </row>
    <row r="2465" spans="1:3" x14ac:dyDescent="0.2">
      <c r="A2465" s="241">
        <v>39471</v>
      </c>
      <c r="B2465" s="242">
        <v>8</v>
      </c>
      <c r="C2465" s="238">
        <v>0</v>
      </c>
    </row>
    <row r="2466" spans="1:3" x14ac:dyDescent="0.2">
      <c r="A2466" s="241">
        <v>39472</v>
      </c>
      <c r="B2466" s="242">
        <v>7.8</v>
      </c>
      <c r="C2466" s="238">
        <v>2.6</v>
      </c>
    </row>
    <row r="2467" spans="1:3" x14ac:dyDescent="0.2">
      <c r="A2467" s="241">
        <v>39473</v>
      </c>
      <c r="B2467" s="242">
        <v>8</v>
      </c>
      <c r="C2467" s="238">
        <v>3.5</v>
      </c>
    </row>
    <row r="2468" spans="1:3" x14ac:dyDescent="0.2">
      <c r="A2468" s="241">
        <v>39474</v>
      </c>
      <c r="B2468" s="242">
        <v>7.9</v>
      </c>
      <c r="C2468" s="238">
        <v>3.9</v>
      </c>
    </row>
    <row r="2469" spans="1:3" x14ac:dyDescent="0.2">
      <c r="A2469" s="241">
        <v>39475</v>
      </c>
      <c r="B2469" s="242">
        <v>7.7</v>
      </c>
      <c r="C2469" s="238">
        <v>0</v>
      </c>
    </row>
    <row r="2470" spans="1:3" x14ac:dyDescent="0.2">
      <c r="A2470" s="241">
        <v>39476</v>
      </c>
      <c r="B2470" s="242">
        <v>7</v>
      </c>
      <c r="C2470" s="238">
        <v>0</v>
      </c>
    </row>
    <row r="2471" spans="1:3" x14ac:dyDescent="0.2">
      <c r="A2471" s="241">
        <v>39477</v>
      </c>
      <c r="B2471" s="242">
        <v>6.2</v>
      </c>
      <c r="C2471" s="238">
        <v>2.6</v>
      </c>
    </row>
    <row r="2472" spans="1:3" x14ac:dyDescent="0.2">
      <c r="A2472" s="241">
        <v>39478</v>
      </c>
      <c r="B2472" s="242">
        <v>6.1</v>
      </c>
      <c r="C2472" s="238">
        <v>0</v>
      </c>
    </row>
    <row r="2473" spans="1:3" x14ac:dyDescent="0.2">
      <c r="A2473" s="241">
        <v>39479</v>
      </c>
      <c r="B2473" s="242">
        <v>6.1</v>
      </c>
      <c r="C2473" s="238">
        <v>6.3</v>
      </c>
    </row>
    <row r="2474" spans="1:3" x14ac:dyDescent="0.2">
      <c r="A2474" s="241">
        <v>39480</v>
      </c>
      <c r="B2474" s="242">
        <v>4.9000000000000004</v>
      </c>
      <c r="C2474" s="238">
        <v>5.4</v>
      </c>
    </row>
    <row r="2475" spans="1:3" x14ac:dyDescent="0.2">
      <c r="A2475" s="241">
        <v>39481</v>
      </c>
      <c r="B2475" s="242">
        <v>4.0999999999999996</v>
      </c>
      <c r="C2475" s="238">
        <v>4.2</v>
      </c>
    </row>
    <row r="2476" spans="1:3" x14ac:dyDescent="0.2">
      <c r="A2476" s="241">
        <v>39482</v>
      </c>
      <c r="B2476" s="242">
        <v>6.4</v>
      </c>
      <c r="C2476" s="238">
        <v>2.2999999999999998</v>
      </c>
    </row>
    <row r="2477" spans="1:3" x14ac:dyDescent="0.2">
      <c r="A2477" s="241">
        <v>39483</v>
      </c>
      <c r="B2477" s="242">
        <v>8</v>
      </c>
      <c r="C2477" s="238">
        <v>0.8</v>
      </c>
    </row>
    <row r="2478" spans="1:3" x14ac:dyDescent="0.2">
      <c r="A2478" s="241">
        <v>39484</v>
      </c>
      <c r="B2478" s="242">
        <v>7.3</v>
      </c>
      <c r="C2478" s="238">
        <v>2.2999999999999998</v>
      </c>
    </row>
    <row r="2479" spans="1:3" x14ac:dyDescent="0.2">
      <c r="A2479" s="241">
        <v>39485</v>
      </c>
      <c r="B2479" s="242">
        <v>7.2</v>
      </c>
      <c r="C2479" s="238">
        <v>1</v>
      </c>
    </row>
    <row r="2480" spans="1:3" x14ac:dyDescent="0.2">
      <c r="A2480" s="241">
        <v>39486</v>
      </c>
      <c r="B2480" s="242">
        <v>8.6</v>
      </c>
      <c r="C2480" s="238">
        <v>8</v>
      </c>
    </row>
    <row r="2481" spans="1:3" x14ac:dyDescent="0.2">
      <c r="A2481" s="241">
        <v>39487</v>
      </c>
      <c r="B2481" s="242">
        <v>8.8000000000000007</v>
      </c>
      <c r="C2481" s="238">
        <v>8.1999999999999993</v>
      </c>
    </row>
    <row r="2482" spans="1:3" x14ac:dyDescent="0.2">
      <c r="A2482" s="241">
        <v>39488</v>
      </c>
      <c r="B2482" s="242">
        <v>7.7</v>
      </c>
      <c r="C2482" s="238">
        <v>8.1999999999999993</v>
      </c>
    </row>
    <row r="2483" spans="1:3" x14ac:dyDescent="0.2">
      <c r="A2483" s="241">
        <v>39489</v>
      </c>
      <c r="B2483" s="242">
        <v>6.6</v>
      </c>
      <c r="C2483" s="238">
        <v>8.5</v>
      </c>
    </row>
    <row r="2484" spans="1:3" x14ac:dyDescent="0.2">
      <c r="A2484" s="241">
        <v>39490</v>
      </c>
      <c r="B2484" s="242">
        <v>5.8</v>
      </c>
      <c r="C2484" s="238">
        <v>8.5</v>
      </c>
    </row>
    <row r="2485" spans="1:3" x14ac:dyDescent="0.2">
      <c r="A2485" s="241">
        <v>39491</v>
      </c>
      <c r="B2485" s="242">
        <v>2.1</v>
      </c>
      <c r="C2485" s="238">
        <v>0</v>
      </c>
    </row>
    <row r="2486" spans="1:3" x14ac:dyDescent="0.2">
      <c r="A2486" s="241">
        <v>39492</v>
      </c>
      <c r="B2486" s="242">
        <v>3.3</v>
      </c>
      <c r="C2486" s="238">
        <v>0</v>
      </c>
    </row>
    <row r="2487" spans="1:3" x14ac:dyDescent="0.2">
      <c r="A2487" s="241">
        <v>39493</v>
      </c>
      <c r="B2487" s="242">
        <v>1.8</v>
      </c>
      <c r="C2487" s="238">
        <v>8.6999999999999993</v>
      </c>
    </row>
    <row r="2488" spans="1:3" x14ac:dyDescent="0.2">
      <c r="A2488" s="241">
        <v>39494</v>
      </c>
      <c r="B2488" s="242">
        <v>-0.1</v>
      </c>
      <c r="C2488" s="238">
        <v>8.8000000000000007</v>
      </c>
    </row>
    <row r="2489" spans="1:3" x14ac:dyDescent="0.2">
      <c r="A2489" s="241">
        <v>39495</v>
      </c>
      <c r="B2489" s="242">
        <v>1</v>
      </c>
      <c r="C2489" s="238">
        <v>8.6</v>
      </c>
    </row>
    <row r="2490" spans="1:3" x14ac:dyDescent="0.2">
      <c r="A2490" s="241">
        <v>39496</v>
      </c>
      <c r="B2490" s="242">
        <v>3</v>
      </c>
      <c r="C2490" s="238">
        <v>8.3000000000000007</v>
      </c>
    </row>
    <row r="2491" spans="1:3" x14ac:dyDescent="0.2">
      <c r="A2491" s="241">
        <v>39497</v>
      </c>
      <c r="B2491" s="242">
        <v>1.7</v>
      </c>
      <c r="C2491" s="238">
        <v>0</v>
      </c>
    </row>
    <row r="2492" spans="1:3" x14ac:dyDescent="0.2">
      <c r="A2492" s="241">
        <v>39498</v>
      </c>
      <c r="B2492" s="242">
        <v>3.1</v>
      </c>
      <c r="C2492" s="238">
        <v>2.6</v>
      </c>
    </row>
    <row r="2493" spans="1:3" x14ac:dyDescent="0.2">
      <c r="A2493" s="241">
        <v>39499</v>
      </c>
      <c r="B2493" s="242">
        <v>7.1</v>
      </c>
      <c r="C2493" s="238">
        <v>0.1</v>
      </c>
    </row>
    <row r="2494" spans="1:3" x14ac:dyDescent="0.2">
      <c r="A2494" s="241">
        <v>39500</v>
      </c>
      <c r="B2494" s="242">
        <v>8.1</v>
      </c>
      <c r="C2494" s="238">
        <v>0.2</v>
      </c>
    </row>
    <row r="2495" spans="1:3" x14ac:dyDescent="0.2">
      <c r="A2495" s="241">
        <v>39501</v>
      </c>
      <c r="B2495" s="242">
        <v>7.8</v>
      </c>
      <c r="C2495" s="238">
        <v>1.1000000000000001</v>
      </c>
    </row>
    <row r="2496" spans="1:3" x14ac:dyDescent="0.2">
      <c r="A2496" s="241">
        <v>39502</v>
      </c>
      <c r="B2496" s="242">
        <v>8.6999999999999993</v>
      </c>
      <c r="C2496" s="238">
        <v>3</v>
      </c>
    </row>
    <row r="2497" spans="1:3" x14ac:dyDescent="0.2">
      <c r="A2497" s="241">
        <v>39503</v>
      </c>
      <c r="B2497" s="242">
        <v>7.8</v>
      </c>
      <c r="C2497" s="238">
        <v>8.3000000000000007</v>
      </c>
    </row>
    <row r="2498" spans="1:3" x14ac:dyDescent="0.2">
      <c r="A2498" s="241">
        <v>39504</v>
      </c>
      <c r="B2498" s="242">
        <v>9.1999999999999993</v>
      </c>
      <c r="C2498" s="238">
        <v>3.6</v>
      </c>
    </row>
    <row r="2499" spans="1:3" x14ac:dyDescent="0.2">
      <c r="A2499" s="241">
        <v>39505</v>
      </c>
      <c r="B2499" s="242">
        <v>7.4</v>
      </c>
      <c r="C2499" s="238">
        <v>9.5</v>
      </c>
    </row>
    <row r="2500" spans="1:3" x14ac:dyDescent="0.2">
      <c r="A2500" s="241">
        <v>39506</v>
      </c>
      <c r="B2500" s="242">
        <v>6.5</v>
      </c>
      <c r="C2500" s="238">
        <v>1</v>
      </c>
    </row>
    <row r="2501" spans="1:3" x14ac:dyDescent="0.2">
      <c r="A2501" s="241">
        <v>39507</v>
      </c>
      <c r="B2501" s="242">
        <v>6.9</v>
      </c>
      <c r="C2501" s="238">
        <v>1.4</v>
      </c>
    </row>
    <row r="2502" spans="1:3" x14ac:dyDescent="0.2">
      <c r="A2502" s="241">
        <v>39508</v>
      </c>
      <c r="B2502" s="242">
        <v>8.4</v>
      </c>
      <c r="C2502" s="238">
        <v>7</v>
      </c>
    </row>
    <row r="2503" spans="1:3" x14ac:dyDescent="0.2">
      <c r="A2503" s="241">
        <v>39509</v>
      </c>
      <c r="B2503" s="242">
        <v>8.9</v>
      </c>
      <c r="C2503" s="238">
        <v>4.5</v>
      </c>
    </row>
    <row r="2504" spans="1:3" x14ac:dyDescent="0.2">
      <c r="A2504" s="241">
        <v>39510</v>
      </c>
      <c r="B2504" s="242">
        <v>6.3</v>
      </c>
      <c r="C2504" s="238">
        <v>8.1999999999999993</v>
      </c>
    </row>
    <row r="2505" spans="1:3" x14ac:dyDescent="0.2">
      <c r="A2505" s="241">
        <v>39511</v>
      </c>
      <c r="B2505" s="242">
        <v>4.2</v>
      </c>
      <c r="C2505" s="238">
        <v>6</v>
      </c>
    </row>
    <row r="2506" spans="1:3" x14ac:dyDescent="0.2">
      <c r="A2506" s="241">
        <v>39512</v>
      </c>
      <c r="B2506" s="242">
        <v>4.9000000000000004</v>
      </c>
      <c r="C2506" s="238">
        <v>7.5</v>
      </c>
    </row>
    <row r="2507" spans="1:3" x14ac:dyDescent="0.2">
      <c r="A2507" s="241">
        <v>39513</v>
      </c>
      <c r="B2507" s="242">
        <v>7.8</v>
      </c>
      <c r="C2507" s="238">
        <v>0</v>
      </c>
    </row>
    <row r="2508" spans="1:3" x14ac:dyDescent="0.2">
      <c r="A2508" s="241">
        <v>39514</v>
      </c>
      <c r="B2508" s="242">
        <v>7.1</v>
      </c>
      <c r="C2508" s="238">
        <v>1.9</v>
      </c>
    </row>
    <row r="2509" spans="1:3" x14ac:dyDescent="0.2">
      <c r="A2509" s="241">
        <v>39515</v>
      </c>
      <c r="B2509" s="242">
        <v>7.9</v>
      </c>
      <c r="C2509" s="238">
        <v>5.0999999999999996</v>
      </c>
    </row>
    <row r="2510" spans="1:3" x14ac:dyDescent="0.2">
      <c r="A2510" s="241">
        <v>39516</v>
      </c>
      <c r="B2510" s="242">
        <v>7.5</v>
      </c>
      <c r="C2510" s="238">
        <v>0</v>
      </c>
    </row>
    <row r="2511" spans="1:3" x14ac:dyDescent="0.2">
      <c r="A2511" s="241">
        <v>39517</v>
      </c>
      <c r="B2511" s="242">
        <v>6.1</v>
      </c>
      <c r="C2511" s="238">
        <v>1.9</v>
      </c>
    </row>
    <row r="2512" spans="1:3" x14ac:dyDescent="0.2">
      <c r="A2512" s="241">
        <v>39518</v>
      </c>
      <c r="B2512" s="242">
        <v>8</v>
      </c>
      <c r="C2512" s="238">
        <v>3.1</v>
      </c>
    </row>
    <row r="2513" spans="1:3" x14ac:dyDescent="0.2">
      <c r="A2513" s="241">
        <v>39519</v>
      </c>
      <c r="B2513" s="242">
        <v>8</v>
      </c>
      <c r="C2513" s="238">
        <v>3.5</v>
      </c>
    </row>
    <row r="2514" spans="1:3" x14ac:dyDescent="0.2">
      <c r="A2514" s="241">
        <v>39520</v>
      </c>
      <c r="B2514" s="242">
        <v>7.7</v>
      </c>
      <c r="C2514" s="238">
        <v>6.3</v>
      </c>
    </row>
    <row r="2515" spans="1:3" x14ac:dyDescent="0.2">
      <c r="A2515" s="241">
        <v>39521</v>
      </c>
      <c r="B2515" s="242">
        <v>7.2</v>
      </c>
      <c r="C2515" s="238">
        <v>9.4</v>
      </c>
    </row>
    <row r="2516" spans="1:3" x14ac:dyDescent="0.2">
      <c r="A2516" s="241">
        <v>39522</v>
      </c>
      <c r="B2516" s="242">
        <v>8.9</v>
      </c>
      <c r="C2516" s="238">
        <v>0.9</v>
      </c>
    </row>
    <row r="2517" spans="1:3" x14ac:dyDescent="0.2">
      <c r="A2517" s="241">
        <v>39523</v>
      </c>
      <c r="B2517" s="242">
        <v>6.3</v>
      </c>
      <c r="C2517" s="238">
        <v>0</v>
      </c>
    </row>
    <row r="2518" spans="1:3" x14ac:dyDescent="0.2">
      <c r="A2518" s="241">
        <v>39524</v>
      </c>
      <c r="B2518" s="242">
        <v>5.0999999999999996</v>
      </c>
      <c r="C2518" s="238">
        <v>3.5</v>
      </c>
    </row>
    <row r="2519" spans="1:3" x14ac:dyDescent="0.2">
      <c r="A2519" s="241">
        <v>39525</v>
      </c>
      <c r="B2519" s="242">
        <v>5.2</v>
      </c>
      <c r="C2519" s="238">
        <v>6.9</v>
      </c>
    </row>
    <row r="2520" spans="1:3" x14ac:dyDescent="0.2">
      <c r="A2520" s="241">
        <v>39526</v>
      </c>
      <c r="B2520" s="242">
        <v>4.8</v>
      </c>
      <c r="C2520" s="238">
        <v>9</v>
      </c>
    </row>
    <row r="2521" spans="1:3" x14ac:dyDescent="0.2">
      <c r="A2521" s="241">
        <v>39527</v>
      </c>
      <c r="B2521" s="242">
        <v>6</v>
      </c>
      <c r="C2521" s="238">
        <v>0.6</v>
      </c>
    </row>
    <row r="2522" spans="1:3" x14ac:dyDescent="0.2">
      <c r="A2522" s="241">
        <v>39528</v>
      </c>
      <c r="B2522" s="242">
        <v>4.0999999999999996</v>
      </c>
      <c r="C2522" s="238">
        <v>4.2</v>
      </c>
    </row>
    <row r="2523" spans="1:3" x14ac:dyDescent="0.2">
      <c r="A2523" s="241">
        <v>39529</v>
      </c>
      <c r="B2523" s="242">
        <v>1.3</v>
      </c>
      <c r="C2523" s="238">
        <v>2.8</v>
      </c>
    </row>
    <row r="2524" spans="1:3" x14ac:dyDescent="0.2">
      <c r="A2524" s="241">
        <v>39530</v>
      </c>
      <c r="B2524" s="242">
        <v>0.5</v>
      </c>
      <c r="C2524" s="238">
        <v>1.7</v>
      </c>
    </row>
    <row r="2525" spans="1:3" x14ac:dyDescent="0.2">
      <c r="A2525" s="241">
        <v>39531</v>
      </c>
      <c r="B2525" s="242">
        <v>2.2999999999999998</v>
      </c>
      <c r="C2525" s="238">
        <v>7.4</v>
      </c>
    </row>
    <row r="2526" spans="1:3" x14ac:dyDescent="0.2">
      <c r="A2526" s="241">
        <v>39532</v>
      </c>
      <c r="B2526" s="242">
        <v>2.8</v>
      </c>
      <c r="C2526" s="238">
        <v>6.2</v>
      </c>
    </row>
    <row r="2527" spans="1:3" x14ac:dyDescent="0.2">
      <c r="A2527" s="241">
        <v>39533</v>
      </c>
      <c r="B2527" s="242">
        <v>3.9</v>
      </c>
      <c r="C2527" s="238">
        <v>4.2</v>
      </c>
    </row>
    <row r="2528" spans="1:3" x14ac:dyDescent="0.2">
      <c r="A2528" s="241">
        <v>39534</v>
      </c>
      <c r="B2528" s="242">
        <v>3.8</v>
      </c>
      <c r="C2528" s="238">
        <v>0.2</v>
      </c>
    </row>
    <row r="2529" spans="1:3" x14ac:dyDescent="0.2">
      <c r="A2529" s="241">
        <v>39535</v>
      </c>
      <c r="B2529" s="242">
        <v>6.5</v>
      </c>
      <c r="C2529" s="238">
        <v>1.5</v>
      </c>
    </row>
    <row r="2530" spans="1:3" x14ac:dyDescent="0.2">
      <c r="A2530" s="241">
        <v>39536</v>
      </c>
      <c r="B2530" s="242">
        <v>9.1999999999999993</v>
      </c>
      <c r="C2530" s="238">
        <v>10.5</v>
      </c>
    </row>
    <row r="2531" spans="1:3" x14ac:dyDescent="0.2">
      <c r="A2531" s="241">
        <v>39537</v>
      </c>
      <c r="B2531" s="242">
        <v>9.3000000000000007</v>
      </c>
      <c r="C2531" s="238">
        <v>0.1</v>
      </c>
    </row>
    <row r="2532" spans="1:3" x14ac:dyDescent="0.2">
      <c r="A2532" s="241">
        <v>39538</v>
      </c>
      <c r="B2532" s="242">
        <v>7.8</v>
      </c>
      <c r="C2532" s="238">
        <v>5.3</v>
      </c>
    </row>
    <row r="2533" spans="1:3" x14ac:dyDescent="0.2">
      <c r="A2533" s="241">
        <v>39539</v>
      </c>
      <c r="B2533" s="242">
        <v>8.4</v>
      </c>
      <c r="C2533" s="238">
        <v>1.5</v>
      </c>
    </row>
    <row r="2534" spans="1:3" x14ac:dyDescent="0.2">
      <c r="A2534" s="241">
        <v>39540</v>
      </c>
      <c r="B2534" s="242">
        <v>8.1</v>
      </c>
      <c r="C2534" s="238">
        <v>4.2</v>
      </c>
    </row>
    <row r="2535" spans="1:3" x14ac:dyDescent="0.2">
      <c r="A2535" s="241">
        <v>39541</v>
      </c>
      <c r="B2535" s="242">
        <v>7.4</v>
      </c>
      <c r="C2535" s="238">
        <v>0</v>
      </c>
    </row>
    <row r="2536" spans="1:3" x14ac:dyDescent="0.2">
      <c r="A2536" s="241">
        <v>39542</v>
      </c>
      <c r="B2536" s="242">
        <v>7.8</v>
      </c>
      <c r="C2536" s="238">
        <v>0.9</v>
      </c>
    </row>
    <row r="2537" spans="1:3" x14ac:dyDescent="0.2">
      <c r="A2537" s="241">
        <v>39543</v>
      </c>
      <c r="B2537" s="242">
        <v>7</v>
      </c>
      <c r="C2537" s="238">
        <v>3.8</v>
      </c>
    </row>
    <row r="2538" spans="1:3" x14ac:dyDescent="0.2">
      <c r="A2538" s="241">
        <v>39544</v>
      </c>
      <c r="B2538" s="242">
        <v>3</v>
      </c>
      <c r="C2538" s="238">
        <v>11.4</v>
      </c>
    </row>
    <row r="2539" spans="1:3" x14ac:dyDescent="0.2">
      <c r="A2539" s="241">
        <v>39545</v>
      </c>
      <c r="B2539" s="242">
        <v>2.7</v>
      </c>
      <c r="C2539" s="238">
        <v>7</v>
      </c>
    </row>
    <row r="2540" spans="1:3" x14ac:dyDescent="0.2">
      <c r="A2540" s="241">
        <v>39546</v>
      </c>
      <c r="B2540" s="242">
        <v>4.7</v>
      </c>
      <c r="C2540" s="238">
        <v>11</v>
      </c>
    </row>
    <row r="2541" spans="1:3" x14ac:dyDescent="0.2">
      <c r="A2541" s="241">
        <v>39547</v>
      </c>
      <c r="B2541" s="242">
        <v>4.7</v>
      </c>
      <c r="C2541" s="238">
        <v>12.3</v>
      </c>
    </row>
    <row r="2542" spans="1:3" x14ac:dyDescent="0.2">
      <c r="A2542" s="241">
        <v>39548</v>
      </c>
      <c r="B2542" s="242">
        <v>5.0999999999999996</v>
      </c>
      <c r="C2542" s="238">
        <v>12.2</v>
      </c>
    </row>
    <row r="2543" spans="1:3" x14ac:dyDescent="0.2">
      <c r="A2543" s="241">
        <v>39549</v>
      </c>
      <c r="B2543" s="242">
        <v>7.9</v>
      </c>
      <c r="C2543" s="238">
        <v>10</v>
      </c>
    </row>
    <row r="2544" spans="1:3" x14ac:dyDescent="0.2">
      <c r="A2544" s="241">
        <v>39550</v>
      </c>
      <c r="B2544" s="242">
        <v>8.8000000000000007</v>
      </c>
      <c r="C2544" s="238">
        <v>9.3000000000000007</v>
      </c>
    </row>
    <row r="2545" spans="1:3" x14ac:dyDescent="0.2">
      <c r="A2545" s="241">
        <v>39551</v>
      </c>
      <c r="B2545" s="242">
        <v>7.4</v>
      </c>
      <c r="C2545" s="238">
        <v>9.9</v>
      </c>
    </row>
    <row r="2546" spans="1:3" x14ac:dyDescent="0.2">
      <c r="A2546" s="241">
        <v>39552</v>
      </c>
      <c r="B2546" s="242">
        <v>6.1</v>
      </c>
      <c r="C2546" s="238">
        <v>9.6</v>
      </c>
    </row>
    <row r="2547" spans="1:3" x14ac:dyDescent="0.2">
      <c r="A2547" s="241">
        <v>39553</v>
      </c>
      <c r="B2547" s="242">
        <v>4.8</v>
      </c>
      <c r="C2547" s="238">
        <v>10.199999999999999</v>
      </c>
    </row>
    <row r="2548" spans="1:3" x14ac:dyDescent="0.2">
      <c r="A2548" s="241">
        <v>39554</v>
      </c>
      <c r="B2548" s="242">
        <v>3.8</v>
      </c>
      <c r="C2548" s="238">
        <v>8.1999999999999993</v>
      </c>
    </row>
    <row r="2549" spans="1:3" x14ac:dyDescent="0.2">
      <c r="A2549" s="241">
        <v>39555</v>
      </c>
      <c r="B2549" s="242">
        <v>6.4</v>
      </c>
      <c r="C2549" s="238">
        <v>10.7</v>
      </c>
    </row>
    <row r="2550" spans="1:3" x14ac:dyDescent="0.2">
      <c r="A2550" s="241">
        <v>39556</v>
      </c>
      <c r="B2550" s="242">
        <v>7.8</v>
      </c>
      <c r="C2550" s="238">
        <v>5.5</v>
      </c>
    </row>
    <row r="2551" spans="1:3" x14ac:dyDescent="0.2">
      <c r="A2551" s="241">
        <v>39557</v>
      </c>
      <c r="B2551" s="242">
        <v>8.6</v>
      </c>
      <c r="C2551" s="238">
        <v>1.5</v>
      </c>
    </row>
    <row r="2552" spans="1:3" x14ac:dyDescent="0.2">
      <c r="A2552" s="241">
        <v>39558</v>
      </c>
      <c r="B2552" s="242">
        <v>10.8</v>
      </c>
      <c r="C2552" s="238">
        <v>7.9</v>
      </c>
    </row>
    <row r="2553" spans="1:3" x14ac:dyDescent="0.2">
      <c r="A2553" s="241">
        <v>39559</v>
      </c>
      <c r="B2553" s="242">
        <v>12</v>
      </c>
      <c r="C2553" s="238">
        <v>12.6</v>
      </c>
    </row>
    <row r="2554" spans="1:3" x14ac:dyDescent="0.2">
      <c r="A2554" s="241">
        <v>39560</v>
      </c>
      <c r="B2554" s="242">
        <v>12.3</v>
      </c>
      <c r="C2554" s="238">
        <v>12.3</v>
      </c>
    </row>
    <row r="2555" spans="1:3" x14ac:dyDescent="0.2">
      <c r="A2555" s="241">
        <v>39561</v>
      </c>
      <c r="B2555" s="242">
        <v>11.9</v>
      </c>
      <c r="C2555" s="238">
        <v>4.8</v>
      </c>
    </row>
    <row r="2556" spans="1:3" x14ac:dyDescent="0.2">
      <c r="A2556" s="241">
        <v>39562</v>
      </c>
      <c r="B2556" s="242">
        <v>10.6</v>
      </c>
      <c r="C2556" s="238">
        <v>4</v>
      </c>
    </row>
    <row r="2557" spans="1:3" x14ac:dyDescent="0.2">
      <c r="A2557" s="241">
        <v>39563</v>
      </c>
      <c r="B2557" s="242">
        <v>10.3</v>
      </c>
      <c r="C2557" s="238">
        <v>9.8000000000000007</v>
      </c>
    </row>
    <row r="2558" spans="1:3" x14ac:dyDescent="0.2">
      <c r="A2558" s="241">
        <v>39564</v>
      </c>
      <c r="B2558" s="242">
        <v>13.7</v>
      </c>
      <c r="C2558" s="238">
        <v>8.4</v>
      </c>
    </row>
    <row r="2559" spans="1:3" x14ac:dyDescent="0.2">
      <c r="A2559" s="241">
        <v>39565</v>
      </c>
      <c r="B2559" s="242">
        <v>17.899999999999999</v>
      </c>
      <c r="C2559" s="238">
        <v>1.1000000000000001</v>
      </c>
    </row>
    <row r="2560" spans="1:3" x14ac:dyDescent="0.2">
      <c r="A2560" s="241">
        <v>39566</v>
      </c>
      <c r="B2560" s="242">
        <v>11.3</v>
      </c>
      <c r="C2560" s="238">
        <v>2.7</v>
      </c>
    </row>
    <row r="2561" spans="1:3" x14ac:dyDescent="0.2">
      <c r="A2561" s="241">
        <v>39567</v>
      </c>
      <c r="B2561" s="242">
        <v>10.4</v>
      </c>
      <c r="C2561" s="238">
        <v>5.2</v>
      </c>
    </row>
    <row r="2562" spans="1:3" x14ac:dyDescent="0.2">
      <c r="A2562" s="241">
        <v>39568</v>
      </c>
      <c r="B2562" s="242">
        <v>12.4</v>
      </c>
      <c r="C2562" s="238">
        <v>3.1</v>
      </c>
    </row>
    <row r="2563" spans="1:3" x14ac:dyDescent="0.2">
      <c r="A2563" s="241">
        <v>39569</v>
      </c>
      <c r="B2563" s="242">
        <v>10.199999999999999</v>
      </c>
      <c r="C2563" s="238">
        <v>10.7</v>
      </c>
    </row>
    <row r="2564" spans="1:3" x14ac:dyDescent="0.2">
      <c r="A2564" s="241">
        <v>39570</v>
      </c>
      <c r="B2564" s="242">
        <v>9.6999999999999993</v>
      </c>
      <c r="C2564" s="238">
        <v>13.8</v>
      </c>
    </row>
    <row r="2565" spans="1:3" x14ac:dyDescent="0.2">
      <c r="A2565" s="241">
        <v>39571</v>
      </c>
      <c r="B2565" s="242">
        <v>13</v>
      </c>
      <c r="C2565" s="238">
        <v>10.1</v>
      </c>
    </row>
    <row r="2566" spans="1:3" x14ac:dyDescent="0.2">
      <c r="A2566" s="241">
        <v>39572</v>
      </c>
      <c r="B2566" s="242">
        <v>15.5</v>
      </c>
      <c r="C2566" s="238">
        <v>12.4</v>
      </c>
    </row>
    <row r="2567" spans="1:3" x14ac:dyDescent="0.2">
      <c r="A2567" s="241">
        <v>39573</v>
      </c>
      <c r="B2567" s="242">
        <v>15.8</v>
      </c>
      <c r="C2567" s="238">
        <v>14.2</v>
      </c>
    </row>
    <row r="2568" spans="1:3" x14ac:dyDescent="0.2">
      <c r="A2568" s="241">
        <v>39574</v>
      </c>
      <c r="B2568" s="242">
        <v>17</v>
      </c>
      <c r="C2568" s="238">
        <v>14.2</v>
      </c>
    </row>
    <row r="2569" spans="1:3" x14ac:dyDescent="0.2">
      <c r="A2569" s="241">
        <v>39575</v>
      </c>
      <c r="B2569" s="242">
        <v>17.8</v>
      </c>
      <c r="C2569" s="238">
        <v>14</v>
      </c>
    </row>
    <row r="2570" spans="1:3" x14ac:dyDescent="0.2">
      <c r="A2570" s="241">
        <v>39576</v>
      </c>
      <c r="B2570" s="242">
        <v>18.2</v>
      </c>
      <c r="C2570" s="238">
        <v>14</v>
      </c>
    </row>
    <row r="2571" spans="1:3" x14ac:dyDescent="0.2">
      <c r="A2571" s="241">
        <v>39577</v>
      </c>
      <c r="B2571" s="242">
        <v>19.600000000000001</v>
      </c>
      <c r="C2571" s="238">
        <v>14</v>
      </c>
    </row>
    <row r="2572" spans="1:3" x14ac:dyDescent="0.2">
      <c r="A2572" s="241">
        <v>39578</v>
      </c>
      <c r="B2572" s="242">
        <v>20</v>
      </c>
      <c r="C2572" s="238">
        <v>14</v>
      </c>
    </row>
    <row r="2573" spans="1:3" x14ac:dyDescent="0.2">
      <c r="A2573" s="241">
        <v>39579</v>
      </c>
      <c r="B2573" s="242">
        <v>19.3</v>
      </c>
      <c r="C2573" s="238">
        <v>14.3</v>
      </c>
    </row>
    <row r="2574" spans="1:3" x14ac:dyDescent="0.2">
      <c r="A2574" s="241">
        <v>39580</v>
      </c>
      <c r="B2574" s="242">
        <v>19.600000000000001</v>
      </c>
      <c r="C2574" s="238">
        <v>14.2</v>
      </c>
    </row>
    <row r="2575" spans="1:3" x14ac:dyDescent="0.2">
      <c r="A2575" s="241">
        <v>39581</v>
      </c>
      <c r="B2575" s="242">
        <v>17.7</v>
      </c>
      <c r="C2575" s="238">
        <v>9.4</v>
      </c>
    </row>
    <row r="2576" spans="1:3" x14ac:dyDescent="0.2">
      <c r="A2576" s="241">
        <v>39582</v>
      </c>
      <c r="B2576" s="242">
        <v>17.399999999999999</v>
      </c>
      <c r="C2576" s="238">
        <v>11.8</v>
      </c>
    </row>
    <row r="2577" spans="1:3" x14ac:dyDescent="0.2">
      <c r="A2577" s="241">
        <v>39583</v>
      </c>
      <c r="B2577" s="242">
        <v>16</v>
      </c>
      <c r="C2577" s="238">
        <v>9.1999999999999993</v>
      </c>
    </row>
    <row r="2578" spans="1:3" x14ac:dyDescent="0.2">
      <c r="A2578" s="241">
        <v>39584</v>
      </c>
      <c r="B2578" s="242">
        <v>12.7</v>
      </c>
      <c r="C2578" s="238">
        <v>0</v>
      </c>
    </row>
    <row r="2579" spans="1:3" x14ac:dyDescent="0.2">
      <c r="A2579" s="241">
        <v>39585</v>
      </c>
      <c r="B2579" s="242">
        <v>10.5</v>
      </c>
      <c r="C2579" s="238">
        <v>0.5</v>
      </c>
    </row>
    <row r="2580" spans="1:3" x14ac:dyDescent="0.2">
      <c r="A2580" s="241">
        <v>39586</v>
      </c>
      <c r="B2580" s="242">
        <v>9.5</v>
      </c>
      <c r="C2580" s="238">
        <v>12.7</v>
      </c>
    </row>
    <row r="2581" spans="1:3" x14ac:dyDescent="0.2">
      <c r="A2581" s="241">
        <v>39587</v>
      </c>
      <c r="B2581" s="242">
        <v>9.4</v>
      </c>
      <c r="C2581" s="238">
        <v>10.6</v>
      </c>
    </row>
    <row r="2582" spans="1:3" x14ac:dyDescent="0.2">
      <c r="A2582" s="241">
        <v>39588</v>
      </c>
      <c r="B2582" s="242">
        <v>10.199999999999999</v>
      </c>
      <c r="C2582" s="238">
        <v>12.6</v>
      </c>
    </row>
    <row r="2583" spans="1:3" x14ac:dyDescent="0.2">
      <c r="A2583" s="241">
        <v>39589</v>
      </c>
      <c r="B2583" s="242">
        <v>12.7</v>
      </c>
      <c r="C2583" s="238">
        <v>14</v>
      </c>
    </row>
    <row r="2584" spans="1:3" x14ac:dyDescent="0.2">
      <c r="A2584" s="241">
        <v>39590</v>
      </c>
      <c r="B2584" s="242">
        <v>14.8</v>
      </c>
      <c r="C2584" s="238">
        <v>7.7</v>
      </c>
    </row>
    <row r="2585" spans="1:3" x14ac:dyDescent="0.2">
      <c r="A2585" s="241">
        <v>39591</v>
      </c>
      <c r="B2585" s="242">
        <v>16.899999999999999</v>
      </c>
      <c r="C2585" s="238">
        <v>14.1</v>
      </c>
    </row>
    <row r="2586" spans="1:3" x14ac:dyDescent="0.2">
      <c r="A2586" s="241">
        <v>39592</v>
      </c>
      <c r="B2586" s="242">
        <v>17.399999999999999</v>
      </c>
      <c r="C2586" s="238">
        <v>13.9</v>
      </c>
    </row>
    <row r="2587" spans="1:3" x14ac:dyDescent="0.2">
      <c r="A2587" s="241">
        <v>39593</v>
      </c>
      <c r="B2587" s="242">
        <v>13.7</v>
      </c>
      <c r="C2587" s="238">
        <v>0.1</v>
      </c>
    </row>
    <row r="2588" spans="1:3" x14ac:dyDescent="0.2">
      <c r="A2588" s="241">
        <v>39594</v>
      </c>
      <c r="B2588" s="242">
        <v>13</v>
      </c>
      <c r="C2588" s="238">
        <v>1.6</v>
      </c>
    </row>
    <row r="2589" spans="1:3" x14ac:dyDescent="0.2">
      <c r="A2589" s="241">
        <v>39595</v>
      </c>
      <c r="B2589" s="242">
        <v>15.5</v>
      </c>
      <c r="C2589" s="238">
        <v>1.5</v>
      </c>
    </row>
    <row r="2590" spans="1:3" x14ac:dyDescent="0.2">
      <c r="A2590" s="241">
        <v>39596</v>
      </c>
      <c r="B2590" s="242">
        <v>18.899999999999999</v>
      </c>
      <c r="C2590" s="238">
        <v>6</v>
      </c>
    </row>
    <row r="2591" spans="1:3" x14ac:dyDescent="0.2">
      <c r="A2591" s="241">
        <v>39597</v>
      </c>
      <c r="B2591" s="242">
        <v>15.2</v>
      </c>
      <c r="C2591" s="238">
        <v>0.1</v>
      </c>
    </row>
    <row r="2592" spans="1:3" x14ac:dyDescent="0.2">
      <c r="A2592" s="241">
        <v>39598</v>
      </c>
      <c r="B2592" s="242">
        <v>13.9</v>
      </c>
      <c r="C2592" s="238">
        <v>5.6</v>
      </c>
    </row>
    <row r="2593" spans="1:3" x14ac:dyDescent="0.2">
      <c r="A2593" s="241">
        <v>39599</v>
      </c>
      <c r="B2593" s="242">
        <v>12.5</v>
      </c>
      <c r="C2593" s="238">
        <v>0</v>
      </c>
    </row>
    <row r="2594" spans="1:3" x14ac:dyDescent="0.2">
      <c r="A2594" s="241">
        <v>39600</v>
      </c>
      <c r="B2594" s="242">
        <v>14.2</v>
      </c>
      <c r="C2594" s="238">
        <v>3.7</v>
      </c>
    </row>
    <row r="2595" spans="1:3" x14ac:dyDescent="0.2">
      <c r="A2595" s="241">
        <v>39601</v>
      </c>
      <c r="B2595" s="242">
        <v>18.100000000000001</v>
      </c>
      <c r="C2595" s="238">
        <v>6.1</v>
      </c>
    </row>
    <row r="2596" spans="1:3" x14ac:dyDescent="0.2">
      <c r="A2596" s="241">
        <v>39602</v>
      </c>
      <c r="B2596" s="242">
        <v>15.5</v>
      </c>
      <c r="C2596" s="238">
        <v>4.3</v>
      </c>
    </row>
    <row r="2597" spans="1:3" x14ac:dyDescent="0.2">
      <c r="A2597" s="241">
        <v>39603</v>
      </c>
      <c r="B2597" s="242">
        <v>14.8</v>
      </c>
      <c r="C2597" s="238">
        <v>5.0999999999999996</v>
      </c>
    </row>
    <row r="2598" spans="1:3" x14ac:dyDescent="0.2">
      <c r="A2598" s="241">
        <v>39604</v>
      </c>
      <c r="B2598" s="242">
        <v>13.9</v>
      </c>
      <c r="C2598" s="238">
        <v>0.5</v>
      </c>
    </row>
    <row r="2599" spans="1:3" x14ac:dyDescent="0.2">
      <c r="A2599" s="241">
        <v>39605</v>
      </c>
      <c r="B2599" s="242">
        <v>19.2</v>
      </c>
      <c r="C2599" s="238">
        <v>10.199999999999999</v>
      </c>
    </row>
    <row r="2600" spans="1:3" x14ac:dyDescent="0.2">
      <c r="A2600" s="241">
        <v>39606</v>
      </c>
      <c r="B2600" s="242">
        <v>17.7</v>
      </c>
      <c r="C2600" s="238">
        <v>11.6</v>
      </c>
    </row>
    <row r="2601" spans="1:3" x14ac:dyDescent="0.2">
      <c r="A2601" s="241">
        <v>39607</v>
      </c>
      <c r="B2601" s="242">
        <v>16.100000000000001</v>
      </c>
      <c r="C2601" s="238">
        <v>10.1</v>
      </c>
    </row>
    <row r="2602" spans="1:3" x14ac:dyDescent="0.2">
      <c r="A2602" s="241">
        <v>39608</v>
      </c>
      <c r="B2602" s="242">
        <v>17.7</v>
      </c>
      <c r="C2602" s="238">
        <v>13.7</v>
      </c>
    </row>
    <row r="2603" spans="1:3" x14ac:dyDescent="0.2">
      <c r="A2603" s="241">
        <v>39609</v>
      </c>
      <c r="B2603" s="242">
        <v>14.7</v>
      </c>
      <c r="C2603" s="238">
        <v>12.5</v>
      </c>
    </row>
    <row r="2604" spans="1:3" x14ac:dyDescent="0.2">
      <c r="A2604" s="241">
        <v>39610</v>
      </c>
      <c r="B2604" s="242">
        <v>14.1</v>
      </c>
      <c r="C2604" s="238">
        <v>12.6</v>
      </c>
    </row>
    <row r="2605" spans="1:3" x14ac:dyDescent="0.2">
      <c r="A2605" s="241">
        <v>39611</v>
      </c>
      <c r="B2605" s="242">
        <v>13</v>
      </c>
      <c r="C2605" s="238">
        <v>4.3</v>
      </c>
    </row>
    <row r="2606" spans="1:3" x14ac:dyDescent="0.2">
      <c r="A2606" s="241">
        <v>39612</v>
      </c>
      <c r="B2606" s="242">
        <v>12.1</v>
      </c>
      <c r="C2606" s="238">
        <v>3.2</v>
      </c>
    </row>
    <row r="2607" spans="1:3" x14ac:dyDescent="0.2">
      <c r="A2607" s="241">
        <v>39613</v>
      </c>
      <c r="B2607" s="242">
        <v>13.2</v>
      </c>
      <c r="C2607" s="238">
        <v>8.3000000000000007</v>
      </c>
    </row>
    <row r="2608" spans="1:3" x14ac:dyDescent="0.2">
      <c r="A2608" s="241">
        <v>39614</v>
      </c>
      <c r="B2608" s="242">
        <v>13.3</v>
      </c>
      <c r="C2608" s="238">
        <v>11.3</v>
      </c>
    </row>
    <row r="2609" spans="1:3" x14ac:dyDescent="0.2">
      <c r="A2609" s="241">
        <v>39615</v>
      </c>
      <c r="B2609" s="242">
        <v>12</v>
      </c>
      <c r="C2609" s="238">
        <v>11.6</v>
      </c>
    </row>
    <row r="2610" spans="1:3" x14ac:dyDescent="0.2">
      <c r="A2610" s="241">
        <v>39616</v>
      </c>
      <c r="B2610" s="242">
        <v>12.6</v>
      </c>
      <c r="C2610" s="238">
        <v>14.3</v>
      </c>
    </row>
    <row r="2611" spans="1:3" x14ac:dyDescent="0.2">
      <c r="A2611" s="241">
        <v>39617</v>
      </c>
      <c r="B2611" s="242">
        <v>15.9</v>
      </c>
      <c r="C2611" s="238">
        <v>8.1</v>
      </c>
    </row>
    <row r="2612" spans="1:3" x14ac:dyDescent="0.2">
      <c r="A2612" s="241">
        <v>39618</v>
      </c>
      <c r="B2612" s="242">
        <v>16</v>
      </c>
      <c r="C2612" s="238">
        <v>7.1</v>
      </c>
    </row>
    <row r="2613" spans="1:3" x14ac:dyDescent="0.2">
      <c r="A2613" s="241">
        <v>39619</v>
      </c>
      <c r="B2613" s="242">
        <v>15.9</v>
      </c>
      <c r="C2613" s="238">
        <v>9.1</v>
      </c>
    </row>
    <row r="2614" spans="1:3" x14ac:dyDescent="0.2">
      <c r="A2614" s="241">
        <v>39620</v>
      </c>
      <c r="B2614" s="242">
        <v>17.5</v>
      </c>
      <c r="C2614" s="238">
        <v>3.3</v>
      </c>
    </row>
    <row r="2615" spans="1:3" x14ac:dyDescent="0.2">
      <c r="A2615" s="241">
        <v>39621</v>
      </c>
      <c r="B2615" s="242">
        <v>18.7</v>
      </c>
      <c r="C2615" s="238">
        <v>6.6</v>
      </c>
    </row>
    <row r="2616" spans="1:3" x14ac:dyDescent="0.2">
      <c r="A2616" s="241">
        <v>39622</v>
      </c>
      <c r="B2616" s="242">
        <v>13.4</v>
      </c>
      <c r="C2616" s="238">
        <v>7</v>
      </c>
    </row>
    <row r="2617" spans="1:3" x14ac:dyDescent="0.2">
      <c r="A2617" s="241">
        <v>39623</v>
      </c>
      <c r="B2617" s="242">
        <v>15.2</v>
      </c>
      <c r="C2617" s="238">
        <v>10.6</v>
      </c>
    </row>
    <row r="2618" spans="1:3" x14ac:dyDescent="0.2">
      <c r="A2618" s="241">
        <v>39624</v>
      </c>
      <c r="B2618" s="242">
        <v>17.100000000000001</v>
      </c>
      <c r="C2618" s="238">
        <v>8.9</v>
      </c>
    </row>
    <row r="2619" spans="1:3" x14ac:dyDescent="0.2">
      <c r="A2619" s="241">
        <v>39625</v>
      </c>
      <c r="B2619" s="242">
        <v>16.600000000000001</v>
      </c>
      <c r="C2619" s="238">
        <v>13.3</v>
      </c>
    </row>
    <row r="2620" spans="1:3" x14ac:dyDescent="0.2">
      <c r="A2620" s="241">
        <v>39626</v>
      </c>
      <c r="B2620" s="242">
        <v>16.100000000000001</v>
      </c>
      <c r="C2620" s="238">
        <v>9.5</v>
      </c>
    </row>
    <row r="2621" spans="1:3" x14ac:dyDescent="0.2">
      <c r="A2621" s="241">
        <v>39627</v>
      </c>
      <c r="B2621" s="242">
        <v>17.2</v>
      </c>
      <c r="C2621" s="238">
        <v>5.8</v>
      </c>
    </row>
    <row r="2622" spans="1:3" x14ac:dyDescent="0.2">
      <c r="A2622" s="241">
        <v>39628</v>
      </c>
      <c r="B2622" s="242">
        <v>17.2</v>
      </c>
      <c r="C2622" s="238">
        <v>12</v>
      </c>
    </row>
    <row r="2623" spans="1:3" x14ac:dyDescent="0.2">
      <c r="A2623" s="241">
        <v>39629</v>
      </c>
      <c r="B2623" s="242">
        <v>16.100000000000001</v>
      </c>
      <c r="C2623" s="238">
        <v>13.7</v>
      </c>
    </row>
    <row r="2624" spans="1:3" x14ac:dyDescent="0.2">
      <c r="A2624" s="241">
        <v>39630</v>
      </c>
      <c r="B2624" s="242">
        <v>18.399999999999999</v>
      </c>
      <c r="C2624" s="238">
        <v>14.9</v>
      </c>
    </row>
    <row r="2625" spans="1:3" x14ac:dyDescent="0.2">
      <c r="A2625" s="241">
        <v>39631</v>
      </c>
      <c r="B2625" s="242">
        <v>19.5</v>
      </c>
      <c r="C2625" s="238">
        <v>6.4</v>
      </c>
    </row>
    <row r="2626" spans="1:3" x14ac:dyDescent="0.2">
      <c r="A2626" s="241">
        <v>39632</v>
      </c>
      <c r="B2626" s="242">
        <v>17.2</v>
      </c>
      <c r="C2626" s="238">
        <v>0.1</v>
      </c>
    </row>
    <row r="2627" spans="1:3" x14ac:dyDescent="0.2">
      <c r="A2627" s="241">
        <v>39633</v>
      </c>
      <c r="B2627" s="242">
        <v>15.8</v>
      </c>
      <c r="C2627" s="238">
        <v>14.3</v>
      </c>
    </row>
    <row r="2628" spans="1:3" x14ac:dyDescent="0.2">
      <c r="A2628" s="241">
        <v>39634</v>
      </c>
      <c r="B2628" s="242">
        <v>17</v>
      </c>
      <c r="C2628" s="238">
        <v>7.1</v>
      </c>
    </row>
    <row r="2629" spans="1:3" x14ac:dyDescent="0.2">
      <c r="A2629" s="241">
        <v>39635</v>
      </c>
      <c r="B2629" s="242">
        <v>16.899999999999999</v>
      </c>
      <c r="C2629" s="238">
        <v>5.8</v>
      </c>
    </row>
    <row r="2630" spans="1:3" x14ac:dyDescent="0.2">
      <c r="A2630" s="241">
        <v>39636</v>
      </c>
      <c r="B2630" s="242">
        <v>15.9</v>
      </c>
      <c r="C2630" s="238">
        <v>5.0999999999999996</v>
      </c>
    </row>
    <row r="2631" spans="1:3" x14ac:dyDescent="0.2">
      <c r="A2631" s="241">
        <v>39637</v>
      </c>
      <c r="B2631" s="242">
        <v>15.4</v>
      </c>
      <c r="C2631" s="238">
        <v>4.4000000000000004</v>
      </c>
    </row>
    <row r="2632" spans="1:3" x14ac:dyDescent="0.2">
      <c r="A2632" s="241">
        <v>39638</v>
      </c>
      <c r="B2632" s="242">
        <v>16.100000000000001</v>
      </c>
      <c r="C2632" s="238">
        <v>4</v>
      </c>
    </row>
    <row r="2633" spans="1:3" x14ac:dyDescent="0.2">
      <c r="A2633" s="241">
        <v>39639</v>
      </c>
      <c r="B2633" s="242">
        <v>17.2</v>
      </c>
      <c r="C2633" s="238">
        <v>3.5</v>
      </c>
    </row>
    <row r="2634" spans="1:3" x14ac:dyDescent="0.2">
      <c r="A2634" s="241">
        <v>39640</v>
      </c>
      <c r="B2634" s="242">
        <v>17.600000000000001</v>
      </c>
      <c r="C2634" s="238">
        <v>9.5</v>
      </c>
    </row>
    <row r="2635" spans="1:3" x14ac:dyDescent="0.2">
      <c r="A2635" s="241">
        <v>39641</v>
      </c>
      <c r="B2635" s="242">
        <v>14.6</v>
      </c>
      <c r="C2635" s="238">
        <v>2.9</v>
      </c>
    </row>
    <row r="2636" spans="1:3" x14ac:dyDescent="0.2">
      <c r="A2636" s="241">
        <v>39642</v>
      </c>
      <c r="B2636" s="242">
        <v>15.5</v>
      </c>
      <c r="C2636" s="238">
        <v>9.3000000000000007</v>
      </c>
    </row>
    <row r="2637" spans="1:3" x14ac:dyDescent="0.2">
      <c r="A2637" s="241">
        <v>39643</v>
      </c>
      <c r="B2637" s="242">
        <v>17.8</v>
      </c>
      <c r="C2637" s="238">
        <v>14.4</v>
      </c>
    </row>
    <row r="2638" spans="1:3" x14ac:dyDescent="0.2">
      <c r="A2638" s="241">
        <v>39644</v>
      </c>
      <c r="B2638" s="242">
        <v>17.8</v>
      </c>
      <c r="C2638" s="238">
        <v>0.6</v>
      </c>
    </row>
    <row r="2639" spans="1:3" x14ac:dyDescent="0.2">
      <c r="A2639" s="241">
        <v>39645</v>
      </c>
      <c r="B2639" s="242">
        <v>16.899999999999999</v>
      </c>
      <c r="C2639" s="238">
        <v>9.9</v>
      </c>
    </row>
    <row r="2640" spans="1:3" x14ac:dyDescent="0.2">
      <c r="A2640" s="241">
        <v>39646</v>
      </c>
      <c r="B2640" s="242">
        <v>15.6</v>
      </c>
      <c r="C2640" s="238">
        <v>1.3</v>
      </c>
    </row>
    <row r="2641" spans="1:3" x14ac:dyDescent="0.2">
      <c r="A2641" s="241">
        <v>39647</v>
      </c>
      <c r="B2641" s="242">
        <v>17</v>
      </c>
      <c r="C2641" s="238">
        <v>3.2</v>
      </c>
    </row>
    <row r="2642" spans="1:3" x14ac:dyDescent="0.2">
      <c r="A2642" s="241">
        <v>39648</v>
      </c>
      <c r="B2642" s="242">
        <v>16.600000000000001</v>
      </c>
      <c r="C2642" s="238">
        <v>2.7</v>
      </c>
    </row>
    <row r="2643" spans="1:3" x14ac:dyDescent="0.2">
      <c r="A2643" s="241">
        <v>39649</v>
      </c>
      <c r="B2643" s="242">
        <v>14.7</v>
      </c>
      <c r="C2643" s="238">
        <v>6.4</v>
      </c>
    </row>
    <row r="2644" spans="1:3" x14ac:dyDescent="0.2">
      <c r="A2644" s="241">
        <v>39650</v>
      </c>
      <c r="B2644" s="242">
        <v>13.8</v>
      </c>
      <c r="C2644" s="238">
        <v>0</v>
      </c>
    </row>
    <row r="2645" spans="1:3" x14ac:dyDescent="0.2">
      <c r="A2645" s="241">
        <v>39651</v>
      </c>
      <c r="B2645" s="242">
        <v>15.9</v>
      </c>
      <c r="C2645" s="238">
        <v>6.9</v>
      </c>
    </row>
    <row r="2646" spans="1:3" x14ac:dyDescent="0.2">
      <c r="A2646" s="241">
        <v>39652</v>
      </c>
      <c r="B2646" s="242">
        <v>18.100000000000001</v>
      </c>
      <c r="C2646" s="238">
        <v>10.8</v>
      </c>
    </row>
    <row r="2647" spans="1:3" x14ac:dyDescent="0.2">
      <c r="A2647" s="241">
        <v>39653</v>
      </c>
      <c r="B2647" s="242">
        <v>19.899999999999999</v>
      </c>
      <c r="C2647" s="238">
        <v>14.2</v>
      </c>
    </row>
    <row r="2648" spans="1:3" x14ac:dyDescent="0.2">
      <c r="A2648" s="241">
        <v>39654</v>
      </c>
      <c r="B2648" s="242">
        <v>22.2</v>
      </c>
      <c r="C2648" s="238">
        <v>9.3000000000000007</v>
      </c>
    </row>
    <row r="2649" spans="1:3" x14ac:dyDescent="0.2">
      <c r="A2649" s="241">
        <v>39655</v>
      </c>
      <c r="B2649" s="242">
        <v>20.2</v>
      </c>
      <c r="C2649" s="238">
        <v>4.4000000000000004</v>
      </c>
    </row>
    <row r="2650" spans="1:3" x14ac:dyDescent="0.2">
      <c r="A2650" s="241">
        <v>39656</v>
      </c>
      <c r="B2650" s="242">
        <v>20.100000000000001</v>
      </c>
      <c r="C2650" s="238">
        <v>9.3000000000000007</v>
      </c>
    </row>
    <row r="2651" spans="1:3" x14ac:dyDescent="0.2">
      <c r="A2651" s="241">
        <v>39657</v>
      </c>
      <c r="B2651" s="242">
        <v>20.100000000000001</v>
      </c>
      <c r="C2651" s="238">
        <v>1.9</v>
      </c>
    </row>
    <row r="2652" spans="1:3" x14ac:dyDescent="0.2">
      <c r="A2652" s="241">
        <v>39658</v>
      </c>
      <c r="B2652" s="242">
        <v>18.8</v>
      </c>
      <c r="C2652" s="238">
        <v>6.5</v>
      </c>
    </row>
    <row r="2653" spans="1:3" x14ac:dyDescent="0.2">
      <c r="A2653" s="241">
        <v>39659</v>
      </c>
      <c r="B2653" s="242">
        <v>21.3</v>
      </c>
      <c r="C2653" s="238">
        <v>8.3000000000000007</v>
      </c>
    </row>
    <row r="2654" spans="1:3" x14ac:dyDescent="0.2">
      <c r="A2654" s="241">
        <v>39660</v>
      </c>
      <c r="B2654" s="242">
        <v>24.1</v>
      </c>
      <c r="C2654" s="238">
        <v>9.5</v>
      </c>
    </row>
    <row r="2655" spans="1:3" x14ac:dyDescent="0.2">
      <c r="A2655" s="241">
        <v>39661</v>
      </c>
      <c r="B2655" s="242">
        <v>19.3</v>
      </c>
      <c r="C2655" s="238">
        <v>9.1999999999999993</v>
      </c>
    </row>
    <row r="2656" spans="1:3" x14ac:dyDescent="0.2">
      <c r="A2656" s="241">
        <v>39662</v>
      </c>
      <c r="B2656" s="242">
        <v>19.100000000000001</v>
      </c>
      <c r="C2656" s="238">
        <v>5.0999999999999996</v>
      </c>
    </row>
    <row r="2657" spans="1:3" x14ac:dyDescent="0.2">
      <c r="A2657" s="241">
        <v>39663</v>
      </c>
      <c r="B2657" s="242">
        <v>18.2</v>
      </c>
      <c r="C2657" s="238">
        <v>1.3</v>
      </c>
    </row>
    <row r="2658" spans="1:3" x14ac:dyDescent="0.2">
      <c r="A2658" s="241">
        <v>39664</v>
      </c>
      <c r="B2658" s="242">
        <v>18</v>
      </c>
      <c r="C2658" s="238">
        <v>11.1</v>
      </c>
    </row>
    <row r="2659" spans="1:3" x14ac:dyDescent="0.2">
      <c r="A2659" s="241">
        <v>39665</v>
      </c>
      <c r="B2659" s="242">
        <v>17.899999999999999</v>
      </c>
      <c r="C2659" s="238">
        <v>7.6</v>
      </c>
    </row>
    <row r="2660" spans="1:3" x14ac:dyDescent="0.2">
      <c r="A2660" s="241">
        <v>39666</v>
      </c>
      <c r="B2660" s="242">
        <v>20</v>
      </c>
      <c r="C2660" s="238">
        <v>8</v>
      </c>
    </row>
    <row r="2661" spans="1:3" x14ac:dyDescent="0.2">
      <c r="A2661" s="241">
        <v>39667</v>
      </c>
      <c r="B2661" s="242">
        <v>18.600000000000001</v>
      </c>
      <c r="C2661" s="238">
        <v>1.7</v>
      </c>
    </row>
    <row r="2662" spans="1:3" x14ac:dyDescent="0.2">
      <c r="A2662" s="241">
        <v>39668</v>
      </c>
      <c r="B2662" s="242">
        <v>17.2</v>
      </c>
      <c r="C2662" s="238">
        <v>5.2</v>
      </c>
    </row>
    <row r="2663" spans="1:3" x14ac:dyDescent="0.2">
      <c r="A2663" s="241">
        <v>39669</v>
      </c>
      <c r="B2663" s="242">
        <v>17.399999999999999</v>
      </c>
      <c r="C2663" s="238">
        <v>6.8</v>
      </c>
    </row>
    <row r="2664" spans="1:3" x14ac:dyDescent="0.2">
      <c r="A2664" s="241">
        <v>39670</v>
      </c>
      <c r="B2664" s="242">
        <v>18.5</v>
      </c>
      <c r="C2664" s="238">
        <v>7.9</v>
      </c>
    </row>
    <row r="2665" spans="1:3" x14ac:dyDescent="0.2">
      <c r="A2665" s="241">
        <v>39671</v>
      </c>
      <c r="B2665" s="242">
        <v>17.8</v>
      </c>
      <c r="C2665" s="238">
        <v>1.6</v>
      </c>
    </row>
    <row r="2666" spans="1:3" x14ac:dyDescent="0.2">
      <c r="A2666" s="241">
        <v>39672</v>
      </c>
      <c r="B2666" s="242">
        <v>17.2</v>
      </c>
      <c r="C2666" s="238">
        <v>7.7</v>
      </c>
    </row>
    <row r="2667" spans="1:3" x14ac:dyDescent="0.2">
      <c r="A2667" s="241">
        <v>39673</v>
      </c>
      <c r="B2667" s="242">
        <v>16.399999999999999</v>
      </c>
      <c r="C2667" s="238">
        <v>6.9</v>
      </c>
    </row>
    <row r="2668" spans="1:3" x14ac:dyDescent="0.2">
      <c r="A2668" s="241">
        <v>39674</v>
      </c>
      <c r="B2668" s="242">
        <v>16.899999999999999</v>
      </c>
      <c r="C2668" s="238">
        <v>10.5</v>
      </c>
    </row>
    <row r="2669" spans="1:3" x14ac:dyDescent="0.2">
      <c r="A2669" s="241">
        <v>39675</v>
      </c>
      <c r="B2669" s="242">
        <v>15.6</v>
      </c>
      <c r="C2669" s="238">
        <v>12.7</v>
      </c>
    </row>
    <row r="2670" spans="1:3" x14ac:dyDescent="0.2">
      <c r="A2670" s="241">
        <v>39676</v>
      </c>
      <c r="B2670" s="242">
        <v>16.899999999999999</v>
      </c>
      <c r="C2670" s="238">
        <v>7.2</v>
      </c>
    </row>
    <row r="2671" spans="1:3" x14ac:dyDescent="0.2">
      <c r="A2671" s="241">
        <v>39677</v>
      </c>
      <c r="B2671" s="242">
        <v>17.100000000000001</v>
      </c>
      <c r="C2671" s="238">
        <v>2.1</v>
      </c>
    </row>
    <row r="2672" spans="1:3" x14ac:dyDescent="0.2">
      <c r="A2672" s="241">
        <v>39678</v>
      </c>
      <c r="B2672" s="242">
        <v>16.899999999999999</v>
      </c>
      <c r="C2672" s="238">
        <v>2.9</v>
      </c>
    </row>
    <row r="2673" spans="1:3" x14ac:dyDescent="0.2">
      <c r="A2673" s="241">
        <v>39679</v>
      </c>
      <c r="B2673" s="242">
        <v>17.899999999999999</v>
      </c>
      <c r="C2673" s="238">
        <v>6.2</v>
      </c>
    </row>
    <row r="2674" spans="1:3" x14ac:dyDescent="0.2">
      <c r="A2674" s="241">
        <v>39680</v>
      </c>
      <c r="B2674" s="242">
        <v>17.8</v>
      </c>
      <c r="C2674" s="238">
        <v>3.9</v>
      </c>
    </row>
    <row r="2675" spans="1:3" x14ac:dyDescent="0.2">
      <c r="A2675" s="241">
        <v>39681</v>
      </c>
      <c r="B2675" s="242">
        <v>17.600000000000001</v>
      </c>
      <c r="C2675" s="238">
        <v>4.3</v>
      </c>
    </row>
    <row r="2676" spans="1:3" x14ac:dyDescent="0.2">
      <c r="A2676" s="241">
        <v>39682</v>
      </c>
      <c r="B2676" s="242">
        <v>16.5</v>
      </c>
      <c r="C2676" s="238">
        <v>3.1</v>
      </c>
    </row>
    <row r="2677" spans="1:3" x14ac:dyDescent="0.2">
      <c r="A2677" s="241">
        <v>39683</v>
      </c>
      <c r="B2677" s="242">
        <v>15.4</v>
      </c>
      <c r="C2677" s="238">
        <v>8.3000000000000007</v>
      </c>
    </row>
    <row r="2678" spans="1:3" x14ac:dyDescent="0.2">
      <c r="A2678" s="241">
        <v>39684</v>
      </c>
      <c r="B2678" s="242">
        <v>16.3</v>
      </c>
      <c r="C2678" s="238">
        <v>0.6</v>
      </c>
    </row>
    <row r="2679" spans="1:3" x14ac:dyDescent="0.2">
      <c r="A2679" s="241">
        <v>39685</v>
      </c>
      <c r="B2679" s="242">
        <v>17.899999999999999</v>
      </c>
      <c r="C2679" s="238">
        <v>7.8</v>
      </c>
    </row>
    <row r="2680" spans="1:3" x14ac:dyDescent="0.2">
      <c r="A2680" s="241">
        <v>39686</v>
      </c>
      <c r="B2680" s="242">
        <v>17.8</v>
      </c>
      <c r="C2680" s="238">
        <v>0.6</v>
      </c>
    </row>
    <row r="2681" spans="1:3" x14ac:dyDescent="0.2">
      <c r="A2681" s="241">
        <v>39687</v>
      </c>
      <c r="B2681" s="242">
        <v>17.8</v>
      </c>
      <c r="C2681" s="238">
        <v>0</v>
      </c>
    </row>
    <row r="2682" spans="1:3" x14ac:dyDescent="0.2">
      <c r="A2682" s="241">
        <v>39688</v>
      </c>
      <c r="B2682" s="242">
        <v>18.2</v>
      </c>
      <c r="C2682" s="238">
        <v>0</v>
      </c>
    </row>
    <row r="2683" spans="1:3" x14ac:dyDescent="0.2">
      <c r="A2683" s="241">
        <v>39689</v>
      </c>
      <c r="B2683" s="242">
        <v>17.5</v>
      </c>
      <c r="C2683" s="238">
        <v>9.1</v>
      </c>
    </row>
    <row r="2684" spans="1:3" x14ac:dyDescent="0.2">
      <c r="A2684" s="241">
        <v>39690</v>
      </c>
      <c r="B2684" s="242">
        <v>18.5</v>
      </c>
      <c r="C2684" s="238">
        <v>11.8</v>
      </c>
    </row>
    <row r="2685" spans="1:3" x14ac:dyDescent="0.2">
      <c r="A2685" s="241">
        <v>39691</v>
      </c>
      <c r="B2685" s="242">
        <v>20.6</v>
      </c>
      <c r="C2685" s="238">
        <v>10.9</v>
      </c>
    </row>
    <row r="2686" spans="1:3" x14ac:dyDescent="0.2">
      <c r="A2686" s="241">
        <v>39692</v>
      </c>
      <c r="B2686" s="242">
        <v>17.600000000000001</v>
      </c>
      <c r="C2686" s="238">
        <v>7.2</v>
      </c>
    </row>
    <row r="2687" spans="1:3" x14ac:dyDescent="0.2">
      <c r="A2687" s="241">
        <v>39693</v>
      </c>
      <c r="B2687" s="242">
        <v>15.8</v>
      </c>
      <c r="C2687" s="238">
        <v>0.2</v>
      </c>
    </row>
    <row r="2688" spans="1:3" x14ac:dyDescent="0.2">
      <c r="A2688" s="241">
        <v>39694</v>
      </c>
      <c r="B2688" s="242">
        <v>15.8</v>
      </c>
      <c r="C2688" s="238">
        <v>2.2999999999999998</v>
      </c>
    </row>
    <row r="2689" spans="1:3" x14ac:dyDescent="0.2">
      <c r="A2689" s="241">
        <v>39695</v>
      </c>
      <c r="B2689" s="242">
        <v>15.4</v>
      </c>
      <c r="C2689" s="238">
        <v>3.6</v>
      </c>
    </row>
    <row r="2690" spans="1:3" x14ac:dyDescent="0.2">
      <c r="A2690" s="241">
        <v>39696</v>
      </c>
      <c r="B2690" s="242">
        <v>16.100000000000001</v>
      </c>
      <c r="C2690" s="238">
        <v>0</v>
      </c>
    </row>
    <row r="2691" spans="1:3" x14ac:dyDescent="0.2">
      <c r="A2691" s="241">
        <v>39697</v>
      </c>
      <c r="B2691" s="242">
        <v>17.2</v>
      </c>
      <c r="C2691" s="238">
        <v>4.9000000000000004</v>
      </c>
    </row>
    <row r="2692" spans="1:3" x14ac:dyDescent="0.2">
      <c r="A2692" s="241">
        <v>39698</v>
      </c>
      <c r="B2692" s="242">
        <v>15.4</v>
      </c>
      <c r="C2692" s="238">
        <v>0.8</v>
      </c>
    </row>
    <row r="2693" spans="1:3" x14ac:dyDescent="0.2">
      <c r="A2693" s="241">
        <v>39699</v>
      </c>
      <c r="B2693" s="242">
        <v>16.600000000000001</v>
      </c>
      <c r="C2693" s="238">
        <v>6</v>
      </c>
    </row>
    <row r="2694" spans="1:3" x14ac:dyDescent="0.2">
      <c r="A2694" s="241">
        <v>39700</v>
      </c>
      <c r="B2694" s="242">
        <v>18.600000000000001</v>
      </c>
      <c r="C2694" s="238">
        <v>9.6999999999999993</v>
      </c>
    </row>
    <row r="2695" spans="1:3" x14ac:dyDescent="0.2">
      <c r="A2695" s="241">
        <v>39701</v>
      </c>
      <c r="B2695" s="242">
        <v>17.3</v>
      </c>
      <c r="C2695" s="238">
        <v>8.1999999999999993</v>
      </c>
    </row>
    <row r="2696" spans="1:3" x14ac:dyDescent="0.2">
      <c r="A2696" s="241">
        <v>39702</v>
      </c>
      <c r="B2696" s="242">
        <v>20</v>
      </c>
      <c r="C2696" s="238">
        <v>8</v>
      </c>
    </row>
    <row r="2697" spans="1:3" x14ac:dyDescent="0.2">
      <c r="A2697" s="241">
        <v>39703</v>
      </c>
      <c r="B2697" s="242">
        <v>16</v>
      </c>
      <c r="C2697" s="238">
        <v>0</v>
      </c>
    </row>
    <row r="2698" spans="1:3" x14ac:dyDescent="0.2">
      <c r="A2698" s="241">
        <v>39704</v>
      </c>
      <c r="B2698" s="242">
        <v>12.7</v>
      </c>
      <c r="C2698" s="238">
        <v>4.2</v>
      </c>
    </row>
    <row r="2699" spans="1:3" x14ac:dyDescent="0.2">
      <c r="A2699" s="241">
        <v>39705</v>
      </c>
      <c r="B2699" s="242">
        <v>11.8</v>
      </c>
      <c r="C2699" s="238">
        <v>11.7</v>
      </c>
    </row>
    <row r="2700" spans="1:3" x14ac:dyDescent="0.2">
      <c r="A2700" s="241">
        <v>39706</v>
      </c>
      <c r="B2700" s="242">
        <v>11.7</v>
      </c>
      <c r="C2700" s="238">
        <v>7.1</v>
      </c>
    </row>
    <row r="2701" spans="1:3" x14ac:dyDescent="0.2">
      <c r="A2701" s="241">
        <v>39707</v>
      </c>
      <c r="B2701" s="242">
        <v>12.7</v>
      </c>
      <c r="C2701" s="238">
        <v>2.5</v>
      </c>
    </row>
    <row r="2702" spans="1:3" x14ac:dyDescent="0.2">
      <c r="A2702" s="241">
        <v>39708</v>
      </c>
      <c r="B2702" s="242">
        <v>12</v>
      </c>
      <c r="C2702" s="238">
        <v>5.5</v>
      </c>
    </row>
    <row r="2703" spans="1:3" x14ac:dyDescent="0.2">
      <c r="A2703" s="241">
        <v>39709</v>
      </c>
      <c r="B2703" s="242">
        <v>10.9</v>
      </c>
      <c r="C2703" s="238">
        <v>9.9</v>
      </c>
    </row>
    <row r="2704" spans="1:3" x14ac:dyDescent="0.2">
      <c r="A2704" s="241">
        <v>39710</v>
      </c>
      <c r="B2704" s="242">
        <v>11.4</v>
      </c>
      <c r="C2704" s="238">
        <v>6.4</v>
      </c>
    </row>
    <row r="2705" spans="1:3" x14ac:dyDescent="0.2">
      <c r="A2705" s="241">
        <v>39711</v>
      </c>
      <c r="B2705" s="242">
        <v>11.3</v>
      </c>
      <c r="C2705" s="238">
        <v>11.2</v>
      </c>
    </row>
    <row r="2706" spans="1:3" x14ac:dyDescent="0.2">
      <c r="A2706" s="241">
        <v>39712</v>
      </c>
      <c r="B2706" s="242">
        <v>13</v>
      </c>
      <c r="C2706" s="238">
        <v>4.0999999999999996</v>
      </c>
    </row>
    <row r="2707" spans="1:3" x14ac:dyDescent="0.2">
      <c r="A2707" s="241">
        <v>39713</v>
      </c>
      <c r="B2707" s="242">
        <v>13.3</v>
      </c>
      <c r="C2707" s="238">
        <v>3.5</v>
      </c>
    </row>
    <row r="2708" spans="1:3" x14ac:dyDescent="0.2">
      <c r="A2708" s="241">
        <v>39714</v>
      </c>
      <c r="B2708" s="242">
        <v>13.1</v>
      </c>
      <c r="C2708" s="238">
        <v>0</v>
      </c>
    </row>
    <row r="2709" spans="1:3" x14ac:dyDescent="0.2">
      <c r="A2709" s="241">
        <v>39715</v>
      </c>
      <c r="B2709" s="242">
        <v>13.3</v>
      </c>
      <c r="C2709" s="238">
        <v>2.2999999999999998</v>
      </c>
    </row>
    <row r="2710" spans="1:3" x14ac:dyDescent="0.2">
      <c r="A2710" s="241">
        <v>39716</v>
      </c>
      <c r="B2710" s="242">
        <v>12.5</v>
      </c>
      <c r="C2710" s="238">
        <v>9.3000000000000007</v>
      </c>
    </row>
    <row r="2711" spans="1:3" x14ac:dyDescent="0.2">
      <c r="A2711" s="241">
        <v>39717</v>
      </c>
      <c r="B2711" s="242">
        <v>12.4</v>
      </c>
      <c r="C2711" s="238">
        <v>10.3</v>
      </c>
    </row>
    <row r="2712" spans="1:3" x14ac:dyDescent="0.2">
      <c r="A2712" s="241">
        <v>39718</v>
      </c>
      <c r="B2712" s="242">
        <v>10.8</v>
      </c>
      <c r="C2712" s="238">
        <v>10.8</v>
      </c>
    </row>
    <row r="2713" spans="1:3" x14ac:dyDescent="0.2">
      <c r="A2713" s="241">
        <v>39719</v>
      </c>
      <c r="B2713" s="242">
        <v>14.7</v>
      </c>
      <c r="C2713" s="238">
        <v>8</v>
      </c>
    </row>
    <row r="2714" spans="1:3" x14ac:dyDescent="0.2">
      <c r="A2714" s="241">
        <v>39720</v>
      </c>
      <c r="B2714" s="242">
        <v>13.1</v>
      </c>
      <c r="C2714" s="238">
        <v>2.2000000000000002</v>
      </c>
    </row>
    <row r="2715" spans="1:3" x14ac:dyDescent="0.2">
      <c r="A2715" s="241">
        <v>39721</v>
      </c>
      <c r="B2715" s="242">
        <v>13.9</v>
      </c>
      <c r="C2715" s="238">
        <v>0</v>
      </c>
    </row>
    <row r="2716" spans="1:3" x14ac:dyDescent="0.2">
      <c r="A2716" s="241">
        <v>39722</v>
      </c>
      <c r="B2716" s="242">
        <v>13.2</v>
      </c>
      <c r="C2716" s="238">
        <v>4.7</v>
      </c>
    </row>
    <row r="2717" spans="1:3" x14ac:dyDescent="0.2">
      <c r="A2717" s="241">
        <v>39723</v>
      </c>
      <c r="B2717" s="242">
        <v>10.9</v>
      </c>
      <c r="C2717" s="238">
        <v>2.6</v>
      </c>
    </row>
    <row r="2718" spans="1:3" x14ac:dyDescent="0.2">
      <c r="A2718" s="241">
        <v>39724</v>
      </c>
      <c r="B2718" s="242">
        <v>10.4</v>
      </c>
      <c r="C2718" s="238">
        <v>5.5</v>
      </c>
    </row>
    <row r="2719" spans="1:3" x14ac:dyDescent="0.2">
      <c r="A2719" s="241">
        <v>39725</v>
      </c>
      <c r="B2719" s="242">
        <v>10.6</v>
      </c>
      <c r="C2719" s="238">
        <v>1.2</v>
      </c>
    </row>
    <row r="2720" spans="1:3" x14ac:dyDescent="0.2">
      <c r="A2720" s="241">
        <v>39726</v>
      </c>
      <c r="B2720" s="242">
        <v>11.7</v>
      </c>
      <c r="C2720" s="238">
        <v>0</v>
      </c>
    </row>
    <row r="2721" spans="1:3" x14ac:dyDescent="0.2">
      <c r="A2721" s="241">
        <v>39727</v>
      </c>
      <c r="B2721" s="242">
        <v>10.3</v>
      </c>
      <c r="C2721" s="238">
        <v>2.7</v>
      </c>
    </row>
    <row r="2722" spans="1:3" x14ac:dyDescent="0.2">
      <c r="A2722" s="241">
        <v>39728</v>
      </c>
      <c r="B2722" s="242">
        <v>14.7</v>
      </c>
      <c r="C2722" s="238">
        <v>1.3</v>
      </c>
    </row>
    <row r="2723" spans="1:3" x14ac:dyDescent="0.2">
      <c r="A2723" s="241">
        <v>39729</v>
      </c>
      <c r="B2723" s="242">
        <v>13.8</v>
      </c>
      <c r="C2723" s="238">
        <v>5.7</v>
      </c>
    </row>
    <row r="2724" spans="1:3" x14ac:dyDescent="0.2">
      <c r="A2724" s="241">
        <v>39730</v>
      </c>
      <c r="B2724" s="242">
        <v>11.5</v>
      </c>
      <c r="C2724" s="238">
        <v>9.6999999999999993</v>
      </c>
    </row>
    <row r="2725" spans="1:3" x14ac:dyDescent="0.2">
      <c r="A2725" s="241">
        <v>39731</v>
      </c>
      <c r="B2725" s="242">
        <v>13.4</v>
      </c>
      <c r="C2725" s="238">
        <v>4.4000000000000004</v>
      </c>
    </row>
    <row r="2726" spans="1:3" x14ac:dyDescent="0.2">
      <c r="A2726" s="241">
        <v>39732</v>
      </c>
      <c r="B2726" s="242">
        <v>14.1</v>
      </c>
      <c r="C2726" s="238">
        <v>8.6</v>
      </c>
    </row>
    <row r="2727" spans="1:3" x14ac:dyDescent="0.2">
      <c r="A2727" s="241">
        <v>39733</v>
      </c>
      <c r="B2727" s="242">
        <v>14</v>
      </c>
      <c r="C2727" s="238">
        <v>4.8</v>
      </c>
    </row>
    <row r="2728" spans="1:3" x14ac:dyDescent="0.2">
      <c r="A2728" s="241">
        <v>39734</v>
      </c>
      <c r="B2728" s="242">
        <v>15.3</v>
      </c>
      <c r="C2728" s="238">
        <v>3.4</v>
      </c>
    </row>
    <row r="2729" spans="1:3" x14ac:dyDescent="0.2">
      <c r="A2729" s="241">
        <v>39735</v>
      </c>
      <c r="B2729" s="242">
        <v>14.5</v>
      </c>
      <c r="C2729" s="238">
        <v>6.2</v>
      </c>
    </row>
    <row r="2730" spans="1:3" x14ac:dyDescent="0.2">
      <c r="A2730" s="241">
        <v>39736</v>
      </c>
      <c r="B2730" s="242">
        <v>14.1</v>
      </c>
      <c r="C2730" s="238">
        <v>0.2</v>
      </c>
    </row>
    <row r="2731" spans="1:3" x14ac:dyDescent="0.2">
      <c r="A2731" s="241">
        <v>39737</v>
      </c>
      <c r="B2731" s="242">
        <v>12.1</v>
      </c>
      <c r="C2731" s="238">
        <v>4.2</v>
      </c>
    </row>
    <row r="2732" spans="1:3" x14ac:dyDescent="0.2">
      <c r="A2732" s="241">
        <v>39738</v>
      </c>
      <c r="B2732" s="242">
        <v>11.3</v>
      </c>
      <c r="C2732" s="238">
        <v>5.7</v>
      </c>
    </row>
    <row r="2733" spans="1:3" x14ac:dyDescent="0.2">
      <c r="A2733" s="241">
        <v>39739</v>
      </c>
      <c r="B2733" s="242">
        <v>12.6</v>
      </c>
      <c r="C2733" s="238">
        <v>2.9</v>
      </c>
    </row>
    <row r="2734" spans="1:3" x14ac:dyDescent="0.2">
      <c r="A2734" s="241">
        <v>39740</v>
      </c>
      <c r="B2734" s="242">
        <v>13.3</v>
      </c>
      <c r="C2734" s="238">
        <v>3.5</v>
      </c>
    </row>
    <row r="2735" spans="1:3" x14ac:dyDescent="0.2">
      <c r="A2735" s="241">
        <v>39741</v>
      </c>
      <c r="B2735" s="242">
        <v>12.8</v>
      </c>
      <c r="C2735" s="238">
        <v>6.5</v>
      </c>
    </row>
    <row r="2736" spans="1:3" x14ac:dyDescent="0.2">
      <c r="A2736" s="241">
        <v>39742</v>
      </c>
      <c r="B2736" s="242">
        <v>11.6</v>
      </c>
      <c r="C2736" s="238">
        <v>1.6</v>
      </c>
    </row>
    <row r="2737" spans="1:3" x14ac:dyDescent="0.2">
      <c r="A2737" s="241">
        <v>39743</v>
      </c>
      <c r="B2737" s="242">
        <v>11.6</v>
      </c>
      <c r="C2737" s="238">
        <v>6.8</v>
      </c>
    </row>
    <row r="2738" spans="1:3" x14ac:dyDescent="0.2">
      <c r="A2738" s="241">
        <v>39744</v>
      </c>
      <c r="B2738" s="242">
        <v>11.5</v>
      </c>
      <c r="C2738" s="238">
        <v>6.9</v>
      </c>
    </row>
    <row r="2739" spans="1:3" x14ac:dyDescent="0.2">
      <c r="A2739" s="241">
        <v>39745</v>
      </c>
      <c r="B2739" s="242">
        <v>10.8</v>
      </c>
      <c r="C2739" s="238">
        <v>0</v>
      </c>
    </row>
    <row r="2740" spans="1:3" x14ac:dyDescent="0.2">
      <c r="A2740" s="241">
        <v>39746</v>
      </c>
      <c r="B2740" s="242">
        <v>10.3</v>
      </c>
      <c r="C2740" s="238">
        <v>7.2</v>
      </c>
    </row>
    <row r="2741" spans="1:3" x14ac:dyDescent="0.2">
      <c r="A2741" s="241">
        <v>39747</v>
      </c>
      <c r="B2741" s="242">
        <v>12.3</v>
      </c>
      <c r="C2741" s="238">
        <v>0</v>
      </c>
    </row>
    <row r="2742" spans="1:3" x14ac:dyDescent="0.2">
      <c r="A2742" s="241">
        <v>39748</v>
      </c>
      <c r="B2742" s="242">
        <v>10</v>
      </c>
      <c r="C2742" s="238">
        <v>6</v>
      </c>
    </row>
    <row r="2743" spans="1:3" x14ac:dyDescent="0.2">
      <c r="A2743" s="241">
        <v>39749</v>
      </c>
      <c r="B2743" s="242">
        <v>5.9</v>
      </c>
      <c r="C2743" s="238">
        <v>1.3</v>
      </c>
    </row>
    <row r="2744" spans="1:3" x14ac:dyDescent="0.2">
      <c r="A2744" s="241">
        <v>39750</v>
      </c>
      <c r="B2744" s="242">
        <v>3.8</v>
      </c>
      <c r="C2744" s="238">
        <v>2.1</v>
      </c>
    </row>
    <row r="2745" spans="1:3" x14ac:dyDescent="0.2">
      <c r="A2745" s="241">
        <v>39751</v>
      </c>
      <c r="B2745" s="242">
        <v>3</v>
      </c>
      <c r="C2745" s="238">
        <v>1.9</v>
      </c>
    </row>
    <row r="2746" spans="1:3" x14ac:dyDescent="0.2">
      <c r="A2746" s="241">
        <v>39752</v>
      </c>
      <c r="B2746" s="242">
        <v>4</v>
      </c>
      <c r="C2746" s="238">
        <v>5</v>
      </c>
    </row>
    <row r="2747" spans="1:3" x14ac:dyDescent="0.2">
      <c r="A2747" s="241">
        <v>39753</v>
      </c>
      <c r="B2747" s="242">
        <v>6.1</v>
      </c>
      <c r="C2747" s="238">
        <v>0</v>
      </c>
    </row>
    <row r="2748" spans="1:3" x14ac:dyDescent="0.2">
      <c r="A2748" s="241">
        <v>39754</v>
      </c>
      <c r="B2748" s="242">
        <v>8.6999999999999993</v>
      </c>
      <c r="C2748" s="238">
        <v>5.9</v>
      </c>
    </row>
    <row r="2749" spans="1:3" x14ac:dyDescent="0.2">
      <c r="A2749" s="241">
        <v>39755</v>
      </c>
      <c r="B2749" s="242">
        <v>8</v>
      </c>
      <c r="C2749" s="238">
        <v>0</v>
      </c>
    </row>
    <row r="2750" spans="1:3" x14ac:dyDescent="0.2">
      <c r="A2750" s="241">
        <v>39756</v>
      </c>
      <c r="B2750" s="242">
        <v>8.5</v>
      </c>
      <c r="C2750" s="238">
        <v>4.4000000000000004</v>
      </c>
    </row>
    <row r="2751" spans="1:3" x14ac:dyDescent="0.2">
      <c r="A2751" s="241">
        <v>39757</v>
      </c>
      <c r="B2751" s="242">
        <v>8.9</v>
      </c>
      <c r="C2751" s="238">
        <v>0</v>
      </c>
    </row>
    <row r="2752" spans="1:3" x14ac:dyDescent="0.2">
      <c r="A2752" s="241">
        <v>39758</v>
      </c>
      <c r="B2752" s="242">
        <v>9.6999999999999993</v>
      </c>
      <c r="C2752" s="238">
        <v>0.8</v>
      </c>
    </row>
    <row r="2753" spans="1:3" x14ac:dyDescent="0.2">
      <c r="A2753" s="241">
        <v>39759</v>
      </c>
      <c r="B2753" s="242">
        <v>9.8000000000000007</v>
      </c>
      <c r="C2753" s="238">
        <v>3.2</v>
      </c>
    </row>
    <row r="2754" spans="1:3" x14ac:dyDescent="0.2">
      <c r="A2754" s="241">
        <v>39760</v>
      </c>
      <c r="B2754" s="242">
        <v>9.9</v>
      </c>
      <c r="C2754" s="238">
        <v>7.7</v>
      </c>
    </row>
    <row r="2755" spans="1:3" x14ac:dyDescent="0.2">
      <c r="A2755" s="241">
        <v>39761</v>
      </c>
      <c r="B2755" s="242">
        <v>10.7</v>
      </c>
      <c r="C2755" s="238">
        <v>1.6</v>
      </c>
    </row>
    <row r="2756" spans="1:3" x14ac:dyDescent="0.2">
      <c r="A2756" s="241">
        <v>39762</v>
      </c>
      <c r="B2756" s="242">
        <v>12.1</v>
      </c>
      <c r="C2756" s="238">
        <v>0</v>
      </c>
    </row>
    <row r="2757" spans="1:3" x14ac:dyDescent="0.2">
      <c r="A2757" s="241">
        <v>39763</v>
      </c>
      <c r="B2757" s="242">
        <v>10.4</v>
      </c>
      <c r="C2757" s="238">
        <v>2.1</v>
      </c>
    </row>
    <row r="2758" spans="1:3" x14ac:dyDescent="0.2">
      <c r="A2758" s="241">
        <v>39764</v>
      </c>
      <c r="B2758" s="242">
        <v>9.5</v>
      </c>
      <c r="C2758" s="238">
        <v>2.6</v>
      </c>
    </row>
    <row r="2759" spans="1:3" x14ac:dyDescent="0.2">
      <c r="A2759" s="241">
        <v>39765</v>
      </c>
      <c r="B2759" s="242">
        <v>9.3000000000000007</v>
      </c>
      <c r="C2759" s="238">
        <v>5.4</v>
      </c>
    </row>
    <row r="2760" spans="1:3" x14ac:dyDescent="0.2">
      <c r="A2760" s="241">
        <v>39766</v>
      </c>
      <c r="B2760" s="242">
        <v>11.4</v>
      </c>
      <c r="C2760" s="238">
        <v>0</v>
      </c>
    </row>
    <row r="2761" spans="1:3" x14ac:dyDescent="0.2">
      <c r="A2761" s="241">
        <v>39767</v>
      </c>
      <c r="B2761" s="242">
        <v>11.8</v>
      </c>
      <c r="C2761" s="238">
        <v>0.3</v>
      </c>
    </row>
    <row r="2762" spans="1:3" x14ac:dyDescent="0.2">
      <c r="A2762" s="241">
        <v>39768</v>
      </c>
      <c r="B2762" s="242">
        <v>10.199999999999999</v>
      </c>
      <c r="C2762" s="238">
        <v>2.2000000000000002</v>
      </c>
    </row>
    <row r="2763" spans="1:3" x14ac:dyDescent="0.2">
      <c r="A2763" s="241">
        <v>39769</v>
      </c>
      <c r="B2763" s="242">
        <v>7.8</v>
      </c>
      <c r="C2763" s="238">
        <v>3.1</v>
      </c>
    </row>
    <row r="2764" spans="1:3" x14ac:dyDescent="0.2">
      <c r="A2764" s="241">
        <v>39770</v>
      </c>
      <c r="B2764" s="242">
        <v>9</v>
      </c>
      <c r="C2764" s="238">
        <v>1.1000000000000001</v>
      </c>
    </row>
    <row r="2765" spans="1:3" x14ac:dyDescent="0.2">
      <c r="A2765" s="241">
        <v>39771</v>
      </c>
      <c r="B2765" s="242">
        <v>10.5</v>
      </c>
      <c r="C2765" s="238">
        <v>1.9</v>
      </c>
    </row>
    <row r="2766" spans="1:3" x14ac:dyDescent="0.2">
      <c r="A2766" s="241">
        <v>39772</v>
      </c>
      <c r="B2766" s="242">
        <v>10.199999999999999</v>
      </c>
      <c r="C2766" s="238">
        <v>0.4</v>
      </c>
    </row>
    <row r="2767" spans="1:3" x14ac:dyDescent="0.2">
      <c r="A2767" s="241">
        <v>39773</v>
      </c>
      <c r="B2767" s="242">
        <v>6.4</v>
      </c>
      <c r="C2767" s="238">
        <v>2.6</v>
      </c>
    </row>
    <row r="2768" spans="1:3" x14ac:dyDescent="0.2">
      <c r="A2768" s="241">
        <v>39774</v>
      </c>
      <c r="B2768" s="242">
        <v>3.5</v>
      </c>
      <c r="C2768" s="238">
        <v>1.5</v>
      </c>
    </row>
    <row r="2769" spans="1:3" x14ac:dyDescent="0.2">
      <c r="A2769" s="241">
        <v>39775</v>
      </c>
      <c r="B2769" s="242">
        <v>2.1</v>
      </c>
      <c r="C2769" s="238">
        <v>0</v>
      </c>
    </row>
    <row r="2770" spans="1:3" x14ac:dyDescent="0.2">
      <c r="A2770" s="241">
        <v>39776</v>
      </c>
      <c r="B2770" s="242">
        <v>2.4</v>
      </c>
      <c r="C2770" s="238">
        <v>3.9</v>
      </c>
    </row>
    <row r="2771" spans="1:3" x14ac:dyDescent="0.2">
      <c r="A2771" s="241">
        <v>39777</v>
      </c>
      <c r="B2771" s="242">
        <v>5.0999999999999996</v>
      </c>
      <c r="C2771" s="238">
        <v>1.9</v>
      </c>
    </row>
    <row r="2772" spans="1:3" x14ac:dyDescent="0.2">
      <c r="A2772" s="241">
        <v>39778</v>
      </c>
      <c r="B2772" s="242">
        <v>8.1999999999999993</v>
      </c>
      <c r="C2772" s="238">
        <v>0</v>
      </c>
    </row>
    <row r="2773" spans="1:3" x14ac:dyDescent="0.2">
      <c r="A2773" s="241">
        <v>39779</v>
      </c>
      <c r="B2773" s="242">
        <v>8.1</v>
      </c>
      <c r="C2773" s="238">
        <v>0</v>
      </c>
    </row>
    <row r="2774" spans="1:3" x14ac:dyDescent="0.2">
      <c r="A2774" s="241">
        <v>39780</v>
      </c>
      <c r="B2774" s="242">
        <v>4.3</v>
      </c>
      <c r="C2774" s="238">
        <v>0</v>
      </c>
    </row>
    <row r="2775" spans="1:3" x14ac:dyDescent="0.2">
      <c r="A2775" s="241">
        <v>39781</v>
      </c>
      <c r="B2775" s="242">
        <v>3.2</v>
      </c>
      <c r="C2775" s="238">
        <v>2.4</v>
      </c>
    </row>
    <row r="2776" spans="1:3" x14ac:dyDescent="0.2">
      <c r="A2776" s="241">
        <v>39782</v>
      </c>
      <c r="B2776" s="242">
        <v>1.2</v>
      </c>
      <c r="C2776" s="238">
        <v>0</v>
      </c>
    </row>
    <row r="2777" spans="1:3" x14ac:dyDescent="0.2">
      <c r="A2777" s="241">
        <v>39783</v>
      </c>
      <c r="B2777" s="242">
        <v>4.0999999999999996</v>
      </c>
      <c r="C2777" s="238">
        <v>0.2</v>
      </c>
    </row>
    <row r="2778" spans="1:3" x14ac:dyDescent="0.2">
      <c r="A2778" s="241">
        <v>39784</v>
      </c>
      <c r="B2778" s="242">
        <v>4.7</v>
      </c>
      <c r="C2778" s="238">
        <v>1.7</v>
      </c>
    </row>
    <row r="2779" spans="1:3" x14ac:dyDescent="0.2">
      <c r="A2779" s="241">
        <v>39785</v>
      </c>
      <c r="B2779" s="242">
        <v>4.4000000000000004</v>
      </c>
      <c r="C2779" s="238">
        <v>1.9</v>
      </c>
    </row>
    <row r="2780" spans="1:3" x14ac:dyDescent="0.2">
      <c r="A2780" s="241">
        <v>39786</v>
      </c>
      <c r="B2780" s="242">
        <v>4</v>
      </c>
      <c r="C2780" s="238">
        <v>0</v>
      </c>
    </row>
    <row r="2781" spans="1:3" x14ac:dyDescent="0.2">
      <c r="A2781" s="241">
        <v>39787</v>
      </c>
      <c r="B2781" s="242">
        <v>5.5</v>
      </c>
      <c r="C2781" s="238">
        <v>1.7</v>
      </c>
    </row>
    <row r="2782" spans="1:3" x14ac:dyDescent="0.2">
      <c r="A2782" s="241">
        <v>39788</v>
      </c>
      <c r="B2782" s="242">
        <v>6.7</v>
      </c>
      <c r="C2782" s="238">
        <v>4.2</v>
      </c>
    </row>
    <row r="2783" spans="1:3" x14ac:dyDescent="0.2">
      <c r="A2783" s="241">
        <v>39789</v>
      </c>
      <c r="B2783" s="242">
        <v>6.4</v>
      </c>
      <c r="C2783" s="238">
        <v>6</v>
      </c>
    </row>
    <row r="2784" spans="1:3" x14ac:dyDescent="0.2">
      <c r="A2784" s="241">
        <v>39790</v>
      </c>
      <c r="B2784" s="242">
        <v>5.3</v>
      </c>
      <c r="C2784" s="238">
        <v>0</v>
      </c>
    </row>
    <row r="2785" spans="1:3" x14ac:dyDescent="0.2">
      <c r="A2785" s="241">
        <v>39791</v>
      </c>
      <c r="B2785" s="242">
        <v>4.0999999999999996</v>
      </c>
      <c r="C2785" s="238">
        <v>0.8</v>
      </c>
    </row>
    <row r="2786" spans="1:3" x14ac:dyDescent="0.2">
      <c r="A2786" s="241">
        <v>39792</v>
      </c>
      <c r="B2786" s="242">
        <v>4.2</v>
      </c>
      <c r="C2786" s="238">
        <v>3.5</v>
      </c>
    </row>
    <row r="2787" spans="1:3" x14ac:dyDescent="0.2">
      <c r="A2787" s="241">
        <v>39793</v>
      </c>
      <c r="B2787" s="242">
        <v>3.7</v>
      </c>
      <c r="C2787" s="238">
        <v>0.3</v>
      </c>
    </row>
    <row r="2788" spans="1:3" x14ac:dyDescent="0.2">
      <c r="A2788" s="241">
        <v>39794</v>
      </c>
      <c r="B2788" s="242">
        <v>3.5</v>
      </c>
      <c r="C2788" s="238">
        <v>3.8</v>
      </c>
    </row>
    <row r="2789" spans="1:3" x14ac:dyDescent="0.2">
      <c r="A2789" s="241">
        <v>39795</v>
      </c>
      <c r="B2789" s="242">
        <v>0.1</v>
      </c>
      <c r="C2789" s="238">
        <v>6.4</v>
      </c>
    </row>
    <row r="2790" spans="1:3" x14ac:dyDescent="0.2">
      <c r="A2790" s="241">
        <v>39796</v>
      </c>
      <c r="B2790" s="242">
        <v>2.2000000000000002</v>
      </c>
      <c r="C2790" s="238">
        <v>1.9</v>
      </c>
    </row>
    <row r="2791" spans="1:3" x14ac:dyDescent="0.2">
      <c r="A2791" s="241">
        <v>39797</v>
      </c>
      <c r="B2791" s="242">
        <v>1.9</v>
      </c>
      <c r="C2791" s="238">
        <v>2.9</v>
      </c>
    </row>
    <row r="2792" spans="1:3" x14ac:dyDescent="0.2">
      <c r="A2792" s="241">
        <v>39798</v>
      </c>
      <c r="B2792" s="242">
        <v>0.3</v>
      </c>
      <c r="C2792" s="238">
        <v>0</v>
      </c>
    </row>
    <row r="2793" spans="1:3" x14ac:dyDescent="0.2">
      <c r="A2793" s="241">
        <v>39799</v>
      </c>
      <c r="B2793" s="242">
        <v>4.9000000000000004</v>
      </c>
      <c r="C2793" s="238">
        <v>3.4</v>
      </c>
    </row>
    <row r="2794" spans="1:3" x14ac:dyDescent="0.2">
      <c r="A2794" s="241">
        <v>39800</v>
      </c>
      <c r="B2794" s="242">
        <v>6.9</v>
      </c>
      <c r="C2794" s="238">
        <v>0</v>
      </c>
    </row>
    <row r="2795" spans="1:3" x14ac:dyDescent="0.2">
      <c r="A2795" s="241">
        <v>39801</v>
      </c>
      <c r="B2795" s="242">
        <v>6.8</v>
      </c>
      <c r="C2795" s="238">
        <v>5</v>
      </c>
    </row>
    <row r="2796" spans="1:3" x14ac:dyDescent="0.2">
      <c r="A2796" s="241">
        <v>39802</v>
      </c>
      <c r="B2796" s="242">
        <v>8.1</v>
      </c>
      <c r="C2796" s="238">
        <v>0</v>
      </c>
    </row>
    <row r="2797" spans="1:3" x14ac:dyDescent="0.2">
      <c r="A2797" s="241">
        <v>39803</v>
      </c>
      <c r="B2797" s="242">
        <v>8.3000000000000007</v>
      </c>
      <c r="C2797" s="238">
        <v>0.8</v>
      </c>
    </row>
    <row r="2798" spans="1:3" x14ac:dyDescent="0.2">
      <c r="A2798" s="241">
        <v>39804</v>
      </c>
      <c r="B2798" s="242">
        <v>8</v>
      </c>
      <c r="C2798" s="238">
        <v>5.2</v>
      </c>
    </row>
    <row r="2799" spans="1:3" x14ac:dyDescent="0.2">
      <c r="A2799" s="241">
        <v>39805</v>
      </c>
      <c r="B2799" s="242">
        <v>7</v>
      </c>
      <c r="C2799" s="238">
        <v>0</v>
      </c>
    </row>
    <row r="2800" spans="1:3" x14ac:dyDescent="0.2">
      <c r="A2800" s="241">
        <v>39806</v>
      </c>
      <c r="B2800" s="242">
        <v>6.7</v>
      </c>
      <c r="C2800" s="238">
        <v>1.1000000000000001</v>
      </c>
    </row>
    <row r="2801" spans="1:3" x14ac:dyDescent="0.2">
      <c r="A2801" s="241">
        <v>39807</v>
      </c>
      <c r="B2801" s="242">
        <v>3.9</v>
      </c>
      <c r="C2801" s="238">
        <v>1.8</v>
      </c>
    </row>
    <row r="2802" spans="1:3" x14ac:dyDescent="0.2">
      <c r="A2802" s="241">
        <v>39808</v>
      </c>
      <c r="B2802" s="242">
        <v>-0.4</v>
      </c>
      <c r="C2802" s="238">
        <v>6.1</v>
      </c>
    </row>
    <row r="2803" spans="1:3" x14ac:dyDescent="0.2">
      <c r="A2803" s="241">
        <v>39809</v>
      </c>
      <c r="B2803" s="242">
        <v>-1.5</v>
      </c>
      <c r="C2803" s="238">
        <v>5.0999999999999996</v>
      </c>
    </row>
    <row r="2804" spans="1:3" x14ac:dyDescent="0.2">
      <c r="A2804" s="241">
        <v>39810</v>
      </c>
      <c r="B2804" s="242">
        <v>-1.5</v>
      </c>
      <c r="C2804" s="238">
        <v>6.1</v>
      </c>
    </row>
    <row r="2805" spans="1:3" x14ac:dyDescent="0.2">
      <c r="A2805" s="241">
        <v>39811</v>
      </c>
      <c r="B2805" s="242">
        <v>-3.5</v>
      </c>
      <c r="C2805" s="238">
        <v>6.5</v>
      </c>
    </row>
    <row r="2806" spans="1:3" x14ac:dyDescent="0.2">
      <c r="A2806" s="241">
        <v>39812</v>
      </c>
      <c r="B2806" s="242">
        <v>-4.3</v>
      </c>
      <c r="C2806" s="238">
        <v>6.3</v>
      </c>
    </row>
    <row r="2807" spans="1:3" x14ac:dyDescent="0.2">
      <c r="A2807" s="241">
        <v>39813</v>
      </c>
      <c r="B2807" s="242">
        <v>-3.3</v>
      </c>
      <c r="C2807" s="238">
        <v>1.5</v>
      </c>
    </row>
    <row r="2808" spans="1:3" x14ac:dyDescent="0.2">
      <c r="A2808" s="241">
        <v>39814</v>
      </c>
      <c r="B2808" s="242">
        <v>2</v>
      </c>
      <c r="C2808" s="238">
        <v>0</v>
      </c>
    </row>
    <row r="2809" spans="1:3" x14ac:dyDescent="0.2">
      <c r="A2809" s="241">
        <v>39815</v>
      </c>
      <c r="B2809" s="242">
        <v>0.4</v>
      </c>
      <c r="C2809" s="238">
        <v>4.3</v>
      </c>
    </row>
    <row r="2810" spans="1:3" x14ac:dyDescent="0.2">
      <c r="A2810" s="241">
        <v>39816</v>
      </c>
      <c r="B2810" s="242">
        <v>1.8</v>
      </c>
      <c r="C2810" s="238">
        <v>0</v>
      </c>
    </row>
    <row r="2811" spans="1:3" x14ac:dyDescent="0.2">
      <c r="A2811" s="241">
        <v>39817</v>
      </c>
      <c r="B2811" s="242">
        <v>3.8</v>
      </c>
      <c r="C2811" s="238">
        <v>0</v>
      </c>
    </row>
    <row r="2812" spans="1:3" x14ac:dyDescent="0.2">
      <c r="A2812" s="241">
        <v>39818</v>
      </c>
      <c r="B2812" s="242">
        <v>-1.5</v>
      </c>
      <c r="C2812" s="238">
        <v>4.7</v>
      </c>
    </row>
    <row r="2813" spans="1:3" x14ac:dyDescent="0.2">
      <c r="A2813" s="241">
        <v>39819</v>
      </c>
      <c r="B2813" s="242">
        <v>-4.8</v>
      </c>
      <c r="C2813" s="238">
        <v>6.8</v>
      </c>
    </row>
    <row r="2814" spans="1:3" x14ac:dyDescent="0.2">
      <c r="A2814" s="241">
        <v>39820</v>
      </c>
      <c r="B2814" s="242">
        <v>2.2000000000000002</v>
      </c>
      <c r="C2814" s="238">
        <v>2</v>
      </c>
    </row>
    <row r="2815" spans="1:3" x14ac:dyDescent="0.2">
      <c r="A2815" s="241">
        <v>39821</v>
      </c>
      <c r="B2815" s="242">
        <v>-1.7</v>
      </c>
      <c r="C2815" s="238">
        <v>6.3</v>
      </c>
    </row>
    <row r="2816" spans="1:3" x14ac:dyDescent="0.2">
      <c r="A2816" s="241">
        <v>39822</v>
      </c>
      <c r="B2816" s="242">
        <v>-3.8</v>
      </c>
      <c r="C2816" s="238">
        <v>6.7</v>
      </c>
    </row>
    <row r="2817" spans="1:3" x14ac:dyDescent="0.2">
      <c r="A2817" s="241">
        <v>39823</v>
      </c>
      <c r="B2817" s="242">
        <v>-3.6</v>
      </c>
      <c r="C2817" s="238">
        <v>6.8</v>
      </c>
    </row>
    <row r="2818" spans="1:3" x14ac:dyDescent="0.2">
      <c r="A2818" s="241">
        <v>39824</v>
      </c>
      <c r="B2818" s="242">
        <v>2.4</v>
      </c>
      <c r="C2818" s="238">
        <v>6</v>
      </c>
    </row>
    <row r="2819" spans="1:3" x14ac:dyDescent="0.2">
      <c r="A2819" s="241">
        <v>39825</v>
      </c>
      <c r="B2819" s="242">
        <v>5.2</v>
      </c>
      <c r="C2819" s="238">
        <v>1.2</v>
      </c>
    </row>
    <row r="2820" spans="1:3" x14ac:dyDescent="0.2">
      <c r="A2820" s="241">
        <v>39826</v>
      </c>
      <c r="B2820" s="242">
        <v>5.2</v>
      </c>
      <c r="C2820" s="238">
        <v>0</v>
      </c>
    </row>
    <row r="2821" spans="1:3" x14ac:dyDescent="0.2">
      <c r="A2821" s="241">
        <v>39827</v>
      </c>
      <c r="B2821" s="242">
        <v>4.4000000000000004</v>
      </c>
      <c r="C2821" s="238">
        <v>3.4</v>
      </c>
    </row>
    <row r="2822" spans="1:3" x14ac:dyDescent="0.2">
      <c r="A2822" s="241">
        <v>39828</v>
      </c>
      <c r="B2822" s="242">
        <v>3.5</v>
      </c>
      <c r="C2822" s="238">
        <v>1.1000000000000001</v>
      </c>
    </row>
    <row r="2823" spans="1:3" x14ac:dyDescent="0.2">
      <c r="A2823" s="241">
        <v>39829</v>
      </c>
      <c r="B2823" s="242">
        <v>2.2999999999999998</v>
      </c>
      <c r="C2823" s="238">
        <v>0.7</v>
      </c>
    </row>
    <row r="2824" spans="1:3" x14ac:dyDescent="0.2">
      <c r="A2824" s="241">
        <v>39830</v>
      </c>
      <c r="B2824" s="242">
        <v>5.2</v>
      </c>
      <c r="C2824" s="238">
        <v>2</v>
      </c>
    </row>
    <row r="2825" spans="1:3" x14ac:dyDescent="0.2">
      <c r="A2825" s="241">
        <v>39831</v>
      </c>
      <c r="B2825" s="242">
        <v>6</v>
      </c>
      <c r="C2825" s="238">
        <v>0.6</v>
      </c>
    </row>
    <row r="2826" spans="1:3" x14ac:dyDescent="0.2">
      <c r="A2826" s="241">
        <v>39832</v>
      </c>
      <c r="B2826" s="242">
        <v>4.5</v>
      </c>
      <c r="C2826" s="238">
        <v>0.9</v>
      </c>
    </row>
    <row r="2827" spans="1:3" x14ac:dyDescent="0.2">
      <c r="A2827" s="241">
        <v>39833</v>
      </c>
      <c r="B2827" s="242">
        <v>4.4000000000000004</v>
      </c>
      <c r="C2827" s="238">
        <v>3.5</v>
      </c>
    </row>
    <row r="2828" spans="1:3" x14ac:dyDescent="0.2">
      <c r="A2828" s="241">
        <v>39834</v>
      </c>
      <c r="B2828" s="242">
        <v>3.9</v>
      </c>
      <c r="C2828" s="238">
        <v>1.7</v>
      </c>
    </row>
    <row r="2829" spans="1:3" x14ac:dyDescent="0.2">
      <c r="A2829" s="241">
        <v>39835</v>
      </c>
      <c r="B2829" s="242">
        <v>4.5999999999999996</v>
      </c>
      <c r="C2829" s="238">
        <v>0</v>
      </c>
    </row>
    <row r="2830" spans="1:3" x14ac:dyDescent="0.2">
      <c r="A2830" s="241">
        <v>39836</v>
      </c>
      <c r="B2830" s="242">
        <v>5.2</v>
      </c>
      <c r="C2830" s="238">
        <v>0</v>
      </c>
    </row>
    <row r="2831" spans="1:3" x14ac:dyDescent="0.2">
      <c r="A2831" s="241">
        <v>39837</v>
      </c>
      <c r="B2831" s="242">
        <v>4.7</v>
      </c>
      <c r="C2831" s="238">
        <v>4.0999999999999996</v>
      </c>
    </row>
    <row r="2832" spans="1:3" x14ac:dyDescent="0.2">
      <c r="A2832" s="241">
        <v>39838</v>
      </c>
      <c r="B2832" s="242">
        <v>3.4</v>
      </c>
      <c r="C2832" s="238">
        <v>6.5</v>
      </c>
    </row>
    <row r="2833" spans="1:3" x14ac:dyDescent="0.2">
      <c r="A2833" s="241">
        <v>39839</v>
      </c>
      <c r="B2833" s="242">
        <v>1.5</v>
      </c>
      <c r="C2833" s="238">
        <v>5</v>
      </c>
    </row>
    <row r="2834" spans="1:3" x14ac:dyDescent="0.2">
      <c r="A2834" s="241">
        <v>39840</v>
      </c>
      <c r="B2834" s="242">
        <v>-0.8</v>
      </c>
      <c r="C2834" s="238">
        <v>2</v>
      </c>
    </row>
    <row r="2835" spans="1:3" x14ac:dyDescent="0.2">
      <c r="A2835" s="241">
        <v>39841</v>
      </c>
      <c r="B2835" s="242">
        <v>-1.1000000000000001</v>
      </c>
      <c r="C2835" s="238">
        <v>3.7</v>
      </c>
    </row>
    <row r="2836" spans="1:3" x14ac:dyDescent="0.2">
      <c r="A2836" s="241">
        <v>39842</v>
      </c>
      <c r="B2836" s="242">
        <v>-0.4</v>
      </c>
      <c r="C2836" s="238">
        <v>5.4</v>
      </c>
    </row>
    <row r="2837" spans="1:3" x14ac:dyDescent="0.2">
      <c r="A2837" s="241">
        <v>39843</v>
      </c>
      <c r="B2837" s="242">
        <v>0.1</v>
      </c>
      <c r="C2837" s="238">
        <v>7.9</v>
      </c>
    </row>
    <row r="2838" spans="1:3" x14ac:dyDescent="0.2">
      <c r="A2838" s="241">
        <v>39844</v>
      </c>
      <c r="B2838" s="242">
        <v>0.1</v>
      </c>
      <c r="C2838" s="238">
        <v>7.9</v>
      </c>
    </row>
    <row r="2839" spans="1:3" x14ac:dyDescent="0.2">
      <c r="A2839" s="241">
        <v>39845</v>
      </c>
      <c r="B2839" s="242">
        <v>-1.3</v>
      </c>
      <c r="C2839" s="238">
        <v>4.0999999999999996</v>
      </c>
    </row>
    <row r="2840" spans="1:3" x14ac:dyDescent="0.2">
      <c r="A2840" s="241">
        <v>39846</v>
      </c>
      <c r="B2840" s="242">
        <v>0.7</v>
      </c>
      <c r="C2840" s="238">
        <v>0.3</v>
      </c>
    </row>
    <row r="2841" spans="1:3" x14ac:dyDescent="0.2">
      <c r="A2841" s="241">
        <v>39847</v>
      </c>
      <c r="B2841" s="242">
        <v>2</v>
      </c>
      <c r="C2841" s="238">
        <v>0</v>
      </c>
    </row>
    <row r="2842" spans="1:3" x14ac:dyDescent="0.2">
      <c r="A2842" s="241">
        <v>39848</v>
      </c>
      <c r="B2842" s="242">
        <v>0.5</v>
      </c>
      <c r="C2842" s="238">
        <v>1.1000000000000001</v>
      </c>
    </row>
    <row r="2843" spans="1:3" x14ac:dyDescent="0.2">
      <c r="A2843" s="241">
        <v>39849</v>
      </c>
      <c r="B2843" s="242">
        <v>3.1</v>
      </c>
      <c r="C2843" s="238">
        <v>1.1000000000000001</v>
      </c>
    </row>
    <row r="2844" spans="1:3" x14ac:dyDescent="0.2">
      <c r="A2844" s="241">
        <v>39850</v>
      </c>
      <c r="B2844" s="242">
        <v>4.5999999999999996</v>
      </c>
      <c r="C2844" s="238">
        <v>2</v>
      </c>
    </row>
    <row r="2845" spans="1:3" x14ac:dyDescent="0.2">
      <c r="A2845" s="241">
        <v>39851</v>
      </c>
      <c r="B2845" s="242">
        <v>3.2</v>
      </c>
      <c r="C2845" s="238">
        <v>4.9000000000000004</v>
      </c>
    </row>
    <row r="2846" spans="1:3" x14ac:dyDescent="0.2">
      <c r="A2846" s="241">
        <v>39852</v>
      </c>
      <c r="B2846" s="242">
        <v>2.8</v>
      </c>
      <c r="C2846" s="238">
        <v>5.4</v>
      </c>
    </row>
    <row r="2847" spans="1:3" x14ac:dyDescent="0.2">
      <c r="A2847" s="241">
        <v>39853</v>
      </c>
      <c r="B2847" s="242">
        <v>3.1</v>
      </c>
      <c r="C2847" s="238">
        <v>0.1</v>
      </c>
    </row>
    <row r="2848" spans="1:3" x14ac:dyDescent="0.2">
      <c r="A2848" s="241">
        <v>39854</v>
      </c>
      <c r="B2848" s="242">
        <v>2.7</v>
      </c>
      <c r="C2848" s="238">
        <v>0</v>
      </c>
    </row>
    <row r="2849" spans="1:3" x14ac:dyDescent="0.2">
      <c r="A2849" s="241">
        <v>39855</v>
      </c>
      <c r="B2849" s="242">
        <v>2.8</v>
      </c>
      <c r="C2849" s="238">
        <v>2.7</v>
      </c>
    </row>
    <row r="2850" spans="1:3" x14ac:dyDescent="0.2">
      <c r="A2850" s="241">
        <v>39856</v>
      </c>
      <c r="B2850" s="242">
        <v>2.7</v>
      </c>
      <c r="C2850" s="238">
        <v>6.5</v>
      </c>
    </row>
    <row r="2851" spans="1:3" x14ac:dyDescent="0.2">
      <c r="A2851" s="241">
        <v>39857</v>
      </c>
      <c r="B2851" s="242">
        <v>2.2000000000000002</v>
      </c>
      <c r="C2851" s="238">
        <v>3.9</v>
      </c>
    </row>
    <row r="2852" spans="1:3" x14ac:dyDescent="0.2">
      <c r="A2852" s="241">
        <v>39858</v>
      </c>
      <c r="B2852" s="242">
        <v>-0.2</v>
      </c>
      <c r="C2852" s="238">
        <v>7.3</v>
      </c>
    </row>
    <row r="2853" spans="1:3" x14ac:dyDescent="0.2">
      <c r="A2853" s="241">
        <v>39859</v>
      </c>
      <c r="B2853" s="242">
        <v>3.4</v>
      </c>
      <c r="C2853" s="238">
        <v>0</v>
      </c>
    </row>
    <row r="2854" spans="1:3" x14ac:dyDescent="0.2">
      <c r="A2854" s="241">
        <v>39860</v>
      </c>
      <c r="B2854" s="242">
        <v>4.8</v>
      </c>
      <c r="C2854" s="238">
        <v>0.2</v>
      </c>
    </row>
    <row r="2855" spans="1:3" x14ac:dyDescent="0.2">
      <c r="A2855" s="241">
        <v>39861</v>
      </c>
      <c r="B2855" s="242">
        <v>3.4</v>
      </c>
      <c r="C2855" s="238">
        <v>0</v>
      </c>
    </row>
    <row r="2856" spans="1:3" x14ac:dyDescent="0.2">
      <c r="A2856" s="241">
        <v>39862</v>
      </c>
      <c r="B2856" s="242">
        <v>-0.3</v>
      </c>
      <c r="C2856" s="238">
        <v>2.4</v>
      </c>
    </row>
    <row r="2857" spans="1:3" x14ac:dyDescent="0.2">
      <c r="A2857" s="241">
        <v>39863</v>
      </c>
      <c r="B2857" s="242">
        <v>2.7</v>
      </c>
      <c r="C2857" s="238">
        <v>0</v>
      </c>
    </row>
    <row r="2858" spans="1:3" x14ac:dyDescent="0.2">
      <c r="A2858" s="241">
        <v>39864</v>
      </c>
      <c r="B2858" s="242">
        <v>4.5999999999999996</v>
      </c>
      <c r="C2858" s="238">
        <v>0</v>
      </c>
    </row>
    <row r="2859" spans="1:3" x14ac:dyDescent="0.2">
      <c r="A2859" s="241">
        <v>39865</v>
      </c>
      <c r="B2859" s="242">
        <v>4.5999999999999996</v>
      </c>
      <c r="C2859" s="238">
        <v>3.5</v>
      </c>
    </row>
    <row r="2860" spans="1:3" x14ac:dyDescent="0.2">
      <c r="A2860" s="241">
        <v>39866</v>
      </c>
      <c r="B2860" s="242">
        <v>5.5</v>
      </c>
      <c r="C2860" s="238">
        <v>0.5</v>
      </c>
    </row>
    <row r="2861" spans="1:3" x14ac:dyDescent="0.2">
      <c r="A2861" s="241">
        <v>39867</v>
      </c>
      <c r="B2861" s="242">
        <v>5.0999999999999996</v>
      </c>
      <c r="C2861" s="238">
        <v>2.6</v>
      </c>
    </row>
    <row r="2862" spans="1:3" x14ac:dyDescent="0.2">
      <c r="A2862" s="241">
        <v>39868</v>
      </c>
      <c r="B2862" s="242">
        <v>4.4000000000000004</v>
      </c>
      <c r="C2862" s="238">
        <v>4.0999999999999996</v>
      </c>
    </row>
    <row r="2863" spans="1:3" x14ac:dyDescent="0.2">
      <c r="A2863" s="241">
        <v>39869</v>
      </c>
      <c r="B2863" s="242">
        <v>4.9000000000000004</v>
      </c>
      <c r="C2863" s="238">
        <v>0</v>
      </c>
    </row>
    <row r="2864" spans="1:3" x14ac:dyDescent="0.2">
      <c r="A2864" s="241">
        <v>39870</v>
      </c>
      <c r="B2864" s="242">
        <v>5.7</v>
      </c>
      <c r="C2864" s="238">
        <v>2.6</v>
      </c>
    </row>
    <row r="2865" spans="1:3" x14ac:dyDescent="0.2">
      <c r="A2865" s="241">
        <v>39871</v>
      </c>
      <c r="B2865" s="242">
        <v>5.8</v>
      </c>
      <c r="C2865" s="238">
        <v>0</v>
      </c>
    </row>
    <row r="2866" spans="1:3" x14ac:dyDescent="0.2">
      <c r="A2866" s="241">
        <v>39872</v>
      </c>
      <c r="B2866" s="242">
        <v>6</v>
      </c>
      <c r="C2866" s="238">
        <v>0</v>
      </c>
    </row>
    <row r="2867" spans="1:3" x14ac:dyDescent="0.2">
      <c r="A2867" s="241">
        <v>39873</v>
      </c>
      <c r="B2867" s="242">
        <v>6.5</v>
      </c>
      <c r="C2867" s="238">
        <v>1.6</v>
      </c>
    </row>
    <row r="2868" spans="1:3" x14ac:dyDescent="0.2">
      <c r="A2868" s="241">
        <v>39874</v>
      </c>
      <c r="B2868" s="242">
        <v>5.0999999999999996</v>
      </c>
      <c r="C2868" s="238">
        <v>4</v>
      </c>
    </row>
    <row r="2869" spans="1:3" x14ac:dyDescent="0.2">
      <c r="A2869" s="241">
        <v>39875</v>
      </c>
      <c r="B2869" s="242">
        <v>6.7</v>
      </c>
      <c r="C2869" s="238">
        <v>0</v>
      </c>
    </row>
    <row r="2870" spans="1:3" x14ac:dyDescent="0.2">
      <c r="A2870" s="241">
        <v>39876</v>
      </c>
      <c r="B2870" s="242">
        <v>5.6</v>
      </c>
      <c r="C2870" s="238">
        <v>0</v>
      </c>
    </row>
    <row r="2871" spans="1:3" x14ac:dyDescent="0.2">
      <c r="A2871" s="241">
        <v>39877</v>
      </c>
      <c r="B2871" s="242">
        <v>4.2</v>
      </c>
      <c r="C2871" s="238">
        <v>3</v>
      </c>
    </row>
    <row r="2872" spans="1:3" x14ac:dyDescent="0.2">
      <c r="A2872" s="241">
        <v>39878</v>
      </c>
      <c r="B2872" s="242">
        <v>5</v>
      </c>
      <c r="C2872" s="238">
        <v>7.4</v>
      </c>
    </row>
    <row r="2873" spans="1:3" x14ac:dyDescent="0.2">
      <c r="A2873" s="241">
        <v>39879</v>
      </c>
      <c r="B2873" s="242">
        <v>5.8</v>
      </c>
      <c r="C2873" s="238">
        <v>6.4</v>
      </c>
    </row>
    <row r="2874" spans="1:3" x14ac:dyDescent="0.2">
      <c r="A2874" s="241">
        <v>39880</v>
      </c>
      <c r="B2874" s="242">
        <v>6.3</v>
      </c>
      <c r="C2874" s="238">
        <v>7.2</v>
      </c>
    </row>
    <row r="2875" spans="1:3" x14ac:dyDescent="0.2">
      <c r="A2875" s="241">
        <v>39881</v>
      </c>
      <c r="B2875" s="242">
        <v>5.8</v>
      </c>
      <c r="C2875" s="238">
        <v>2.8</v>
      </c>
    </row>
    <row r="2876" spans="1:3" x14ac:dyDescent="0.2">
      <c r="A2876" s="241">
        <v>39882</v>
      </c>
      <c r="B2876" s="242">
        <v>5.6</v>
      </c>
      <c r="C2876" s="238">
        <v>1</v>
      </c>
    </row>
    <row r="2877" spans="1:3" x14ac:dyDescent="0.2">
      <c r="A2877" s="241">
        <v>39883</v>
      </c>
      <c r="B2877" s="242">
        <v>6.3</v>
      </c>
      <c r="C2877" s="238">
        <v>9.9</v>
      </c>
    </row>
    <row r="2878" spans="1:3" x14ac:dyDescent="0.2">
      <c r="A2878" s="241">
        <v>39884</v>
      </c>
      <c r="B2878" s="242">
        <v>6.7</v>
      </c>
      <c r="C2878" s="238">
        <v>1</v>
      </c>
    </row>
    <row r="2879" spans="1:3" x14ac:dyDescent="0.2">
      <c r="A2879" s="241">
        <v>39885</v>
      </c>
      <c r="B2879" s="242">
        <v>7.1</v>
      </c>
      <c r="C2879" s="238">
        <v>6.3</v>
      </c>
    </row>
    <row r="2880" spans="1:3" x14ac:dyDescent="0.2">
      <c r="A2880" s="241">
        <v>39886</v>
      </c>
      <c r="B2880" s="242">
        <v>8</v>
      </c>
      <c r="C2880" s="238">
        <v>3</v>
      </c>
    </row>
    <row r="2881" spans="1:3" x14ac:dyDescent="0.2">
      <c r="A2881" s="241">
        <v>39887</v>
      </c>
      <c r="B2881" s="242">
        <v>6.7</v>
      </c>
      <c r="C2881" s="238">
        <v>2.2000000000000002</v>
      </c>
    </row>
    <row r="2882" spans="1:3" x14ac:dyDescent="0.2">
      <c r="A2882" s="241">
        <v>39888</v>
      </c>
      <c r="B2882" s="242">
        <v>7.2</v>
      </c>
      <c r="C2882" s="238">
        <v>7.5</v>
      </c>
    </row>
    <row r="2883" spans="1:3" x14ac:dyDescent="0.2">
      <c r="A2883" s="241">
        <v>39889</v>
      </c>
      <c r="B2883" s="242">
        <v>5.9</v>
      </c>
      <c r="C2883" s="238">
        <v>6.1</v>
      </c>
    </row>
    <row r="2884" spans="1:3" x14ac:dyDescent="0.2">
      <c r="A2884" s="241">
        <v>39890</v>
      </c>
      <c r="B2884" s="242">
        <v>3.6</v>
      </c>
      <c r="C2884" s="238">
        <v>5.5</v>
      </c>
    </row>
    <row r="2885" spans="1:3" x14ac:dyDescent="0.2">
      <c r="A2885" s="241">
        <v>39891</v>
      </c>
      <c r="B2885" s="242">
        <v>6</v>
      </c>
      <c r="C2885" s="238">
        <v>5.0999999999999996</v>
      </c>
    </row>
    <row r="2886" spans="1:3" x14ac:dyDescent="0.2">
      <c r="A2886" s="241">
        <v>39892</v>
      </c>
      <c r="B2886" s="242">
        <v>4.4000000000000004</v>
      </c>
      <c r="C2886" s="238">
        <v>11</v>
      </c>
    </row>
    <row r="2887" spans="1:3" x14ac:dyDescent="0.2">
      <c r="A2887" s="241">
        <v>39893</v>
      </c>
      <c r="B2887" s="242">
        <v>3.9</v>
      </c>
      <c r="C2887" s="238">
        <v>11.1</v>
      </c>
    </row>
    <row r="2888" spans="1:3" x14ac:dyDescent="0.2">
      <c r="A2888" s="241">
        <v>39894</v>
      </c>
      <c r="B2888" s="242">
        <v>7.4</v>
      </c>
      <c r="C2888" s="238">
        <v>8.4</v>
      </c>
    </row>
    <row r="2889" spans="1:3" x14ac:dyDescent="0.2">
      <c r="A2889" s="241">
        <v>39895</v>
      </c>
      <c r="B2889" s="242">
        <v>6.6</v>
      </c>
      <c r="C2889" s="238">
        <v>3</v>
      </c>
    </row>
    <row r="2890" spans="1:3" x14ac:dyDescent="0.2">
      <c r="A2890" s="241">
        <v>39896</v>
      </c>
      <c r="B2890" s="242">
        <v>5.6</v>
      </c>
      <c r="C2890" s="238">
        <v>9.1</v>
      </c>
    </row>
    <row r="2891" spans="1:3" x14ac:dyDescent="0.2">
      <c r="A2891" s="241">
        <v>39897</v>
      </c>
      <c r="B2891" s="242">
        <v>6.2</v>
      </c>
      <c r="C2891" s="238">
        <v>3.7</v>
      </c>
    </row>
    <row r="2892" spans="1:3" x14ac:dyDescent="0.2">
      <c r="A2892" s="241">
        <v>39898</v>
      </c>
      <c r="B2892" s="242">
        <v>6.9</v>
      </c>
      <c r="C2892" s="238">
        <v>0.8</v>
      </c>
    </row>
    <row r="2893" spans="1:3" x14ac:dyDescent="0.2">
      <c r="A2893" s="241">
        <v>39899</v>
      </c>
      <c r="B2893" s="242">
        <v>6.7</v>
      </c>
      <c r="C2893" s="238">
        <v>7.9</v>
      </c>
    </row>
    <row r="2894" spans="1:3" x14ac:dyDescent="0.2">
      <c r="A2894" s="241">
        <v>39900</v>
      </c>
      <c r="B2894" s="242">
        <v>6.3</v>
      </c>
      <c r="C2894" s="238">
        <v>4.4000000000000004</v>
      </c>
    </row>
    <row r="2895" spans="1:3" x14ac:dyDescent="0.2">
      <c r="A2895" s="241">
        <v>39901</v>
      </c>
      <c r="B2895" s="242">
        <v>4.7</v>
      </c>
      <c r="C2895" s="238">
        <v>9.5</v>
      </c>
    </row>
    <row r="2896" spans="1:3" x14ac:dyDescent="0.2">
      <c r="A2896" s="241">
        <v>39902</v>
      </c>
      <c r="B2896" s="242">
        <v>4.8</v>
      </c>
      <c r="C2896" s="238">
        <v>11.4</v>
      </c>
    </row>
    <row r="2897" spans="1:3" x14ac:dyDescent="0.2">
      <c r="A2897" s="241">
        <v>39903</v>
      </c>
      <c r="B2897" s="242">
        <v>6.3</v>
      </c>
      <c r="C2897" s="238">
        <v>5.0999999999999996</v>
      </c>
    </row>
    <row r="2898" spans="1:3" x14ac:dyDescent="0.2">
      <c r="A2898" s="241">
        <v>39904</v>
      </c>
      <c r="B2898" s="242">
        <v>8.1999999999999993</v>
      </c>
      <c r="C2898" s="238">
        <v>8.4</v>
      </c>
    </row>
    <row r="2899" spans="1:3" x14ac:dyDescent="0.2">
      <c r="A2899" s="241">
        <v>39905</v>
      </c>
      <c r="B2899" s="242">
        <v>11.3</v>
      </c>
      <c r="C2899" s="238">
        <v>9.6</v>
      </c>
    </row>
    <row r="2900" spans="1:3" x14ac:dyDescent="0.2">
      <c r="A2900" s="241">
        <v>39906</v>
      </c>
      <c r="B2900" s="242">
        <v>10.4</v>
      </c>
      <c r="C2900" s="238">
        <v>11.2</v>
      </c>
    </row>
    <row r="2901" spans="1:3" x14ac:dyDescent="0.2">
      <c r="A2901" s="241">
        <v>39907</v>
      </c>
      <c r="B2901" s="242">
        <v>7.7</v>
      </c>
      <c r="C2901" s="238">
        <v>0.5</v>
      </c>
    </row>
    <row r="2902" spans="1:3" x14ac:dyDescent="0.2">
      <c r="A2902" s="241">
        <v>39908</v>
      </c>
      <c r="B2902" s="242">
        <v>7</v>
      </c>
      <c r="C2902" s="238">
        <v>7</v>
      </c>
    </row>
    <row r="2903" spans="1:3" x14ac:dyDescent="0.2">
      <c r="A2903" s="241">
        <v>39909</v>
      </c>
      <c r="B2903" s="242">
        <v>12.2</v>
      </c>
      <c r="C2903" s="238">
        <v>5.3</v>
      </c>
    </row>
    <row r="2904" spans="1:3" x14ac:dyDescent="0.2">
      <c r="A2904" s="241">
        <v>39910</v>
      </c>
      <c r="B2904" s="242">
        <v>9.8000000000000007</v>
      </c>
      <c r="C2904" s="238">
        <v>0.8</v>
      </c>
    </row>
    <row r="2905" spans="1:3" x14ac:dyDescent="0.2">
      <c r="A2905" s="241">
        <v>39911</v>
      </c>
      <c r="B2905" s="242">
        <v>9.1</v>
      </c>
      <c r="C2905" s="238">
        <v>4.4000000000000004</v>
      </c>
    </row>
    <row r="2906" spans="1:3" x14ac:dyDescent="0.2">
      <c r="A2906" s="241">
        <v>39912</v>
      </c>
      <c r="B2906" s="242">
        <v>11.2</v>
      </c>
      <c r="C2906" s="238">
        <v>1.8</v>
      </c>
    </row>
    <row r="2907" spans="1:3" x14ac:dyDescent="0.2">
      <c r="A2907" s="241">
        <v>39913</v>
      </c>
      <c r="B2907" s="242">
        <v>17.5</v>
      </c>
      <c r="C2907" s="238">
        <v>9.5</v>
      </c>
    </row>
    <row r="2908" spans="1:3" x14ac:dyDescent="0.2">
      <c r="A2908" s="241">
        <v>39914</v>
      </c>
      <c r="B2908" s="242">
        <v>14.9</v>
      </c>
      <c r="C2908" s="238">
        <v>6.9</v>
      </c>
    </row>
    <row r="2909" spans="1:3" x14ac:dyDescent="0.2">
      <c r="A2909" s="241">
        <v>39915</v>
      </c>
      <c r="B2909" s="242">
        <v>10.3</v>
      </c>
      <c r="C2909" s="238">
        <v>4</v>
      </c>
    </row>
    <row r="2910" spans="1:3" x14ac:dyDescent="0.2">
      <c r="A2910" s="241">
        <v>39916</v>
      </c>
      <c r="B2910" s="242">
        <v>8.1</v>
      </c>
      <c r="C2910" s="238">
        <v>6.6</v>
      </c>
    </row>
    <row r="2911" spans="1:3" x14ac:dyDescent="0.2">
      <c r="A2911" s="241">
        <v>39917</v>
      </c>
      <c r="B2911" s="242">
        <v>11.1</v>
      </c>
      <c r="C2911" s="238">
        <v>11.6</v>
      </c>
    </row>
    <row r="2912" spans="1:3" x14ac:dyDescent="0.2">
      <c r="A2912" s="241">
        <v>39918</v>
      </c>
      <c r="B2912" s="242">
        <v>15.8</v>
      </c>
      <c r="C2912" s="238">
        <v>11</v>
      </c>
    </row>
    <row r="2913" spans="1:3" x14ac:dyDescent="0.2">
      <c r="A2913" s="241">
        <v>39919</v>
      </c>
      <c r="B2913" s="242">
        <v>12.6</v>
      </c>
      <c r="C2913" s="238">
        <v>3.8</v>
      </c>
    </row>
    <row r="2914" spans="1:3" x14ac:dyDescent="0.2">
      <c r="A2914" s="241">
        <v>39920</v>
      </c>
      <c r="B2914" s="242">
        <v>11.1</v>
      </c>
      <c r="C2914" s="238">
        <v>4.5999999999999996</v>
      </c>
    </row>
    <row r="2915" spans="1:3" x14ac:dyDescent="0.2">
      <c r="A2915" s="241">
        <v>39921</v>
      </c>
      <c r="B2915" s="242">
        <v>11.3</v>
      </c>
      <c r="C2915" s="238">
        <v>13</v>
      </c>
    </row>
    <row r="2916" spans="1:3" x14ac:dyDescent="0.2">
      <c r="A2916" s="241">
        <v>39922</v>
      </c>
      <c r="B2916" s="242">
        <v>12.6</v>
      </c>
      <c r="C2916" s="238">
        <v>10.199999999999999</v>
      </c>
    </row>
    <row r="2917" spans="1:3" x14ac:dyDescent="0.2">
      <c r="A2917" s="241">
        <v>39923</v>
      </c>
      <c r="B2917" s="242">
        <v>11.7</v>
      </c>
      <c r="C2917" s="238">
        <v>12.8</v>
      </c>
    </row>
    <row r="2918" spans="1:3" x14ac:dyDescent="0.2">
      <c r="A2918" s="241">
        <v>39924</v>
      </c>
      <c r="B2918" s="242">
        <v>8.4</v>
      </c>
      <c r="C2918" s="238">
        <v>12.4</v>
      </c>
    </row>
    <row r="2919" spans="1:3" x14ac:dyDescent="0.2">
      <c r="A2919" s="241">
        <v>39925</v>
      </c>
      <c r="B2919" s="242">
        <v>8.8000000000000007</v>
      </c>
      <c r="C2919" s="238">
        <v>12.5</v>
      </c>
    </row>
    <row r="2920" spans="1:3" x14ac:dyDescent="0.2">
      <c r="A2920" s="241">
        <v>39926</v>
      </c>
      <c r="B2920" s="242">
        <v>6.8</v>
      </c>
      <c r="C2920" s="238">
        <v>9.4</v>
      </c>
    </row>
    <row r="2921" spans="1:3" x14ac:dyDescent="0.2">
      <c r="A2921" s="241">
        <v>39927</v>
      </c>
      <c r="B2921" s="242">
        <v>13.6</v>
      </c>
      <c r="C2921" s="238">
        <v>13.1</v>
      </c>
    </row>
    <row r="2922" spans="1:3" x14ac:dyDescent="0.2">
      <c r="A2922" s="241">
        <v>39928</v>
      </c>
      <c r="B2922" s="242">
        <v>12.9</v>
      </c>
      <c r="C2922" s="238">
        <v>9.1</v>
      </c>
    </row>
    <row r="2923" spans="1:3" x14ac:dyDescent="0.2">
      <c r="A2923" s="241">
        <v>39929</v>
      </c>
      <c r="B2923" s="242">
        <v>11.1</v>
      </c>
      <c r="C2923" s="238">
        <v>2</v>
      </c>
    </row>
    <row r="2924" spans="1:3" x14ac:dyDescent="0.2">
      <c r="A2924" s="241">
        <v>39930</v>
      </c>
      <c r="B2924" s="242">
        <v>11.6</v>
      </c>
      <c r="C2924" s="238">
        <v>4.7</v>
      </c>
    </row>
    <row r="2925" spans="1:3" x14ac:dyDescent="0.2">
      <c r="A2925" s="241">
        <v>39931</v>
      </c>
      <c r="B2925" s="242">
        <v>8.9</v>
      </c>
      <c r="C2925" s="238">
        <v>2.5</v>
      </c>
    </row>
    <row r="2926" spans="1:3" x14ac:dyDescent="0.2">
      <c r="A2926" s="241">
        <v>39932</v>
      </c>
      <c r="B2926" s="242">
        <v>10.3</v>
      </c>
      <c r="C2926" s="238">
        <v>5.7</v>
      </c>
    </row>
    <row r="2927" spans="1:3" x14ac:dyDescent="0.2">
      <c r="A2927" s="241">
        <v>39933</v>
      </c>
      <c r="B2927" s="242">
        <v>12.1</v>
      </c>
      <c r="C2927" s="238">
        <v>12.8</v>
      </c>
    </row>
    <row r="2928" spans="1:3" x14ac:dyDescent="0.2">
      <c r="A2928" s="241">
        <v>39934</v>
      </c>
      <c r="B2928" s="242">
        <v>12.2</v>
      </c>
      <c r="C2928" s="238">
        <v>11.8</v>
      </c>
    </row>
    <row r="2929" spans="1:3" x14ac:dyDescent="0.2">
      <c r="A2929" s="241">
        <v>39935</v>
      </c>
      <c r="B2929" s="242">
        <v>11.5</v>
      </c>
      <c r="C2929" s="238">
        <v>12</v>
      </c>
    </row>
    <row r="2930" spans="1:3" x14ac:dyDescent="0.2">
      <c r="A2930" s="241">
        <v>39936</v>
      </c>
      <c r="B2930" s="242">
        <v>10.1</v>
      </c>
      <c r="C2930" s="238">
        <v>5.6</v>
      </c>
    </row>
    <row r="2931" spans="1:3" x14ac:dyDescent="0.2">
      <c r="A2931" s="241">
        <v>39937</v>
      </c>
      <c r="B2931" s="242">
        <v>10.5</v>
      </c>
      <c r="C2931" s="238">
        <v>10.3</v>
      </c>
    </row>
    <row r="2932" spans="1:3" x14ac:dyDescent="0.2">
      <c r="A2932" s="241">
        <v>39938</v>
      </c>
      <c r="B2932" s="242">
        <v>11.5</v>
      </c>
      <c r="C2932" s="238">
        <v>0.2</v>
      </c>
    </row>
    <row r="2933" spans="1:3" x14ac:dyDescent="0.2">
      <c r="A2933" s="241">
        <v>39939</v>
      </c>
      <c r="B2933" s="242">
        <v>11.8</v>
      </c>
      <c r="C2933" s="238">
        <v>0.6</v>
      </c>
    </row>
    <row r="2934" spans="1:3" x14ac:dyDescent="0.2">
      <c r="A2934" s="241">
        <v>39940</v>
      </c>
      <c r="B2934" s="242">
        <v>11.9</v>
      </c>
      <c r="C2934" s="238">
        <v>7</v>
      </c>
    </row>
    <row r="2935" spans="1:3" x14ac:dyDescent="0.2">
      <c r="A2935" s="241">
        <v>39941</v>
      </c>
      <c r="B2935" s="242">
        <v>11.7</v>
      </c>
      <c r="C2935" s="238">
        <v>9.4</v>
      </c>
    </row>
    <row r="2936" spans="1:3" x14ac:dyDescent="0.2">
      <c r="A2936" s="241">
        <v>39942</v>
      </c>
      <c r="B2936" s="242">
        <v>10.8</v>
      </c>
      <c r="C2936" s="238">
        <v>6.5</v>
      </c>
    </row>
    <row r="2937" spans="1:3" x14ac:dyDescent="0.2">
      <c r="A2937" s="241">
        <v>39943</v>
      </c>
      <c r="B2937" s="242">
        <v>11.6</v>
      </c>
      <c r="C2937" s="238">
        <v>11.9</v>
      </c>
    </row>
    <row r="2938" spans="1:3" x14ac:dyDescent="0.2">
      <c r="A2938" s="241">
        <v>39944</v>
      </c>
      <c r="B2938" s="242">
        <v>10.8</v>
      </c>
      <c r="C2938" s="238">
        <v>11.3</v>
      </c>
    </row>
    <row r="2939" spans="1:3" x14ac:dyDescent="0.2">
      <c r="A2939" s="241">
        <v>39945</v>
      </c>
      <c r="B2939" s="242">
        <v>12.7</v>
      </c>
      <c r="C2939" s="238">
        <v>14.3</v>
      </c>
    </row>
    <row r="2940" spans="1:3" x14ac:dyDescent="0.2">
      <c r="A2940" s="241">
        <v>39946</v>
      </c>
      <c r="B2940" s="242">
        <v>15.6</v>
      </c>
      <c r="C2940" s="238">
        <v>10.6</v>
      </c>
    </row>
    <row r="2941" spans="1:3" x14ac:dyDescent="0.2">
      <c r="A2941" s="241">
        <v>39947</v>
      </c>
      <c r="B2941" s="242">
        <v>14</v>
      </c>
      <c r="C2941" s="238">
        <v>5.6</v>
      </c>
    </row>
    <row r="2942" spans="1:3" x14ac:dyDescent="0.2">
      <c r="A2942" s="241">
        <v>39948</v>
      </c>
      <c r="B2942" s="242">
        <v>12.5</v>
      </c>
      <c r="C2942" s="238">
        <v>1.5</v>
      </c>
    </row>
    <row r="2943" spans="1:3" x14ac:dyDescent="0.2">
      <c r="A2943" s="241">
        <v>39949</v>
      </c>
      <c r="B2943" s="242">
        <v>12.4</v>
      </c>
      <c r="C2943" s="238">
        <v>5.2</v>
      </c>
    </row>
    <row r="2944" spans="1:3" x14ac:dyDescent="0.2">
      <c r="A2944" s="241">
        <v>39950</v>
      </c>
      <c r="B2944" s="242">
        <v>12.5</v>
      </c>
      <c r="C2944" s="238">
        <v>2.8</v>
      </c>
    </row>
    <row r="2945" spans="1:3" x14ac:dyDescent="0.2">
      <c r="A2945" s="241">
        <v>39951</v>
      </c>
      <c r="B2945" s="242">
        <v>13.3</v>
      </c>
      <c r="C2945" s="238">
        <v>11.2</v>
      </c>
    </row>
    <row r="2946" spans="1:3" x14ac:dyDescent="0.2">
      <c r="A2946" s="241">
        <v>39952</v>
      </c>
      <c r="B2946" s="242">
        <v>13.9</v>
      </c>
      <c r="C2946" s="238">
        <v>8.1999999999999993</v>
      </c>
    </row>
    <row r="2947" spans="1:3" x14ac:dyDescent="0.2">
      <c r="A2947" s="241">
        <v>39953</v>
      </c>
      <c r="B2947" s="242">
        <v>13.3</v>
      </c>
      <c r="C2947" s="238">
        <v>13.2</v>
      </c>
    </row>
    <row r="2948" spans="1:3" x14ac:dyDescent="0.2">
      <c r="A2948" s="241">
        <v>39954</v>
      </c>
      <c r="B2948" s="242">
        <v>13.1</v>
      </c>
      <c r="C2948" s="238">
        <v>8</v>
      </c>
    </row>
    <row r="2949" spans="1:3" x14ac:dyDescent="0.2">
      <c r="A2949" s="241">
        <v>39955</v>
      </c>
      <c r="B2949" s="242">
        <v>12.4</v>
      </c>
      <c r="C2949" s="238">
        <v>11.7</v>
      </c>
    </row>
    <row r="2950" spans="1:3" x14ac:dyDescent="0.2">
      <c r="A2950" s="241">
        <v>39956</v>
      </c>
      <c r="B2950" s="242">
        <v>16</v>
      </c>
      <c r="C2950" s="238">
        <v>6.2</v>
      </c>
    </row>
    <row r="2951" spans="1:3" x14ac:dyDescent="0.2">
      <c r="A2951" s="241">
        <v>39957</v>
      </c>
      <c r="B2951" s="242">
        <v>13</v>
      </c>
      <c r="C2951" s="238">
        <v>14.8</v>
      </c>
    </row>
    <row r="2952" spans="1:3" x14ac:dyDescent="0.2">
      <c r="A2952" s="241">
        <v>39958</v>
      </c>
      <c r="B2952" s="242">
        <v>16.8</v>
      </c>
      <c r="C2952" s="238">
        <v>8.9</v>
      </c>
    </row>
    <row r="2953" spans="1:3" x14ac:dyDescent="0.2">
      <c r="A2953" s="241">
        <v>39959</v>
      </c>
      <c r="B2953" s="242">
        <v>13.4</v>
      </c>
      <c r="C2953" s="238">
        <v>1.5</v>
      </c>
    </row>
    <row r="2954" spans="1:3" x14ac:dyDescent="0.2">
      <c r="A2954" s="241">
        <v>39960</v>
      </c>
      <c r="B2954" s="242">
        <v>12.7</v>
      </c>
      <c r="C2954" s="238">
        <v>4</v>
      </c>
    </row>
    <row r="2955" spans="1:3" x14ac:dyDescent="0.2">
      <c r="A2955" s="241">
        <v>39961</v>
      </c>
      <c r="B2955" s="242">
        <v>13.8</v>
      </c>
      <c r="C2955" s="238">
        <v>13</v>
      </c>
    </row>
    <row r="2956" spans="1:3" x14ac:dyDescent="0.2">
      <c r="A2956" s="241">
        <v>39962</v>
      </c>
      <c r="B2956" s="242">
        <v>14.3</v>
      </c>
      <c r="C2956" s="238">
        <v>15.2</v>
      </c>
    </row>
    <row r="2957" spans="1:3" x14ac:dyDescent="0.2">
      <c r="A2957" s="241">
        <v>39963</v>
      </c>
      <c r="B2957" s="242">
        <v>16</v>
      </c>
      <c r="C2957" s="238">
        <v>15.2</v>
      </c>
    </row>
    <row r="2958" spans="1:3" x14ac:dyDescent="0.2">
      <c r="A2958" s="241">
        <v>39964</v>
      </c>
      <c r="B2958" s="242">
        <v>18.2</v>
      </c>
      <c r="C2958" s="238">
        <v>14.2</v>
      </c>
    </row>
    <row r="2959" spans="1:3" x14ac:dyDescent="0.2">
      <c r="A2959" s="241">
        <v>39965</v>
      </c>
      <c r="B2959" s="242">
        <v>18</v>
      </c>
      <c r="C2959" s="238">
        <v>15.1</v>
      </c>
    </row>
    <row r="2960" spans="1:3" x14ac:dyDescent="0.2">
      <c r="A2960" s="241">
        <v>39966</v>
      </c>
      <c r="B2960" s="242">
        <v>14.3</v>
      </c>
      <c r="C2960" s="238">
        <v>13.9</v>
      </c>
    </row>
    <row r="2961" spans="1:3" x14ac:dyDescent="0.2">
      <c r="A2961" s="241">
        <v>39967</v>
      </c>
      <c r="B2961" s="242">
        <v>12.4</v>
      </c>
      <c r="C2961" s="238">
        <v>6.3</v>
      </c>
    </row>
    <row r="2962" spans="1:3" x14ac:dyDescent="0.2">
      <c r="A2962" s="241">
        <v>39968</v>
      </c>
      <c r="B2962" s="242">
        <v>10.8</v>
      </c>
      <c r="C2962" s="238">
        <v>5.3</v>
      </c>
    </row>
    <row r="2963" spans="1:3" x14ac:dyDescent="0.2">
      <c r="A2963" s="241">
        <v>39969</v>
      </c>
      <c r="B2963" s="242">
        <v>10.8</v>
      </c>
      <c r="C2963" s="238">
        <v>11.5</v>
      </c>
    </row>
    <row r="2964" spans="1:3" x14ac:dyDescent="0.2">
      <c r="A2964" s="241">
        <v>39970</v>
      </c>
      <c r="B2964" s="242">
        <v>12.6</v>
      </c>
      <c r="C2964" s="238">
        <v>11.9</v>
      </c>
    </row>
    <row r="2965" spans="1:3" x14ac:dyDescent="0.2">
      <c r="A2965" s="241">
        <v>39971</v>
      </c>
      <c r="B2965" s="242">
        <v>12.1</v>
      </c>
      <c r="C2965" s="238">
        <v>1.9</v>
      </c>
    </row>
    <row r="2966" spans="1:3" x14ac:dyDescent="0.2">
      <c r="A2966" s="241">
        <v>39972</v>
      </c>
      <c r="B2966" s="242">
        <v>13.9</v>
      </c>
      <c r="C2966" s="238">
        <v>11</v>
      </c>
    </row>
    <row r="2967" spans="1:3" x14ac:dyDescent="0.2">
      <c r="A2967" s="241">
        <v>39973</v>
      </c>
      <c r="B2967" s="242">
        <v>13.8</v>
      </c>
      <c r="C2967" s="238">
        <v>7.3</v>
      </c>
    </row>
    <row r="2968" spans="1:3" x14ac:dyDescent="0.2">
      <c r="A2968" s="241">
        <v>39974</v>
      </c>
      <c r="B2968" s="242">
        <v>13.9</v>
      </c>
      <c r="C2968" s="238">
        <v>5.7</v>
      </c>
    </row>
    <row r="2969" spans="1:3" x14ac:dyDescent="0.2">
      <c r="A2969" s="241">
        <v>39975</v>
      </c>
      <c r="B2969" s="242">
        <v>13</v>
      </c>
      <c r="C2969" s="238">
        <v>5.5</v>
      </c>
    </row>
    <row r="2970" spans="1:3" x14ac:dyDescent="0.2">
      <c r="A2970" s="241">
        <v>39976</v>
      </c>
      <c r="B2970" s="242">
        <v>12.4</v>
      </c>
      <c r="C2970" s="238">
        <v>14.2</v>
      </c>
    </row>
    <row r="2971" spans="1:3" x14ac:dyDescent="0.2">
      <c r="A2971" s="241">
        <v>39977</v>
      </c>
      <c r="B2971" s="242">
        <v>13.7</v>
      </c>
      <c r="C2971" s="238">
        <v>12.4</v>
      </c>
    </row>
    <row r="2972" spans="1:3" x14ac:dyDescent="0.2">
      <c r="A2972" s="241">
        <v>39978</v>
      </c>
      <c r="B2972" s="242">
        <v>16.600000000000001</v>
      </c>
      <c r="C2972" s="238">
        <v>10.199999999999999</v>
      </c>
    </row>
    <row r="2973" spans="1:3" x14ac:dyDescent="0.2">
      <c r="A2973" s="241">
        <v>39979</v>
      </c>
      <c r="B2973" s="242">
        <v>15.6</v>
      </c>
      <c r="C2973" s="238">
        <v>6.5</v>
      </c>
    </row>
    <row r="2974" spans="1:3" x14ac:dyDescent="0.2">
      <c r="A2974" s="241">
        <v>39980</v>
      </c>
      <c r="B2974" s="242">
        <v>13.4</v>
      </c>
      <c r="C2974" s="238">
        <v>8</v>
      </c>
    </row>
    <row r="2975" spans="1:3" x14ac:dyDescent="0.2">
      <c r="A2975" s="241">
        <v>39981</v>
      </c>
      <c r="B2975" s="242">
        <v>17</v>
      </c>
      <c r="C2975" s="238">
        <v>8.3000000000000007</v>
      </c>
    </row>
    <row r="2976" spans="1:3" x14ac:dyDescent="0.2">
      <c r="A2976" s="241">
        <v>39982</v>
      </c>
      <c r="B2976" s="242">
        <v>15.9</v>
      </c>
      <c r="C2976" s="238">
        <v>7.9</v>
      </c>
    </row>
    <row r="2977" spans="1:3" x14ac:dyDescent="0.2">
      <c r="A2977" s="241">
        <v>39983</v>
      </c>
      <c r="B2977" s="242">
        <v>14.9</v>
      </c>
      <c r="C2977" s="238">
        <v>10.6</v>
      </c>
    </row>
    <row r="2978" spans="1:3" x14ac:dyDescent="0.2">
      <c r="A2978" s="241">
        <v>39984</v>
      </c>
      <c r="B2978" s="242">
        <v>14.5</v>
      </c>
      <c r="C2978" s="238">
        <v>7.9</v>
      </c>
    </row>
    <row r="2979" spans="1:3" x14ac:dyDescent="0.2">
      <c r="A2979" s="241">
        <v>39985</v>
      </c>
      <c r="B2979" s="242">
        <v>13.5</v>
      </c>
      <c r="C2979" s="238">
        <v>13.1</v>
      </c>
    </row>
    <row r="2980" spans="1:3" x14ac:dyDescent="0.2">
      <c r="A2980" s="241">
        <v>39986</v>
      </c>
      <c r="B2980" s="242">
        <v>12.9</v>
      </c>
      <c r="C2980" s="238">
        <v>10.7</v>
      </c>
    </row>
    <row r="2981" spans="1:3" x14ac:dyDescent="0.2">
      <c r="A2981" s="241">
        <v>39987</v>
      </c>
      <c r="B2981" s="242">
        <v>15.9</v>
      </c>
      <c r="C2981" s="238">
        <v>15.5</v>
      </c>
    </row>
    <row r="2982" spans="1:3" x14ac:dyDescent="0.2">
      <c r="A2982" s="241">
        <v>39988</v>
      </c>
      <c r="B2982" s="242">
        <v>17.100000000000001</v>
      </c>
      <c r="C2982" s="238">
        <v>14.4</v>
      </c>
    </row>
    <row r="2983" spans="1:3" x14ac:dyDescent="0.2">
      <c r="A2983" s="241">
        <v>39989</v>
      </c>
      <c r="B2983" s="242">
        <v>19.8</v>
      </c>
      <c r="C2983" s="238">
        <v>12.1</v>
      </c>
    </row>
    <row r="2984" spans="1:3" x14ac:dyDescent="0.2">
      <c r="A2984" s="241">
        <v>39990</v>
      </c>
      <c r="B2984" s="242">
        <v>20.100000000000001</v>
      </c>
      <c r="C2984" s="238">
        <v>7.3</v>
      </c>
    </row>
    <row r="2985" spans="1:3" x14ac:dyDescent="0.2">
      <c r="A2985" s="241">
        <v>39991</v>
      </c>
      <c r="B2985" s="242">
        <v>19.5</v>
      </c>
      <c r="C2985" s="238">
        <v>1.6</v>
      </c>
    </row>
    <row r="2986" spans="1:3" x14ac:dyDescent="0.2">
      <c r="A2986" s="241">
        <v>39992</v>
      </c>
      <c r="B2986" s="242">
        <v>17.2</v>
      </c>
      <c r="C2986" s="238">
        <v>1.7</v>
      </c>
    </row>
    <row r="2987" spans="1:3" x14ac:dyDescent="0.2">
      <c r="A2987" s="241">
        <v>39993</v>
      </c>
      <c r="B2987" s="242">
        <v>17.8</v>
      </c>
      <c r="C2987" s="238">
        <v>10.8</v>
      </c>
    </row>
    <row r="2988" spans="1:3" x14ac:dyDescent="0.2">
      <c r="A2988" s="241">
        <v>39994</v>
      </c>
      <c r="B2988" s="242">
        <v>17</v>
      </c>
      <c r="C2988" s="238">
        <v>10.6</v>
      </c>
    </row>
    <row r="2989" spans="1:3" x14ac:dyDescent="0.2">
      <c r="A2989" s="241">
        <v>39995</v>
      </c>
      <c r="B2989" s="242">
        <v>19.3</v>
      </c>
      <c r="C2989" s="238">
        <v>10.8</v>
      </c>
    </row>
    <row r="2990" spans="1:3" x14ac:dyDescent="0.2">
      <c r="A2990" s="241">
        <v>39996</v>
      </c>
      <c r="B2990" s="242">
        <v>22.5</v>
      </c>
      <c r="C2990" s="238">
        <v>15</v>
      </c>
    </row>
    <row r="2991" spans="1:3" x14ac:dyDescent="0.2">
      <c r="A2991" s="241">
        <v>39997</v>
      </c>
      <c r="B2991" s="242">
        <v>20.2</v>
      </c>
      <c r="C2991" s="238">
        <v>7.3</v>
      </c>
    </row>
    <row r="2992" spans="1:3" x14ac:dyDescent="0.2">
      <c r="A2992" s="241">
        <v>39998</v>
      </c>
      <c r="B2992" s="242">
        <v>18</v>
      </c>
      <c r="C2992" s="238">
        <v>15.5</v>
      </c>
    </row>
    <row r="2993" spans="1:3" x14ac:dyDescent="0.2">
      <c r="A2993" s="241">
        <v>39999</v>
      </c>
      <c r="B2993" s="242">
        <v>19</v>
      </c>
      <c r="C2993" s="238">
        <v>7.1</v>
      </c>
    </row>
    <row r="2994" spans="1:3" x14ac:dyDescent="0.2">
      <c r="A2994" s="241">
        <v>40000</v>
      </c>
      <c r="B2994" s="242">
        <v>18.2</v>
      </c>
      <c r="C2994" s="238">
        <v>13</v>
      </c>
    </row>
    <row r="2995" spans="1:3" x14ac:dyDescent="0.2">
      <c r="A2995" s="241">
        <v>40001</v>
      </c>
      <c r="B2995" s="242">
        <v>17.100000000000001</v>
      </c>
      <c r="C2995" s="238">
        <v>9.1</v>
      </c>
    </row>
    <row r="2996" spans="1:3" x14ac:dyDescent="0.2">
      <c r="A2996" s="241">
        <v>40002</v>
      </c>
      <c r="B2996" s="242">
        <v>16</v>
      </c>
      <c r="C2996" s="238">
        <v>4.5999999999999996</v>
      </c>
    </row>
    <row r="2997" spans="1:3" x14ac:dyDescent="0.2">
      <c r="A2997" s="241">
        <v>40003</v>
      </c>
      <c r="B2997" s="242">
        <v>15.4</v>
      </c>
      <c r="C2997" s="238">
        <v>7.6</v>
      </c>
    </row>
    <row r="2998" spans="1:3" x14ac:dyDescent="0.2">
      <c r="A2998" s="241">
        <v>40004</v>
      </c>
      <c r="B2998" s="242">
        <v>15</v>
      </c>
      <c r="C2998" s="238">
        <v>3.8</v>
      </c>
    </row>
    <row r="2999" spans="1:3" x14ac:dyDescent="0.2">
      <c r="A2999" s="241">
        <v>40005</v>
      </c>
      <c r="B2999" s="242">
        <v>16.399999999999999</v>
      </c>
      <c r="C2999" s="238">
        <v>8.9</v>
      </c>
    </row>
    <row r="3000" spans="1:3" x14ac:dyDescent="0.2">
      <c r="A3000" s="241">
        <v>40006</v>
      </c>
      <c r="B3000" s="242">
        <v>17.2</v>
      </c>
      <c r="C3000" s="238">
        <v>3.6</v>
      </c>
    </row>
    <row r="3001" spans="1:3" x14ac:dyDescent="0.2">
      <c r="A3001" s="241">
        <v>40007</v>
      </c>
      <c r="B3001" s="242">
        <v>18.600000000000001</v>
      </c>
      <c r="C3001" s="238">
        <v>13.7</v>
      </c>
    </row>
    <row r="3002" spans="1:3" x14ac:dyDescent="0.2">
      <c r="A3002" s="241">
        <v>40008</v>
      </c>
      <c r="B3002" s="242">
        <v>19.100000000000001</v>
      </c>
      <c r="C3002" s="238">
        <v>7.9</v>
      </c>
    </row>
    <row r="3003" spans="1:3" x14ac:dyDescent="0.2">
      <c r="A3003" s="241">
        <v>40009</v>
      </c>
      <c r="B3003" s="242">
        <v>18.8</v>
      </c>
      <c r="C3003" s="238">
        <v>12.5</v>
      </c>
    </row>
    <row r="3004" spans="1:3" x14ac:dyDescent="0.2">
      <c r="A3004" s="241">
        <v>40010</v>
      </c>
      <c r="B3004" s="242">
        <v>19.3</v>
      </c>
      <c r="C3004" s="238">
        <v>11.4</v>
      </c>
    </row>
    <row r="3005" spans="1:3" x14ac:dyDescent="0.2">
      <c r="A3005" s="241">
        <v>40011</v>
      </c>
      <c r="B3005" s="242">
        <v>18.399999999999999</v>
      </c>
      <c r="C3005" s="238">
        <v>6.7</v>
      </c>
    </row>
    <row r="3006" spans="1:3" x14ac:dyDescent="0.2">
      <c r="A3006" s="241">
        <v>40012</v>
      </c>
      <c r="B3006" s="242">
        <v>16.600000000000001</v>
      </c>
      <c r="C3006" s="238">
        <v>3.7</v>
      </c>
    </row>
    <row r="3007" spans="1:3" x14ac:dyDescent="0.2">
      <c r="A3007" s="241">
        <v>40013</v>
      </c>
      <c r="B3007" s="242">
        <v>17.600000000000001</v>
      </c>
      <c r="C3007" s="238">
        <v>9.1999999999999993</v>
      </c>
    </row>
    <row r="3008" spans="1:3" x14ac:dyDescent="0.2">
      <c r="A3008" s="241">
        <v>40014</v>
      </c>
      <c r="B3008" s="242">
        <v>17.3</v>
      </c>
      <c r="C3008" s="238">
        <v>9.5</v>
      </c>
    </row>
    <row r="3009" spans="1:3" x14ac:dyDescent="0.2">
      <c r="A3009" s="241">
        <v>40015</v>
      </c>
      <c r="B3009" s="242">
        <v>20.100000000000001</v>
      </c>
      <c r="C3009" s="238">
        <v>5.9</v>
      </c>
    </row>
    <row r="3010" spans="1:3" x14ac:dyDescent="0.2">
      <c r="A3010" s="241">
        <v>40016</v>
      </c>
      <c r="B3010" s="242">
        <v>18.899999999999999</v>
      </c>
      <c r="C3010" s="238">
        <v>5.5</v>
      </c>
    </row>
    <row r="3011" spans="1:3" x14ac:dyDescent="0.2">
      <c r="A3011" s="241">
        <v>40017</v>
      </c>
      <c r="B3011" s="242">
        <v>17.8</v>
      </c>
      <c r="C3011" s="238">
        <v>6</v>
      </c>
    </row>
    <row r="3012" spans="1:3" x14ac:dyDescent="0.2">
      <c r="A3012" s="241">
        <v>40018</v>
      </c>
      <c r="B3012" s="242">
        <v>17.5</v>
      </c>
      <c r="C3012" s="238">
        <v>7.7</v>
      </c>
    </row>
    <row r="3013" spans="1:3" x14ac:dyDescent="0.2">
      <c r="A3013" s="241">
        <v>40019</v>
      </c>
      <c r="B3013" s="242">
        <v>17.2</v>
      </c>
      <c r="C3013" s="238">
        <v>11.2</v>
      </c>
    </row>
    <row r="3014" spans="1:3" x14ac:dyDescent="0.2">
      <c r="A3014" s="241">
        <v>40020</v>
      </c>
      <c r="B3014" s="242">
        <v>18.7</v>
      </c>
      <c r="C3014" s="238">
        <v>4.9000000000000004</v>
      </c>
    </row>
    <row r="3015" spans="1:3" x14ac:dyDescent="0.2">
      <c r="A3015" s="241">
        <v>40021</v>
      </c>
      <c r="B3015" s="242">
        <v>17.600000000000001</v>
      </c>
      <c r="C3015" s="238">
        <v>4.3</v>
      </c>
    </row>
    <row r="3016" spans="1:3" x14ac:dyDescent="0.2">
      <c r="A3016" s="241">
        <v>40022</v>
      </c>
      <c r="B3016" s="242">
        <v>18.3</v>
      </c>
      <c r="C3016" s="238">
        <v>12.4</v>
      </c>
    </row>
    <row r="3017" spans="1:3" x14ac:dyDescent="0.2">
      <c r="A3017" s="241">
        <v>40023</v>
      </c>
      <c r="B3017" s="242">
        <v>19.399999999999999</v>
      </c>
      <c r="C3017" s="238">
        <v>3</v>
      </c>
    </row>
    <row r="3018" spans="1:3" x14ac:dyDescent="0.2">
      <c r="A3018" s="241">
        <v>40024</v>
      </c>
      <c r="B3018" s="242">
        <v>16.399999999999999</v>
      </c>
      <c r="C3018" s="238">
        <v>9.8000000000000007</v>
      </c>
    </row>
    <row r="3019" spans="1:3" x14ac:dyDescent="0.2">
      <c r="A3019" s="241">
        <v>40025</v>
      </c>
      <c r="B3019" s="242">
        <v>17.3</v>
      </c>
      <c r="C3019" s="238">
        <v>11.4</v>
      </c>
    </row>
    <row r="3020" spans="1:3" x14ac:dyDescent="0.2">
      <c r="A3020" s="241">
        <v>40026</v>
      </c>
      <c r="B3020" s="242">
        <v>20.9</v>
      </c>
      <c r="C3020" s="238">
        <v>4</v>
      </c>
    </row>
    <row r="3021" spans="1:3" x14ac:dyDescent="0.2">
      <c r="A3021" s="241">
        <v>40027</v>
      </c>
      <c r="B3021" s="242">
        <v>17.3</v>
      </c>
      <c r="C3021" s="238">
        <v>5.2</v>
      </c>
    </row>
    <row r="3022" spans="1:3" x14ac:dyDescent="0.2">
      <c r="A3022" s="241">
        <v>40028</v>
      </c>
      <c r="B3022" s="242">
        <v>16.2</v>
      </c>
      <c r="C3022" s="238">
        <v>10.3</v>
      </c>
    </row>
    <row r="3023" spans="1:3" x14ac:dyDescent="0.2">
      <c r="A3023" s="241">
        <v>40029</v>
      </c>
      <c r="B3023" s="242">
        <v>19.899999999999999</v>
      </c>
      <c r="C3023" s="238">
        <v>8.1999999999999993</v>
      </c>
    </row>
    <row r="3024" spans="1:3" x14ac:dyDescent="0.2">
      <c r="A3024" s="241">
        <v>40030</v>
      </c>
      <c r="B3024" s="242">
        <v>22.2</v>
      </c>
      <c r="C3024" s="238">
        <v>7.8</v>
      </c>
    </row>
    <row r="3025" spans="1:3" x14ac:dyDescent="0.2">
      <c r="A3025" s="241">
        <v>40031</v>
      </c>
      <c r="B3025" s="242">
        <v>23.6</v>
      </c>
      <c r="C3025" s="238">
        <v>12.6</v>
      </c>
    </row>
    <row r="3026" spans="1:3" x14ac:dyDescent="0.2">
      <c r="A3026" s="241">
        <v>40032</v>
      </c>
      <c r="B3026" s="242">
        <v>20.2</v>
      </c>
      <c r="C3026" s="238">
        <v>5.0999999999999996</v>
      </c>
    </row>
    <row r="3027" spans="1:3" x14ac:dyDescent="0.2">
      <c r="A3027" s="241">
        <v>40033</v>
      </c>
      <c r="B3027" s="242">
        <v>17.7</v>
      </c>
      <c r="C3027" s="238">
        <v>8.6</v>
      </c>
    </row>
    <row r="3028" spans="1:3" x14ac:dyDescent="0.2">
      <c r="A3028" s="241">
        <v>40034</v>
      </c>
      <c r="B3028" s="242">
        <v>16.100000000000001</v>
      </c>
      <c r="C3028" s="238">
        <v>8.9</v>
      </c>
    </row>
    <row r="3029" spans="1:3" x14ac:dyDescent="0.2">
      <c r="A3029" s="241">
        <v>40035</v>
      </c>
      <c r="B3029" s="242">
        <v>16.899999999999999</v>
      </c>
      <c r="C3029" s="238">
        <v>6.5</v>
      </c>
    </row>
    <row r="3030" spans="1:3" x14ac:dyDescent="0.2">
      <c r="A3030" s="241">
        <v>40036</v>
      </c>
      <c r="B3030" s="242">
        <v>18.600000000000001</v>
      </c>
      <c r="C3030" s="238">
        <v>6.5</v>
      </c>
    </row>
    <row r="3031" spans="1:3" x14ac:dyDescent="0.2">
      <c r="A3031" s="241">
        <v>40037</v>
      </c>
      <c r="B3031" s="242">
        <v>18.3</v>
      </c>
      <c r="C3031" s="238">
        <v>1.3</v>
      </c>
    </row>
    <row r="3032" spans="1:3" x14ac:dyDescent="0.2">
      <c r="A3032" s="241">
        <v>40038</v>
      </c>
      <c r="B3032" s="242">
        <v>17.7</v>
      </c>
      <c r="C3032" s="238">
        <v>9.1999999999999993</v>
      </c>
    </row>
    <row r="3033" spans="1:3" x14ac:dyDescent="0.2">
      <c r="A3033" s="241">
        <v>40039</v>
      </c>
      <c r="B3033" s="242">
        <v>17.600000000000001</v>
      </c>
      <c r="C3033" s="238">
        <v>9.6999999999999993</v>
      </c>
    </row>
    <row r="3034" spans="1:3" x14ac:dyDescent="0.2">
      <c r="A3034" s="241">
        <v>40040</v>
      </c>
      <c r="B3034" s="242">
        <v>19.899999999999999</v>
      </c>
      <c r="C3034" s="238">
        <v>10.4</v>
      </c>
    </row>
    <row r="3035" spans="1:3" x14ac:dyDescent="0.2">
      <c r="A3035" s="241">
        <v>40041</v>
      </c>
      <c r="B3035" s="242">
        <v>19.5</v>
      </c>
      <c r="C3035" s="238">
        <v>10.4</v>
      </c>
    </row>
    <row r="3036" spans="1:3" x14ac:dyDescent="0.2">
      <c r="A3036" s="241">
        <v>40042</v>
      </c>
      <c r="B3036" s="242">
        <v>18.8</v>
      </c>
      <c r="C3036" s="238">
        <v>8.6</v>
      </c>
    </row>
    <row r="3037" spans="1:3" x14ac:dyDescent="0.2">
      <c r="A3037" s="241">
        <v>40043</v>
      </c>
      <c r="B3037" s="242">
        <v>19.8</v>
      </c>
      <c r="C3037" s="238">
        <v>10</v>
      </c>
    </row>
    <row r="3038" spans="1:3" x14ac:dyDescent="0.2">
      <c r="A3038" s="241">
        <v>40044</v>
      </c>
      <c r="B3038" s="242">
        <v>21.2</v>
      </c>
      <c r="C3038" s="238">
        <v>10.3</v>
      </c>
    </row>
    <row r="3039" spans="1:3" x14ac:dyDescent="0.2">
      <c r="A3039" s="241">
        <v>40045</v>
      </c>
      <c r="B3039" s="242">
        <v>23</v>
      </c>
      <c r="C3039" s="238">
        <v>6.1</v>
      </c>
    </row>
    <row r="3040" spans="1:3" x14ac:dyDescent="0.2">
      <c r="A3040" s="241">
        <v>40046</v>
      </c>
      <c r="B3040" s="242">
        <v>18.7</v>
      </c>
      <c r="C3040" s="238">
        <v>6.9</v>
      </c>
    </row>
    <row r="3041" spans="1:3" x14ac:dyDescent="0.2">
      <c r="A3041" s="241">
        <v>40047</v>
      </c>
      <c r="B3041" s="242">
        <v>17</v>
      </c>
      <c r="C3041" s="238">
        <v>12.6</v>
      </c>
    </row>
    <row r="3042" spans="1:3" x14ac:dyDescent="0.2">
      <c r="A3042" s="241">
        <v>40048</v>
      </c>
      <c r="B3042" s="242">
        <v>20.6</v>
      </c>
      <c r="C3042" s="238">
        <v>11.6</v>
      </c>
    </row>
    <row r="3043" spans="1:3" x14ac:dyDescent="0.2">
      <c r="A3043" s="241">
        <v>40049</v>
      </c>
      <c r="B3043" s="242">
        <v>21.7</v>
      </c>
      <c r="C3043" s="238">
        <v>9.3000000000000007</v>
      </c>
    </row>
    <row r="3044" spans="1:3" x14ac:dyDescent="0.2">
      <c r="A3044" s="241">
        <v>40050</v>
      </c>
      <c r="B3044" s="242">
        <v>18.3</v>
      </c>
      <c r="C3044" s="238">
        <v>1.2</v>
      </c>
    </row>
    <row r="3045" spans="1:3" x14ac:dyDescent="0.2">
      <c r="A3045" s="241">
        <v>40051</v>
      </c>
      <c r="B3045" s="242">
        <v>19.5</v>
      </c>
      <c r="C3045" s="238">
        <v>6.4</v>
      </c>
    </row>
    <row r="3046" spans="1:3" x14ac:dyDescent="0.2">
      <c r="A3046" s="241">
        <v>40052</v>
      </c>
      <c r="B3046" s="242">
        <v>19.899999999999999</v>
      </c>
      <c r="C3046" s="238">
        <v>2.8</v>
      </c>
    </row>
    <row r="3047" spans="1:3" x14ac:dyDescent="0.2">
      <c r="A3047" s="241">
        <v>40053</v>
      </c>
      <c r="B3047" s="242">
        <v>17.7</v>
      </c>
      <c r="C3047" s="238">
        <v>9.8000000000000007</v>
      </c>
    </row>
    <row r="3048" spans="1:3" x14ac:dyDescent="0.2">
      <c r="A3048" s="241">
        <v>40054</v>
      </c>
      <c r="B3048" s="242">
        <v>16.600000000000001</v>
      </c>
      <c r="C3048" s="238">
        <v>8.1</v>
      </c>
    </row>
    <row r="3049" spans="1:3" x14ac:dyDescent="0.2">
      <c r="A3049" s="241">
        <v>40055</v>
      </c>
      <c r="B3049" s="242">
        <v>17.3</v>
      </c>
      <c r="C3049" s="238">
        <v>10.199999999999999</v>
      </c>
    </row>
    <row r="3050" spans="1:3" x14ac:dyDescent="0.2">
      <c r="A3050" s="241">
        <v>40056</v>
      </c>
      <c r="B3050" s="242">
        <v>20.5</v>
      </c>
      <c r="C3050" s="238">
        <v>7.6</v>
      </c>
    </row>
    <row r="3051" spans="1:3" x14ac:dyDescent="0.2">
      <c r="A3051" s="241">
        <v>40057</v>
      </c>
      <c r="B3051" s="242">
        <v>19.100000000000001</v>
      </c>
      <c r="C3051" s="238">
        <v>4.4000000000000004</v>
      </c>
    </row>
    <row r="3052" spans="1:3" x14ac:dyDescent="0.2">
      <c r="A3052" s="241">
        <v>40058</v>
      </c>
      <c r="B3052" s="242">
        <v>17.2</v>
      </c>
      <c r="C3052" s="238">
        <v>2.4</v>
      </c>
    </row>
    <row r="3053" spans="1:3" x14ac:dyDescent="0.2">
      <c r="A3053" s="241">
        <v>40059</v>
      </c>
      <c r="B3053" s="242">
        <v>16.3</v>
      </c>
      <c r="C3053" s="238">
        <v>2.9</v>
      </c>
    </row>
    <row r="3054" spans="1:3" x14ac:dyDescent="0.2">
      <c r="A3054" s="241">
        <v>40060</v>
      </c>
      <c r="B3054" s="242">
        <v>15.7</v>
      </c>
      <c r="C3054" s="238">
        <v>7.3</v>
      </c>
    </row>
    <row r="3055" spans="1:3" x14ac:dyDescent="0.2">
      <c r="A3055" s="241">
        <v>40061</v>
      </c>
      <c r="B3055" s="242">
        <v>16.399999999999999</v>
      </c>
      <c r="C3055" s="238">
        <v>8.6</v>
      </c>
    </row>
    <row r="3056" spans="1:3" x14ac:dyDescent="0.2">
      <c r="A3056" s="241">
        <v>40062</v>
      </c>
      <c r="B3056" s="242">
        <v>16.5</v>
      </c>
      <c r="C3056" s="238">
        <v>0.9</v>
      </c>
    </row>
    <row r="3057" spans="1:3" x14ac:dyDescent="0.2">
      <c r="A3057" s="241">
        <v>40063</v>
      </c>
      <c r="B3057" s="242">
        <v>16.8</v>
      </c>
      <c r="C3057" s="238">
        <v>8.9</v>
      </c>
    </row>
    <row r="3058" spans="1:3" x14ac:dyDescent="0.2">
      <c r="A3058" s="241">
        <v>40064</v>
      </c>
      <c r="B3058" s="242">
        <v>21</v>
      </c>
      <c r="C3058" s="238">
        <v>10.8</v>
      </c>
    </row>
    <row r="3059" spans="1:3" x14ac:dyDescent="0.2">
      <c r="A3059" s="241">
        <v>40065</v>
      </c>
      <c r="B3059" s="242">
        <v>17</v>
      </c>
      <c r="C3059" s="238">
        <v>4</v>
      </c>
    </row>
    <row r="3060" spans="1:3" x14ac:dyDescent="0.2">
      <c r="A3060" s="241">
        <v>40066</v>
      </c>
      <c r="B3060" s="242">
        <v>15.1</v>
      </c>
      <c r="C3060" s="238">
        <v>7.7</v>
      </c>
    </row>
    <row r="3061" spans="1:3" x14ac:dyDescent="0.2">
      <c r="A3061" s="241">
        <v>40067</v>
      </c>
      <c r="B3061" s="242">
        <v>14.9</v>
      </c>
      <c r="C3061" s="238">
        <v>8.6999999999999993</v>
      </c>
    </row>
    <row r="3062" spans="1:3" x14ac:dyDescent="0.2">
      <c r="A3062" s="241">
        <v>40068</v>
      </c>
      <c r="B3062" s="242">
        <v>15.4</v>
      </c>
      <c r="C3062" s="238">
        <v>6.2</v>
      </c>
    </row>
    <row r="3063" spans="1:3" x14ac:dyDescent="0.2">
      <c r="A3063" s="241">
        <v>40069</v>
      </c>
      <c r="B3063" s="242">
        <v>15</v>
      </c>
      <c r="C3063" s="238">
        <v>1.9</v>
      </c>
    </row>
    <row r="3064" spans="1:3" x14ac:dyDescent="0.2">
      <c r="A3064" s="241">
        <v>40070</v>
      </c>
      <c r="B3064" s="242">
        <v>15.6</v>
      </c>
      <c r="C3064" s="238">
        <v>10.3</v>
      </c>
    </row>
    <row r="3065" spans="1:3" x14ac:dyDescent="0.2">
      <c r="A3065" s="241">
        <v>40071</v>
      </c>
      <c r="B3065" s="242">
        <v>15.7</v>
      </c>
      <c r="C3065" s="238">
        <v>0</v>
      </c>
    </row>
    <row r="3066" spans="1:3" x14ac:dyDescent="0.2">
      <c r="A3066" s="241">
        <v>40072</v>
      </c>
      <c r="B3066" s="242">
        <v>15.7</v>
      </c>
      <c r="C3066" s="238">
        <v>9.6999999999999993</v>
      </c>
    </row>
    <row r="3067" spans="1:3" x14ac:dyDescent="0.2">
      <c r="A3067" s="241">
        <v>40073</v>
      </c>
      <c r="B3067" s="242">
        <v>13.4</v>
      </c>
      <c r="C3067" s="238">
        <v>0.4</v>
      </c>
    </row>
    <row r="3068" spans="1:3" x14ac:dyDescent="0.2">
      <c r="A3068" s="241">
        <v>40074</v>
      </c>
      <c r="B3068" s="242">
        <v>14.1</v>
      </c>
      <c r="C3068" s="238">
        <v>11</v>
      </c>
    </row>
    <row r="3069" spans="1:3" x14ac:dyDescent="0.2">
      <c r="A3069" s="241">
        <v>40075</v>
      </c>
      <c r="B3069" s="242">
        <v>16.7</v>
      </c>
      <c r="C3069" s="238">
        <v>5</v>
      </c>
    </row>
    <row r="3070" spans="1:3" x14ac:dyDescent="0.2">
      <c r="A3070" s="241">
        <v>40076</v>
      </c>
      <c r="B3070" s="242">
        <v>14.8</v>
      </c>
      <c r="C3070" s="238">
        <v>6.8</v>
      </c>
    </row>
    <row r="3071" spans="1:3" x14ac:dyDescent="0.2">
      <c r="A3071" s="241">
        <v>40077</v>
      </c>
      <c r="B3071" s="242">
        <v>14</v>
      </c>
      <c r="C3071" s="238">
        <v>6.8</v>
      </c>
    </row>
    <row r="3072" spans="1:3" x14ac:dyDescent="0.2">
      <c r="A3072" s="241">
        <v>40078</v>
      </c>
      <c r="B3072" s="242">
        <v>16.899999999999999</v>
      </c>
      <c r="C3072" s="238">
        <v>5.0999999999999996</v>
      </c>
    </row>
    <row r="3073" spans="1:3" x14ac:dyDescent="0.2">
      <c r="A3073" s="241">
        <v>40079</v>
      </c>
      <c r="B3073" s="242">
        <v>16.3</v>
      </c>
      <c r="C3073" s="238">
        <v>4.5</v>
      </c>
    </row>
    <row r="3074" spans="1:3" x14ac:dyDescent="0.2">
      <c r="A3074" s="241">
        <v>40080</v>
      </c>
      <c r="B3074" s="242">
        <v>15.4</v>
      </c>
      <c r="C3074" s="238">
        <v>8.3000000000000007</v>
      </c>
    </row>
    <row r="3075" spans="1:3" x14ac:dyDescent="0.2">
      <c r="A3075" s="241">
        <v>40081</v>
      </c>
      <c r="B3075" s="242">
        <v>13.4</v>
      </c>
      <c r="C3075" s="238">
        <v>5.0999999999999996</v>
      </c>
    </row>
    <row r="3076" spans="1:3" x14ac:dyDescent="0.2">
      <c r="A3076" s="241">
        <v>40082</v>
      </c>
      <c r="B3076" s="242">
        <v>11.3</v>
      </c>
      <c r="C3076" s="238">
        <v>1.5</v>
      </c>
    </row>
    <row r="3077" spans="1:3" x14ac:dyDescent="0.2">
      <c r="A3077" s="241">
        <v>40083</v>
      </c>
      <c r="B3077" s="242">
        <v>13</v>
      </c>
      <c r="C3077" s="238">
        <v>9.8000000000000007</v>
      </c>
    </row>
    <row r="3078" spans="1:3" x14ac:dyDescent="0.2">
      <c r="A3078" s="241">
        <v>40084</v>
      </c>
      <c r="B3078" s="242">
        <v>16.3</v>
      </c>
      <c r="C3078" s="238">
        <v>1.1000000000000001</v>
      </c>
    </row>
    <row r="3079" spans="1:3" x14ac:dyDescent="0.2">
      <c r="A3079" s="241">
        <v>40085</v>
      </c>
      <c r="B3079" s="242">
        <v>15.7</v>
      </c>
      <c r="C3079" s="238">
        <v>0</v>
      </c>
    </row>
    <row r="3080" spans="1:3" x14ac:dyDescent="0.2">
      <c r="A3080" s="241">
        <v>40086</v>
      </c>
      <c r="B3080" s="242">
        <v>15.3</v>
      </c>
      <c r="C3080" s="238">
        <v>0</v>
      </c>
    </row>
    <row r="3081" spans="1:3" x14ac:dyDescent="0.2">
      <c r="A3081" s="241">
        <v>40087</v>
      </c>
      <c r="B3081" s="242">
        <v>14</v>
      </c>
      <c r="C3081" s="238">
        <v>4.7</v>
      </c>
    </row>
    <row r="3082" spans="1:3" x14ac:dyDescent="0.2">
      <c r="A3082" s="241">
        <v>40088</v>
      </c>
      <c r="B3082" s="242">
        <v>13.3</v>
      </c>
      <c r="C3082" s="238">
        <v>0.1</v>
      </c>
    </row>
    <row r="3083" spans="1:3" x14ac:dyDescent="0.2">
      <c r="A3083" s="241">
        <v>40089</v>
      </c>
      <c r="B3083" s="242">
        <v>15.5</v>
      </c>
      <c r="C3083" s="238">
        <v>0.5</v>
      </c>
    </row>
    <row r="3084" spans="1:3" x14ac:dyDescent="0.2">
      <c r="A3084" s="241">
        <v>40090</v>
      </c>
      <c r="B3084" s="242">
        <v>12.8</v>
      </c>
      <c r="C3084" s="238">
        <v>7.9</v>
      </c>
    </row>
    <row r="3085" spans="1:3" x14ac:dyDescent="0.2">
      <c r="A3085" s="241">
        <v>40091</v>
      </c>
      <c r="B3085" s="242">
        <v>11.4</v>
      </c>
      <c r="C3085" s="238">
        <v>0</v>
      </c>
    </row>
    <row r="3086" spans="1:3" x14ac:dyDescent="0.2">
      <c r="A3086" s="241">
        <v>40092</v>
      </c>
      <c r="B3086" s="242">
        <v>14.9</v>
      </c>
      <c r="C3086" s="238">
        <v>0</v>
      </c>
    </row>
    <row r="3087" spans="1:3" x14ac:dyDescent="0.2">
      <c r="A3087" s="241">
        <v>40093</v>
      </c>
      <c r="B3087" s="242">
        <v>14.2</v>
      </c>
      <c r="C3087" s="238">
        <v>0.2</v>
      </c>
    </row>
    <row r="3088" spans="1:3" x14ac:dyDescent="0.2">
      <c r="A3088" s="241">
        <v>40094</v>
      </c>
      <c r="B3088" s="242">
        <v>11.2</v>
      </c>
      <c r="C3088" s="238">
        <v>8</v>
      </c>
    </row>
    <row r="3089" spans="1:3" x14ac:dyDescent="0.2">
      <c r="A3089" s="241">
        <v>40095</v>
      </c>
      <c r="B3089" s="242">
        <v>9.8000000000000007</v>
      </c>
      <c r="C3089" s="238">
        <v>9.3000000000000007</v>
      </c>
    </row>
    <row r="3090" spans="1:3" x14ac:dyDescent="0.2">
      <c r="A3090" s="241">
        <v>40096</v>
      </c>
      <c r="B3090" s="242">
        <v>12.9</v>
      </c>
      <c r="C3090" s="238">
        <v>1.5</v>
      </c>
    </row>
    <row r="3091" spans="1:3" x14ac:dyDescent="0.2">
      <c r="A3091" s="241">
        <v>40097</v>
      </c>
      <c r="B3091" s="242">
        <v>13.7</v>
      </c>
      <c r="C3091" s="238">
        <v>1</v>
      </c>
    </row>
    <row r="3092" spans="1:3" x14ac:dyDescent="0.2">
      <c r="A3092" s="241">
        <v>40098</v>
      </c>
      <c r="B3092" s="242">
        <v>12.3</v>
      </c>
      <c r="C3092" s="238">
        <v>7</v>
      </c>
    </row>
    <row r="3093" spans="1:3" x14ac:dyDescent="0.2">
      <c r="A3093" s="241">
        <v>40099</v>
      </c>
      <c r="B3093" s="242">
        <v>10.4</v>
      </c>
      <c r="C3093" s="238">
        <v>9.1</v>
      </c>
    </row>
    <row r="3094" spans="1:3" x14ac:dyDescent="0.2">
      <c r="A3094" s="241">
        <v>40100</v>
      </c>
      <c r="B3094" s="242">
        <v>4.3</v>
      </c>
      <c r="C3094" s="238">
        <v>7.4</v>
      </c>
    </row>
    <row r="3095" spans="1:3" x14ac:dyDescent="0.2">
      <c r="A3095" s="241">
        <v>40101</v>
      </c>
      <c r="B3095" s="242">
        <v>7.8</v>
      </c>
      <c r="C3095" s="238">
        <v>6.6</v>
      </c>
    </row>
    <row r="3096" spans="1:3" x14ac:dyDescent="0.2">
      <c r="A3096" s="241">
        <v>40102</v>
      </c>
      <c r="B3096" s="242">
        <v>11.8</v>
      </c>
      <c r="C3096" s="238">
        <v>5.0999999999999996</v>
      </c>
    </row>
    <row r="3097" spans="1:3" x14ac:dyDescent="0.2">
      <c r="A3097" s="241">
        <v>40103</v>
      </c>
      <c r="B3097" s="242">
        <v>8.9</v>
      </c>
      <c r="C3097" s="238">
        <v>7.5</v>
      </c>
    </row>
    <row r="3098" spans="1:3" x14ac:dyDescent="0.2">
      <c r="A3098" s="241">
        <v>40104</v>
      </c>
      <c r="B3098" s="242">
        <v>7.7</v>
      </c>
      <c r="C3098" s="238">
        <v>3.8</v>
      </c>
    </row>
    <row r="3099" spans="1:3" x14ac:dyDescent="0.2">
      <c r="A3099" s="241">
        <v>40105</v>
      </c>
      <c r="B3099" s="242">
        <v>10.199999999999999</v>
      </c>
      <c r="C3099" s="238">
        <v>0.7</v>
      </c>
    </row>
    <row r="3100" spans="1:3" x14ac:dyDescent="0.2">
      <c r="A3100" s="241">
        <v>40106</v>
      </c>
      <c r="B3100" s="242">
        <v>8.6</v>
      </c>
      <c r="C3100" s="238">
        <v>5.8</v>
      </c>
    </row>
    <row r="3101" spans="1:3" x14ac:dyDescent="0.2">
      <c r="A3101" s="241">
        <v>40107</v>
      </c>
      <c r="B3101" s="242">
        <v>10.7</v>
      </c>
      <c r="C3101" s="238">
        <v>4.9000000000000004</v>
      </c>
    </row>
    <row r="3102" spans="1:3" x14ac:dyDescent="0.2">
      <c r="A3102" s="241">
        <v>40108</v>
      </c>
      <c r="B3102" s="242">
        <v>9</v>
      </c>
      <c r="C3102" s="238">
        <v>1.5</v>
      </c>
    </row>
    <row r="3103" spans="1:3" x14ac:dyDescent="0.2">
      <c r="A3103" s="241">
        <v>40109</v>
      </c>
      <c r="B3103" s="242">
        <v>10.9</v>
      </c>
      <c r="C3103" s="238">
        <v>5.0999999999999996</v>
      </c>
    </row>
    <row r="3104" spans="1:3" x14ac:dyDescent="0.2">
      <c r="A3104" s="241">
        <v>40110</v>
      </c>
      <c r="B3104" s="242">
        <v>11.5</v>
      </c>
      <c r="C3104" s="238">
        <v>0</v>
      </c>
    </row>
    <row r="3105" spans="1:3" x14ac:dyDescent="0.2">
      <c r="A3105" s="241">
        <v>40111</v>
      </c>
      <c r="B3105" s="242">
        <v>13.9</v>
      </c>
      <c r="C3105" s="238">
        <v>5.5</v>
      </c>
    </row>
    <row r="3106" spans="1:3" x14ac:dyDescent="0.2">
      <c r="A3106" s="241">
        <v>40112</v>
      </c>
      <c r="B3106" s="242">
        <v>12.9</v>
      </c>
      <c r="C3106" s="238">
        <v>0.5</v>
      </c>
    </row>
    <row r="3107" spans="1:3" x14ac:dyDescent="0.2">
      <c r="A3107" s="241">
        <v>40113</v>
      </c>
      <c r="B3107" s="242">
        <v>13.1</v>
      </c>
      <c r="C3107" s="238">
        <v>3.4</v>
      </c>
    </row>
    <row r="3108" spans="1:3" x14ac:dyDescent="0.2">
      <c r="A3108" s="241">
        <v>40114</v>
      </c>
      <c r="B3108" s="242">
        <v>12.6</v>
      </c>
      <c r="C3108" s="238">
        <v>5.6</v>
      </c>
    </row>
    <row r="3109" spans="1:3" x14ac:dyDescent="0.2">
      <c r="A3109" s="241">
        <v>40115</v>
      </c>
      <c r="B3109" s="242">
        <v>13.5</v>
      </c>
      <c r="C3109" s="238">
        <v>2.2999999999999998</v>
      </c>
    </row>
    <row r="3110" spans="1:3" x14ac:dyDescent="0.2">
      <c r="A3110" s="241">
        <v>40116</v>
      </c>
      <c r="B3110" s="242">
        <v>11</v>
      </c>
      <c r="C3110" s="238">
        <v>2.6</v>
      </c>
    </row>
    <row r="3111" spans="1:3" x14ac:dyDescent="0.2">
      <c r="A3111" s="241">
        <v>40117</v>
      </c>
      <c r="B3111" s="242">
        <v>11.3</v>
      </c>
      <c r="C3111" s="238">
        <v>0.9</v>
      </c>
    </row>
    <row r="3112" spans="1:3" x14ac:dyDescent="0.2">
      <c r="A3112" s="241">
        <v>40118</v>
      </c>
      <c r="B3112" s="242">
        <v>13.6</v>
      </c>
      <c r="C3112" s="238">
        <v>0</v>
      </c>
    </row>
    <row r="3113" spans="1:3" x14ac:dyDescent="0.2">
      <c r="A3113" s="241">
        <v>40119</v>
      </c>
      <c r="B3113" s="242">
        <v>11.1</v>
      </c>
      <c r="C3113" s="238">
        <v>3</v>
      </c>
    </row>
    <row r="3114" spans="1:3" x14ac:dyDescent="0.2">
      <c r="A3114" s="241">
        <v>40120</v>
      </c>
      <c r="B3114" s="242">
        <v>7.9</v>
      </c>
      <c r="C3114" s="238">
        <v>0.6</v>
      </c>
    </row>
    <row r="3115" spans="1:3" x14ac:dyDescent="0.2">
      <c r="A3115" s="241">
        <v>40121</v>
      </c>
      <c r="B3115" s="242">
        <v>9.9</v>
      </c>
      <c r="C3115" s="238">
        <v>3.2</v>
      </c>
    </row>
    <row r="3116" spans="1:3" x14ac:dyDescent="0.2">
      <c r="A3116" s="241">
        <v>40122</v>
      </c>
      <c r="B3116" s="242">
        <v>9.1999999999999993</v>
      </c>
      <c r="C3116" s="238">
        <v>0.9</v>
      </c>
    </row>
    <row r="3117" spans="1:3" x14ac:dyDescent="0.2">
      <c r="A3117" s="241">
        <v>40123</v>
      </c>
      <c r="B3117" s="242">
        <v>9.9</v>
      </c>
      <c r="C3117" s="238">
        <v>1.3</v>
      </c>
    </row>
    <row r="3118" spans="1:3" x14ac:dyDescent="0.2">
      <c r="A3118" s="241">
        <v>40124</v>
      </c>
      <c r="B3118" s="242">
        <v>8.5</v>
      </c>
      <c r="C3118" s="238">
        <v>0.2</v>
      </c>
    </row>
    <row r="3119" spans="1:3" x14ac:dyDescent="0.2">
      <c r="A3119" s="241">
        <v>40125</v>
      </c>
      <c r="B3119" s="242">
        <v>4.5999999999999996</v>
      </c>
      <c r="C3119" s="238">
        <v>6.2</v>
      </c>
    </row>
    <row r="3120" spans="1:3" x14ac:dyDescent="0.2">
      <c r="A3120" s="241">
        <v>40126</v>
      </c>
      <c r="B3120" s="242">
        <v>6.3</v>
      </c>
      <c r="C3120" s="238">
        <v>0.2</v>
      </c>
    </row>
    <row r="3121" spans="1:3" x14ac:dyDescent="0.2">
      <c r="A3121" s="241">
        <v>40127</v>
      </c>
      <c r="B3121" s="242">
        <v>9</v>
      </c>
      <c r="C3121" s="238">
        <v>1</v>
      </c>
    </row>
    <row r="3122" spans="1:3" x14ac:dyDescent="0.2">
      <c r="A3122" s="241">
        <v>40128</v>
      </c>
      <c r="B3122" s="242">
        <v>9.5</v>
      </c>
      <c r="C3122" s="238">
        <v>0.2</v>
      </c>
    </row>
    <row r="3123" spans="1:3" x14ac:dyDescent="0.2">
      <c r="A3123" s="241">
        <v>40129</v>
      </c>
      <c r="B3123" s="242">
        <v>8.9</v>
      </c>
      <c r="C3123" s="238">
        <v>2.6</v>
      </c>
    </row>
    <row r="3124" spans="1:3" x14ac:dyDescent="0.2">
      <c r="A3124" s="241">
        <v>40130</v>
      </c>
      <c r="B3124" s="242">
        <v>14.2</v>
      </c>
      <c r="C3124" s="238">
        <v>0.2</v>
      </c>
    </row>
    <row r="3125" spans="1:3" x14ac:dyDescent="0.2">
      <c r="A3125" s="241">
        <v>40131</v>
      </c>
      <c r="B3125" s="242">
        <v>13.1</v>
      </c>
      <c r="C3125" s="238">
        <v>2.8</v>
      </c>
    </row>
    <row r="3126" spans="1:3" x14ac:dyDescent="0.2">
      <c r="A3126" s="241">
        <v>40132</v>
      </c>
      <c r="B3126" s="242">
        <v>10.9</v>
      </c>
      <c r="C3126" s="238">
        <v>0.5</v>
      </c>
    </row>
    <row r="3127" spans="1:3" x14ac:dyDescent="0.2">
      <c r="A3127" s="241">
        <v>40133</v>
      </c>
      <c r="B3127" s="242">
        <v>11</v>
      </c>
      <c r="C3127" s="238">
        <v>1.2</v>
      </c>
    </row>
    <row r="3128" spans="1:3" x14ac:dyDescent="0.2">
      <c r="A3128" s="241">
        <v>40134</v>
      </c>
      <c r="B3128" s="242">
        <v>11.6</v>
      </c>
      <c r="C3128" s="238">
        <v>3</v>
      </c>
    </row>
    <row r="3129" spans="1:3" x14ac:dyDescent="0.2">
      <c r="A3129" s="241">
        <v>40135</v>
      </c>
      <c r="B3129" s="242">
        <v>12</v>
      </c>
      <c r="C3129" s="238">
        <v>0</v>
      </c>
    </row>
    <row r="3130" spans="1:3" x14ac:dyDescent="0.2">
      <c r="A3130" s="241">
        <v>40136</v>
      </c>
      <c r="B3130" s="242">
        <v>11.4</v>
      </c>
      <c r="C3130" s="238">
        <v>2.6</v>
      </c>
    </row>
    <row r="3131" spans="1:3" x14ac:dyDescent="0.2">
      <c r="A3131" s="241">
        <v>40137</v>
      </c>
      <c r="B3131" s="242">
        <v>12.5</v>
      </c>
      <c r="C3131" s="238">
        <v>2.2999999999999998</v>
      </c>
    </row>
    <row r="3132" spans="1:3" x14ac:dyDescent="0.2">
      <c r="A3132" s="241">
        <v>40138</v>
      </c>
      <c r="B3132" s="242">
        <v>13.1</v>
      </c>
      <c r="C3132" s="238">
        <v>3.8</v>
      </c>
    </row>
    <row r="3133" spans="1:3" x14ac:dyDescent="0.2">
      <c r="A3133" s="241">
        <v>40139</v>
      </c>
      <c r="B3133" s="242">
        <v>11.3</v>
      </c>
      <c r="C3133" s="238">
        <v>2.9</v>
      </c>
    </row>
    <row r="3134" spans="1:3" x14ac:dyDescent="0.2">
      <c r="A3134" s="241">
        <v>40140</v>
      </c>
      <c r="B3134" s="242">
        <v>11.1</v>
      </c>
      <c r="C3134" s="238">
        <v>0.4</v>
      </c>
    </row>
    <row r="3135" spans="1:3" x14ac:dyDescent="0.2">
      <c r="A3135" s="241">
        <v>40141</v>
      </c>
      <c r="B3135" s="242">
        <v>11.9</v>
      </c>
      <c r="C3135" s="238">
        <v>0.2</v>
      </c>
    </row>
    <row r="3136" spans="1:3" x14ac:dyDescent="0.2">
      <c r="A3136" s="241">
        <v>40142</v>
      </c>
      <c r="B3136" s="242">
        <v>11.4</v>
      </c>
      <c r="C3136" s="238">
        <v>0.3</v>
      </c>
    </row>
    <row r="3137" spans="1:3" x14ac:dyDescent="0.2">
      <c r="A3137" s="241">
        <v>40143</v>
      </c>
      <c r="B3137" s="242">
        <v>9.1</v>
      </c>
      <c r="C3137" s="238">
        <v>1</v>
      </c>
    </row>
    <row r="3138" spans="1:3" x14ac:dyDescent="0.2">
      <c r="A3138" s="241">
        <v>40144</v>
      </c>
      <c r="B3138" s="242">
        <v>8.3000000000000007</v>
      </c>
      <c r="C3138" s="238">
        <v>0.2</v>
      </c>
    </row>
    <row r="3139" spans="1:3" x14ac:dyDescent="0.2">
      <c r="A3139" s="241">
        <v>40145</v>
      </c>
      <c r="B3139" s="242">
        <v>8.3000000000000007</v>
      </c>
      <c r="C3139" s="238">
        <v>0.2</v>
      </c>
    </row>
    <row r="3140" spans="1:3" x14ac:dyDescent="0.2">
      <c r="A3140" s="241">
        <v>40146</v>
      </c>
      <c r="B3140" s="242">
        <v>9</v>
      </c>
      <c r="C3140" s="238">
        <v>0.5</v>
      </c>
    </row>
    <row r="3141" spans="1:3" x14ac:dyDescent="0.2">
      <c r="A3141" s="241">
        <v>40147</v>
      </c>
      <c r="B3141" s="242">
        <v>6.4</v>
      </c>
      <c r="C3141" s="238">
        <v>3.9</v>
      </c>
    </row>
    <row r="3142" spans="1:3" x14ac:dyDescent="0.2">
      <c r="A3142" s="241">
        <v>40148</v>
      </c>
      <c r="B3142" s="242">
        <v>4.5999999999999996</v>
      </c>
      <c r="C3142" s="238">
        <v>5.8</v>
      </c>
    </row>
    <row r="3143" spans="1:3" x14ac:dyDescent="0.2">
      <c r="A3143" s="241">
        <v>40149</v>
      </c>
      <c r="B3143" s="242">
        <v>4.5999999999999996</v>
      </c>
      <c r="C3143" s="238">
        <v>0</v>
      </c>
    </row>
    <row r="3144" spans="1:3" x14ac:dyDescent="0.2">
      <c r="A3144" s="241">
        <v>40150</v>
      </c>
      <c r="B3144" s="242">
        <v>8.3000000000000007</v>
      </c>
      <c r="C3144" s="238">
        <v>0</v>
      </c>
    </row>
    <row r="3145" spans="1:3" x14ac:dyDescent="0.2">
      <c r="A3145" s="241">
        <v>40151</v>
      </c>
      <c r="B3145" s="242">
        <v>6.2</v>
      </c>
      <c r="C3145" s="238">
        <v>1.3</v>
      </c>
    </row>
    <row r="3146" spans="1:3" x14ac:dyDescent="0.2">
      <c r="A3146" s="241">
        <v>40152</v>
      </c>
      <c r="B3146" s="242">
        <v>8</v>
      </c>
      <c r="C3146" s="238">
        <v>0.9</v>
      </c>
    </row>
    <row r="3147" spans="1:3" x14ac:dyDescent="0.2">
      <c r="A3147" s="241">
        <v>40153</v>
      </c>
      <c r="B3147" s="242">
        <v>10.8</v>
      </c>
      <c r="C3147" s="238">
        <v>0.2</v>
      </c>
    </row>
    <row r="3148" spans="1:3" x14ac:dyDescent="0.2">
      <c r="A3148" s="241">
        <v>40154</v>
      </c>
      <c r="B3148" s="242">
        <v>8.3000000000000007</v>
      </c>
      <c r="C3148" s="238">
        <v>1.2</v>
      </c>
    </row>
    <row r="3149" spans="1:3" x14ac:dyDescent="0.2">
      <c r="A3149" s="241">
        <v>40155</v>
      </c>
      <c r="B3149" s="242">
        <v>7.9</v>
      </c>
      <c r="C3149" s="238">
        <v>3.3</v>
      </c>
    </row>
    <row r="3150" spans="1:3" x14ac:dyDescent="0.2">
      <c r="A3150" s="241">
        <v>40156</v>
      </c>
      <c r="B3150" s="242">
        <v>8.4</v>
      </c>
      <c r="C3150" s="238">
        <v>0</v>
      </c>
    </row>
    <row r="3151" spans="1:3" x14ac:dyDescent="0.2">
      <c r="A3151" s="241">
        <v>40157</v>
      </c>
      <c r="B3151" s="242">
        <v>9.8000000000000007</v>
      </c>
      <c r="C3151" s="238">
        <v>0.2</v>
      </c>
    </row>
    <row r="3152" spans="1:3" x14ac:dyDescent="0.2">
      <c r="A3152" s="241">
        <v>40158</v>
      </c>
      <c r="B3152" s="242">
        <v>7.3</v>
      </c>
      <c r="C3152" s="238">
        <v>2</v>
      </c>
    </row>
    <row r="3153" spans="1:3" x14ac:dyDescent="0.2">
      <c r="A3153" s="241">
        <v>40159</v>
      </c>
      <c r="B3153" s="242">
        <v>3.9</v>
      </c>
      <c r="C3153" s="238">
        <v>4.5999999999999996</v>
      </c>
    </row>
    <row r="3154" spans="1:3" x14ac:dyDescent="0.2">
      <c r="A3154" s="241">
        <v>40160</v>
      </c>
      <c r="B3154" s="242">
        <v>0.8</v>
      </c>
      <c r="C3154" s="238">
        <v>3.7</v>
      </c>
    </row>
    <row r="3155" spans="1:3" x14ac:dyDescent="0.2">
      <c r="A3155" s="241">
        <v>40161</v>
      </c>
      <c r="B3155" s="242">
        <v>-2.5</v>
      </c>
      <c r="C3155" s="238">
        <v>0.3</v>
      </c>
    </row>
    <row r="3156" spans="1:3" x14ac:dyDescent="0.2">
      <c r="A3156" s="241">
        <v>40162</v>
      </c>
      <c r="B3156" s="242">
        <v>-3.1</v>
      </c>
      <c r="C3156" s="238">
        <v>6</v>
      </c>
    </row>
    <row r="3157" spans="1:3" x14ac:dyDescent="0.2">
      <c r="A3157" s="241">
        <v>40163</v>
      </c>
      <c r="B3157" s="242">
        <v>1.7</v>
      </c>
      <c r="C3157" s="238">
        <v>0.4</v>
      </c>
    </row>
    <row r="3158" spans="1:3" x14ac:dyDescent="0.2">
      <c r="A3158" s="241">
        <v>40164</v>
      </c>
      <c r="B3158" s="242">
        <v>0</v>
      </c>
      <c r="C3158" s="238">
        <v>1.4</v>
      </c>
    </row>
    <row r="3159" spans="1:3" x14ac:dyDescent="0.2">
      <c r="A3159" s="241">
        <v>40165</v>
      </c>
      <c r="B3159" s="242">
        <v>-2.2999999999999998</v>
      </c>
      <c r="C3159" s="238">
        <v>5</v>
      </c>
    </row>
    <row r="3160" spans="1:3" x14ac:dyDescent="0.2">
      <c r="A3160" s="241">
        <v>40166</v>
      </c>
      <c r="B3160" s="242">
        <v>-4.4000000000000004</v>
      </c>
      <c r="C3160" s="238">
        <v>0.4</v>
      </c>
    </row>
    <row r="3161" spans="1:3" x14ac:dyDescent="0.2">
      <c r="A3161" s="241">
        <v>40167</v>
      </c>
      <c r="B3161" s="242">
        <v>1.1000000000000001</v>
      </c>
      <c r="C3161" s="238">
        <v>0</v>
      </c>
    </row>
    <row r="3162" spans="1:3" x14ac:dyDescent="0.2">
      <c r="A3162" s="241">
        <v>40168</v>
      </c>
      <c r="B3162" s="242">
        <v>0.4</v>
      </c>
      <c r="C3162" s="238">
        <v>3.5</v>
      </c>
    </row>
    <row r="3163" spans="1:3" x14ac:dyDescent="0.2">
      <c r="A3163" s="241">
        <v>40169</v>
      </c>
      <c r="B3163" s="242">
        <v>2.8</v>
      </c>
      <c r="C3163" s="238">
        <v>1.6</v>
      </c>
    </row>
    <row r="3164" spans="1:3" x14ac:dyDescent="0.2">
      <c r="A3164" s="241">
        <v>40170</v>
      </c>
      <c r="B3164" s="242">
        <v>1</v>
      </c>
      <c r="C3164" s="238">
        <v>1.3</v>
      </c>
    </row>
    <row r="3165" spans="1:3" x14ac:dyDescent="0.2">
      <c r="A3165" s="241">
        <v>40171</v>
      </c>
      <c r="B3165" s="242">
        <v>0.5</v>
      </c>
      <c r="C3165" s="238">
        <v>3.5</v>
      </c>
    </row>
    <row r="3166" spans="1:3" x14ac:dyDescent="0.2">
      <c r="A3166" s="241">
        <v>40172</v>
      </c>
      <c r="B3166" s="242">
        <v>3.6</v>
      </c>
      <c r="C3166" s="238">
        <v>0.3</v>
      </c>
    </row>
    <row r="3167" spans="1:3" x14ac:dyDescent="0.2">
      <c r="A3167" s="241">
        <v>40173</v>
      </c>
      <c r="B3167" s="242">
        <v>5.8</v>
      </c>
      <c r="C3167" s="238">
        <v>2.5</v>
      </c>
    </row>
    <row r="3168" spans="1:3" x14ac:dyDescent="0.2">
      <c r="A3168" s="241">
        <v>40174</v>
      </c>
      <c r="B3168" s="242">
        <v>5.4</v>
      </c>
      <c r="C3168" s="238">
        <v>3.4</v>
      </c>
    </row>
    <row r="3169" spans="1:3" x14ac:dyDescent="0.2">
      <c r="A3169" s="241">
        <v>40175</v>
      </c>
      <c r="B3169" s="242">
        <v>2.4</v>
      </c>
      <c r="C3169" s="238">
        <v>3.9</v>
      </c>
    </row>
    <row r="3170" spans="1:3" x14ac:dyDescent="0.2">
      <c r="A3170" s="241">
        <v>40176</v>
      </c>
      <c r="B3170" s="242">
        <v>-0.1</v>
      </c>
      <c r="C3170" s="238">
        <v>0</v>
      </c>
    </row>
    <row r="3171" spans="1:3" x14ac:dyDescent="0.2">
      <c r="A3171" s="241">
        <v>40177</v>
      </c>
      <c r="B3171" s="242">
        <v>-0.2</v>
      </c>
      <c r="C3171" s="238">
        <v>0</v>
      </c>
    </row>
    <row r="3172" spans="1:3" x14ac:dyDescent="0.2">
      <c r="A3172" s="241">
        <v>40178</v>
      </c>
      <c r="B3172" s="242">
        <v>0.3</v>
      </c>
      <c r="C3172" s="238">
        <v>0</v>
      </c>
    </row>
    <row r="3173" spans="1:3" x14ac:dyDescent="0.2">
      <c r="A3173" s="241">
        <v>40179</v>
      </c>
      <c r="B3173" s="242">
        <v>-2.7</v>
      </c>
      <c r="C3173" s="238">
        <v>5.8</v>
      </c>
    </row>
    <row r="3174" spans="1:3" x14ac:dyDescent="0.2">
      <c r="A3174" s="241">
        <v>40180</v>
      </c>
      <c r="B3174" s="242">
        <v>0.7</v>
      </c>
      <c r="C3174" s="238">
        <v>1</v>
      </c>
    </row>
    <row r="3175" spans="1:3" x14ac:dyDescent="0.2">
      <c r="A3175" s="241">
        <v>40181</v>
      </c>
      <c r="B3175" s="242">
        <v>-3.6</v>
      </c>
      <c r="C3175" s="238">
        <v>6</v>
      </c>
    </row>
    <row r="3176" spans="1:3" x14ac:dyDescent="0.2">
      <c r="A3176" s="241">
        <v>40182</v>
      </c>
      <c r="B3176" s="242">
        <v>1.4</v>
      </c>
      <c r="C3176" s="238">
        <v>0.5</v>
      </c>
    </row>
    <row r="3177" spans="1:3" x14ac:dyDescent="0.2">
      <c r="A3177" s="241">
        <v>40183</v>
      </c>
      <c r="B3177" s="242">
        <v>2.6</v>
      </c>
      <c r="C3177" s="238">
        <v>0.4</v>
      </c>
    </row>
    <row r="3178" spans="1:3" x14ac:dyDescent="0.2">
      <c r="A3178" s="241">
        <v>40184</v>
      </c>
      <c r="B3178" s="242">
        <v>-0.5</v>
      </c>
      <c r="C3178" s="238">
        <v>3.4</v>
      </c>
    </row>
    <row r="3179" spans="1:3" x14ac:dyDescent="0.2">
      <c r="A3179" s="241">
        <v>40185</v>
      </c>
      <c r="B3179" s="242">
        <v>-3.5</v>
      </c>
      <c r="C3179" s="238">
        <v>0.3</v>
      </c>
    </row>
    <row r="3180" spans="1:3" x14ac:dyDescent="0.2">
      <c r="A3180" s="241">
        <v>40186</v>
      </c>
      <c r="B3180" s="242">
        <v>-6.1</v>
      </c>
      <c r="C3180" s="238">
        <v>0</v>
      </c>
    </row>
    <row r="3181" spans="1:3" x14ac:dyDescent="0.2">
      <c r="A3181" s="241">
        <v>40187</v>
      </c>
      <c r="B3181" s="242">
        <v>-1.9</v>
      </c>
      <c r="C3181" s="238">
        <v>0</v>
      </c>
    </row>
    <row r="3182" spans="1:3" x14ac:dyDescent="0.2">
      <c r="A3182" s="241">
        <v>40188</v>
      </c>
      <c r="B3182" s="242">
        <v>-0.2</v>
      </c>
      <c r="C3182" s="238">
        <v>0</v>
      </c>
    </row>
    <row r="3183" spans="1:3" x14ac:dyDescent="0.2">
      <c r="A3183" s="241">
        <v>40189</v>
      </c>
      <c r="B3183" s="242">
        <v>-0.5</v>
      </c>
      <c r="C3183" s="238">
        <v>0</v>
      </c>
    </row>
    <row r="3184" spans="1:3" x14ac:dyDescent="0.2">
      <c r="A3184" s="241">
        <v>40190</v>
      </c>
      <c r="B3184" s="242">
        <v>-1.8</v>
      </c>
      <c r="C3184" s="238">
        <v>0.7</v>
      </c>
    </row>
    <row r="3185" spans="1:3" x14ac:dyDescent="0.2">
      <c r="A3185" s="241">
        <v>40191</v>
      </c>
      <c r="B3185" s="242">
        <v>-3.8</v>
      </c>
      <c r="C3185" s="238">
        <v>1.2</v>
      </c>
    </row>
    <row r="3186" spans="1:3" x14ac:dyDescent="0.2">
      <c r="A3186" s="241">
        <v>40192</v>
      </c>
      <c r="B3186" s="242">
        <v>0.2</v>
      </c>
      <c r="C3186" s="238">
        <v>4.8</v>
      </c>
    </row>
    <row r="3187" spans="1:3" x14ac:dyDescent="0.2">
      <c r="A3187" s="241">
        <v>40193</v>
      </c>
      <c r="B3187" s="242">
        <v>1.2</v>
      </c>
      <c r="C3187" s="238">
        <v>0</v>
      </c>
    </row>
    <row r="3188" spans="1:3" x14ac:dyDescent="0.2">
      <c r="A3188" s="241">
        <v>40194</v>
      </c>
      <c r="B3188" s="242">
        <v>1.3</v>
      </c>
      <c r="C3188" s="238">
        <v>0</v>
      </c>
    </row>
    <row r="3189" spans="1:3" x14ac:dyDescent="0.2">
      <c r="A3189" s="241">
        <v>40195</v>
      </c>
      <c r="B3189" s="242">
        <v>4.3</v>
      </c>
      <c r="C3189" s="238">
        <v>3.1</v>
      </c>
    </row>
    <row r="3190" spans="1:3" x14ac:dyDescent="0.2">
      <c r="A3190" s="241">
        <v>40196</v>
      </c>
      <c r="B3190" s="242">
        <v>4.5999999999999996</v>
      </c>
      <c r="C3190" s="238">
        <v>1.1000000000000001</v>
      </c>
    </row>
    <row r="3191" spans="1:3" x14ac:dyDescent="0.2">
      <c r="A3191" s="241">
        <v>40197</v>
      </c>
      <c r="B3191" s="242">
        <v>3.4</v>
      </c>
      <c r="C3191" s="238">
        <v>0</v>
      </c>
    </row>
    <row r="3192" spans="1:3" x14ac:dyDescent="0.2">
      <c r="A3192" s="241">
        <v>40198</v>
      </c>
      <c r="B3192" s="242">
        <v>1.1000000000000001</v>
      </c>
      <c r="C3192" s="238">
        <v>0.9</v>
      </c>
    </row>
    <row r="3193" spans="1:3" x14ac:dyDescent="0.2">
      <c r="A3193" s="241">
        <v>40199</v>
      </c>
      <c r="B3193" s="242">
        <v>1.4</v>
      </c>
      <c r="C3193" s="238">
        <v>0</v>
      </c>
    </row>
    <row r="3194" spans="1:3" x14ac:dyDescent="0.2">
      <c r="A3194" s="241">
        <v>40200</v>
      </c>
      <c r="B3194" s="242">
        <v>2.4</v>
      </c>
      <c r="C3194" s="238">
        <v>3.8</v>
      </c>
    </row>
    <row r="3195" spans="1:3" x14ac:dyDescent="0.2">
      <c r="A3195" s="241">
        <v>40201</v>
      </c>
      <c r="B3195" s="242">
        <v>1.7</v>
      </c>
      <c r="C3195" s="238">
        <v>0</v>
      </c>
    </row>
    <row r="3196" spans="1:3" x14ac:dyDescent="0.2">
      <c r="A3196" s="241">
        <v>40202</v>
      </c>
      <c r="B3196" s="242">
        <v>-0.9</v>
      </c>
      <c r="C3196" s="238">
        <v>0</v>
      </c>
    </row>
    <row r="3197" spans="1:3" x14ac:dyDescent="0.2">
      <c r="A3197" s="241">
        <v>40203</v>
      </c>
      <c r="B3197" s="242">
        <v>-4.0999999999999996</v>
      </c>
      <c r="C3197" s="238">
        <v>0</v>
      </c>
    </row>
    <row r="3198" spans="1:3" x14ac:dyDescent="0.2">
      <c r="A3198" s="241">
        <v>40204</v>
      </c>
      <c r="B3198" s="242">
        <v>-8.1999999999999993</v>
      </c>
      <c r="C3198" s="238">
        <v>7.3</v>
      </c>
    </row>
    <row r="3199" spans="1:3" x14ac:dyDescent="0.2">
      <c r="A3199" s="241">
        <v>40205</v>
      </c>
      <c r="B3199" s="242">
        <v>0.2</v>
      </c>
      <c r="C3199" s="238">
        <v>0</v>
      </c>
    </row>
    <row r="3200" spans="1:3" x14ac:dyDescent="0.2">
      <c r="A3200" s="241">
        <v>40206</v>
      </c>
      <c r="B3200" s="242">
        <v>3.8</v>
      </c>
      <c r="C3200" s="238">
        <v>5.4</v>
      </c>
    </row>
    <row r="3201" spans="1:3" x14ac:dyDescent="0.2">
      <c r="A3201" s="241">
        <v>40207</v>
      </c>
      <c r="B3201" s="242">
        <v>2.8</v>
      </c>
      <c r="C3201" s="238">
        <v>1</v>
      </c>
    </row>
    <row r="3202" spans="1:3" x14ac:dyDescent="0.2">
      <c r="A3202" s="241">
        <v>40208</v>
      </c>
      <c r="B3202" s="242">
        <v>0.8</v>
      </c>
      <c r="C3202" s="238">
        <v>6.1</v>
      </c>
    </row>
    <row r="3203" spans="1:3" x14ac:dyDescent="0.2">
      <c r="A3203" s="241">
        <v>40209</v>
      </c>
      <c r="B3203" s="242">
        <v>2.9</v>
      </c>
      <c r="C3203" s="238">
        <v>3.5</v>
      </c>
    </row>
    <row r="3204" spans="1:3" x14ac:dyDescent="0.2">
      <c r="A3204" s="241">
        <v>40210</v>
      </c>
      <c r="B3204" s="242">
        <v>1.8</v>
      </c>
      <c r="C3204" s="238">
        <v>4.2</v>
      </c>
    </row>
    <row r="3205" spans="1:3" x14ac:dyDescent="0.2">
      <c r="A3205" s="241">
        <v>40211</v>
      </c>
      <c r="B3205" s="242">
        <v>3.8</v>
      </c>
      <c r="C3205" s="238">
        <v>0</v>
      </c>
    </row>
    <row r="3206" spans="1:3" x14ac:dyDescent="0.2">
      <c r="A3206" s="241">
        <v>40212</v>
      </c>
      <c r="B3206" s="242">
        <v>3.5</v>
      </c>
      <c r="C3206" s="238">
        <v>7.5</v>
      </c>
    </row>
    <row r="3207" spans="1:3" x14ac:dyDescent="0.2">
      <c r="A3207" s="241">
        <v>40213</v>
      </c>
      <c r="B3207" s="242">
        <v>5.6</v>
      </c>
      <c r="C3207" s="238">
        <v>0.3</v>
      </c>
    </row>
    <row r="3208" spans="1:3" x14ac:dyDescent="0.2">
      <c r="A3208" s="241">
        <v>40214</v>
      </c>
      <c r="B3208" s="242">
        <v>4.5999999999999996</v>
      </c>
      <c r="C3208" s="238">
        <v>0</v>
      </c>
    </row>
    <row r="3209" spans="1:3" x14ac:dyDescent="0.2">
      <c r="A3209" s="241">
        <v>40215</v>
      </c>
      <c r="B3209" s="242">
        <v>2</v>
      </c>
      <c r="C3209" s="238">
        <v>0.5</v>
      </c>
    </row>
    <row r="3210" spans="1:3" x14ac:dyDescent="0.2">
      <c r="A3210" s="241">
        <v>40216</v>
      </c>
      <c r="B3210" s="242">
        <v>0.2</v>
      </c>
      <c r="C3210" s="238">
        <v>0</v>
      </c>
    </row>
    <row r="3211" spans="1:3" x14ac:dyDescent="0.2">
      <c r="A3211" s="241">
        <v>40217</v>
      </c>
      <c r="B3211" s="242">
        <v>-4.0999999999999996</v>
      </c>
      <c r="C3211" s="238">
        <v>0.2</v>
      </c>
    </row>
    <row r="3212" spans="1:3" x14ac:dyDescent="0.2">
      <c r="A3212" s="241">
        <v>40218</v>
      </c>
      <c r="B3212" s="242">
        <v>-3.1</v>
      </c>
      <c r="C3212" s="238">
        <v>5.7</v>
      </c>
    </row>
    <row r="3213" spans="1:3" x14ac:dyDescent="0.2">
      <c r="A3213" s="241">
        <v>40219</v>
      </c>
      <c r="B3213" s="242">
        <v>-2.4</v>
      </c>
      <c r="C3213" s="238">
        <v>2.9</v>
      </c>
    </row>
    <row r="3214" spans="1:3" x14ac:dyDescent="0.2">
      <c r="A3214" s="241">
        <v>40220</v>
      </c>
      <c r="B3214" s="242">
        <v>-1.8</v>
      </c>
      <c r="C3214" s="238">
        <v>5.2</v>
      </c>
    </row>
    <row r="3215" spans="1:3" x14ac:dyDescent="0.2">
      <c r="A3215" s="241">
        <v>40221</v>
      </c>
      <c r="B3215" s="242">
        <v>-3</v>
      </c>
      <c r="C3215" s="238">
        <v>5.4</v>
      </c>
    </row>
    <row r="3216" spans="1:3" x14ac:dyDescent="0.2">
      <c r="A3216" s="241">
        <v>40222</v>
      </c>
      <c r="B3216" s="242">
        <v>-1.1000000000000001</v>
      </c>
      <c r="C3216" s="238">
        <v>2.7</v>
      </c>
    </row>
    <row r="3217" spans="1:3" x14ac:dyDescent="0.2">
      <c r="A3217" s="241">
        <v>40223</v>
      </c>
      <c r="B3217" s="242">
        <v>-2.2000000000000002</v>
      </c>
      <c r="C3217" s="238">
        <v>0</v>
      </c>
    </row>
    <row r="3218" spans="1:3" x14ac:dyDescent="0.2">
      <c r="A3218" s="241">
        <v>40224</v>
      </c>
      <c r="B3218" s="242">
        <v>-3</v>
      </c>
      <c r="C3218" s="238">
        <v>1.7</v>
      </c>
    </row>
    <row r="3219" spans="1:3" x14ac:dyDescent="0.2">
      <c r="A3219" s="241">
        <v>40225</v>
      </c>
      <c r="B3219" s="242">
        <v>-0.1</v>
      </c>
      <c r="C3219" s="238">
        <v>2.2999999999999998</v>
      </c>
    </row>
    <row r="3220" spans="1:3" x14ac:dyDescent="0.2">
      <c r="A3220" s="241">
        <v>40226</v>
      </c>
      <c r="B3220" s="242">
        <v>-0.5</v>
      </c>
      <c r="C3220" s="238">
        <v>5.6</v>
      </c>
    </row>
    <row r="3221" spans="1:3" x14ac:dyDescent="0.2">
      <c r="A3221" s="241">
        <v>40227</v>
      </c>
      <c r="B3221" s="242">
        <v>2.8</v>
      </c>
      <c r="C3221" s="238">
        <v>1.6</v>
      </c>
    </row>
    <row r="3222" spans="1:3" x14ac:dyDescent="0.2">
      <c r="A3222" s="241">
        <v>40228</v>
      </c>
      <c r="B3222" s="242">
        <v>3.8</v>
      </c>
      <c r="C3222" s="238">
        <v>1</v>
      </c>
    </row>
    <row r="3223" spans="1:3" x14ac:dyDescent="0.2">
      <c r="A3223" s="241">
        <v>40229</v>
      </c>
      <c r="B3223" s="242">
        <v>2</v>
      </c>
      <c r="C3223" s="238">
        <v>3.4</v>
      </c>
    </row>
    <row r="3224" spans="1:3" x14ac:dyDescent="0.2">
      <c r="A3224" s="241">
        <v>40230</v>
      </c>
      <c r="B3224" s="242">
        <v>1.2</v>
      </c>
      <c r="C3224" s="238">
        <v>0.1</v>
      </c>
    </row>
    <row r="3225" spans="1:3" x14ac:dyDescent="0.2">
      <c r="A3225" s="241">
        <v>40231</v>
      </c>
      <c r="B3225" s="242">
        <v>3.1</v>
      </c>
      <c r="C3225" s="238">
        <v>0</v>
      </c>
    </row>
    <row r="3226" spans="1:3" x14ac:dyDescent="0.2">
      <c r="A3226" s="241">
        <v>40232</v>
      </c>
      <c r="B3226" s="242">
        <v>0.8</v>
      </c>
      <c r="C3226" s="238">
        <v>5.9</v>
      </c>
    </row>
    <row r="3227" spans="1:3" x14ac:dyDescent="0.2">
      <c r="A3227" s="241">
        <v>40233</v>
      </c>
      <c r="B3227" s="242">
        <v>5.8</v>
      </c>
      <c r="C3227" s="238">
        <v>0.1</v>
      </c>
    </row>
    <row r="3228" spans="1:3" x14ac:dyDescent="0.2">
      <c r="A3228" s="241">
        <v>40234</v>
      </c>
      <c r="B3228" s="242">
        <v>6.6</v>
      </c>
      <c r="C3228" s="238">
        <v>0.2</v>
      </c>
    </row>
    <row r="3229" spans="1:3" x14ac:dyDescent="0.2">
      <c r="A3229" s="241">
        <v>40235</v>
      </c>
      <c r="B3229" s="242">
        <v>6.5</v>
      </c>
      <c r="C3229" s="238">
        <v>0.1</v>
      </c>
    </row>
    <row r="3230" spans="1:3" x14ac:dyDescent="0.2">
      <c r="A3230" s="241">
        <v>40236</v>
      </c>
      <c r="B3230" s="242">
        <v>6.7</v>
      </c>
      <c r="C3230" s="238">
        <v>1.3</v>
      </c>
    </row>
    <row r="3231" spans="1:3" x14ac:dyDescent="0.2">
      <c r="A3231" s="241">
        <v>40237</v>
      </c>
      <c r="B3231" s="242">
        <v>4.8</v>
      </c>
      <c r="C3231" s="238">
        <v>0</v>
      </c>
    </row>
    <row r="3232" spans="1:3" x14ac:dyDescent="0.2">
      <c r="A3232" s="241">
        <v>40238</v>
      </c>
      <c r="B3232" s="242">
        <v>4</v>
      </c>
      <c r="C3232" s="238">
        <v>7.3</v>
      </c>
    </row>
    <row r="3233" spans="1:3" x14ac:dyDescent="0.2">
      <c r="A3233" s="241">
        <v>40239</v>
      </c>
      <c r="B3233" s="242">
        <v>4.4000000000000004</v>
      </c>
      <c r="C3233" s="238">
        <v>9.3000000000000007</v>
      </c>
    </row>
    <row r="3234" spans="1:3" x14ac:dyDescent="0.2">
      <c r="A3234" s="241">
        <v>40240</v>
      </c>
      <c r="B3234" s="242">
        <v>1.9</v>
      </c>
      <c r="C3234" s="238">
        <v>7.6</v>
      </c>
    </row>
    <row r="3235" spans="1:3" x14ac:dyDescent="0.2">
      <c r="A3235" s="241">
        <v>40241</v>
      </c>
      <c r="B3235" s="242">
        <v>2</v>
      </c>
      <c r="C3235" s="238">
        <v>10</v>
      </c>
    </row>
    <row r="3236" spans="1:3" x14ac:dyDescent="0.2">
      <c r="A3236" s="241">
        <v>40242</v>
      </c>
      <c r="B3236" s="242">
        <v>2.7</v>
      </c>
      <c r="C3236" s="238">
        <v>1.5</v>
      </c>
    </row>
    <row r="3237" spans="1:3" x14ac:dyDescent="0.2">
      <c r="A3237" s="241">
        <v>40243</v>
      </c>
      <c r="B3237" s="242">
        <v>0.5</v>
      </c>
      <c r="C3237" s="238">
        <v>9.8000000000000007</v>
      </c>
    </row>
    <row r="3238" spans="1:3" x14ac:dyDescent="0.2">
      <c r="A3238" s="241">
        <v>40244</v>
      </c>
      <c r="B3238" s="242">
        <v>-1.8</v>
      </c>
      <c r="C3238" s="238">
        <v>10.1</v>
      </c>
    </row>
    <row r="3239" spans="1:3" x14ac:dyDescent="0.2">
      <c r="A3239" s="241">
        <v>40245</v>
      </c>
      <c r="B3239" s="242">
        <v>1.3</v>
      </c>
      <c r="C3239" s="238">
        <v>2.9</v>
      </c>
    </row>
    <row r="3240" spans="1:3" x14ac:dyDescent="0.2">
      <c r="A3240" s="241">
        <v>40246</v>
      </c>
      <c r="B3240" s="242">
        <v>0.2</v>
      </c>
      <c r="C3240" s="238">
        <v>5.5</v>
      </c>
    </row>
    <row r="3241" spans="1:3" x14ac:dyDescent="0.2">
      <c r="A3241" s="241">
        <v>40247</v>
      </c>
      <c r="B3241" s="242">
        <v>0.3</v>
      </c>
      <c r="C3241" s="238">
        <v>0.2</v>
      </c>
    </row>
    <row r="3242" spans="1:3" x14ac:dyDescent="0.2">
      <c r="A3242" s="241">
        <v>40248</v>
      </c>
      <c r="B3242" s="242">
        <v>2.9</v>
      </c>
      <c r="C3242" s="238">
        <v>2.7</v>
      </c>
    </row>
    <row r="3243" spans="1:3" x14ac:dyDescent="0.2">
      <c r="A3243" s="241">
        <v>40249</v>
      </c>
      <c r="B3243" s="242">
        <v>4.2</v>
      </c>
      <c r="C3243" s="238">
        <v>2</v>
      </c>
    </row>
    <row r="3244" spans="1:3" x14ac:dyDescent="0.2">
      <c r="A3244" s="241">
        <v>40250</v>
      </c>
      <c r="B3244" s="242">
        <v>4.9000000000000004</v>
      </c>
      <c r="C3244" s="238">
        <v>2.6</v>
      </c>
    </row>
    <row r="3245" spans="1:3" x14ac:dyDescent="0.2">
      <c r="A3245" s="241">
        <v>40251</v>
      </c>
      <c r="B3245" s="242">
        <v>5.4</v>
      </c>
      <c r="C3245" s="238">
        <v>1.6</v>
      </c>
    </row>
    <row r="3246" spans="1:3" x14ac:dyDescent="0.2">
      <c r="A3246" s="241">
        <v>40252</v>
      </c>
      <c r="B3246" s="242">
        <v>5.3</v>
      </c>
      <c r="C3246" s="238">
        <v>0.8</v>
      </c>
    </row>
    <row r="3247" spans="1:3" x14ac:dyDescent="0.2">
      <c r="A3247" s="241">
        <v>40253</v>
      </c>
      <c r="B3247" s="242">
        <v>5</v>
      </c>
      <c r="C3247" s="238">
        <v>5.0999999999999996</v>
      </c>
    </row>
    <row r="3248" spans="1:3" x14ac:dyDescent="0.2">
      <c r="A3248" s="241">
        <v>40254</v>
      </c>
      <c r="B3248" s="242">
        <v>6.7</v>
      </c>
      <c r="C3248" s="238">
        <v>8</v>
      </c>
    </row>
    <row r="3249" spans="1:3" x14ac:dyDescent="0.2">
      <c r="A3249" s="241">
        <v>40255</v>
      </c>
      <c r="B3249" s="242">
        <v>11.7</v>
      </c>
      <c r="C3249" s="238">
        <v>6.5</v>
      </c>
    </row>
    <row r="3250" spans="1:3" x14ac:dyDescent="0.2">
      <c r="A3250" s="241">
        <v>40256</v>
      </c>
      <c r="B3250" s="242">
        <v>9.6999999999999993</v>
      </c>
      <c r="C3250" s="238">
        <v>0</v>
      </c>
    </row>
    <row r="3251" spans="1:3" x14ac:dyDescent="0.2">
      <c r="A3251" s="241">
        <v>40257</v>
      </c>
      <c r="B3251" s="242">
        <v>9.8000000000000007</v>
      </c>
      <c r="C3251" s="238">
        <v>1.4</v>
      </c>
    </row>
    <row r="3252" spans="1:3" x14ac:dyDescent="0.2">
      <c r="A3252" s="241">
        <v>40258</v>
      </c>
      <c r="B3252" s="242">
        <v>6.6</v>
      </c>
      <c r="C3252" s="238">
        <v>9</v>
      </c>
    </row>
    <row r="3253" spans="1:3" x14ac:dyDescent="0.2">
      <c r="A3253" s="241">
        <v>40259</v>
      </c>
      <c r="B3253" s="242">
        <v>7.6</v>
      </c>
      <c r="C3253" s="238">
        <v>6.4</v>
      </c>
    </row>
    <row r="3254" spans="1:3" x14ac:dyDescent="0.2">
      <c r="A3254" s="241">
        <v>40260</v>
      </c>
      <c r="B3254" s="242">
        <v>8.1</v>
      </c>
      <c r="C3254" s="238">
        <v>10.8</v>
      </c>
    </row>
    <row r="3255" spans="1:3" x14ac:dyDescent="0.2">
      <c r="A3255" s="241">
        <v>40261</v>
      </c>
      <c r="B3255" s="242">
        <v>13.8</v>
      </c>
      <c r="C3255" s="238">
        <v>8.1999999999999993</v>
      </c>
    </row>
    <row r="3256" spans="1:3" x14ac:dyDescent="0.2">
      <c r="A3256" s="241">
        <v>40262</v>
      </c>
      <c r="B3256" s="242">
        <v>14.4</v>
      </c>
      <c r="C3256" s="238">
        <v>6.4</v>
      </c>
    </row>
    <row r="3257" spans="1:3" x14ac:dyDescent="0.2">
      <c r="A3257" s="241">
        <v>40263</v>
      </c>
      <c r="B3257" s="242">
        <v>9.6</v>
      </c>
      <c r="C3257" s="238">
        <v>1.2</v>
      </c>
    </row>
    <row r="3258" spans="1:3" x14ac:dyDescent="0.2">
      <c r="A3258" s="241">
        <v>40264</v>
      </c>
      <c r="B3258" s="242">
        <v>7.7</v>
      </c>
      <c r="C3258" s="238">
        <v>5.0999999999999996</v>
      </c>
    </row>
    <row r="3259" spans="1:3" x14ac:dyDescent="0.2">
      <c r="A3259" s="241">
        <v>40265</v>
      </c>
      <c r="B3259" s="242">
        <v>6.9</v>
      </c>
      <c r="C3259" s="238">
        <v>3.3</v>
      </c>
    </row>
    <row r="3260" spans="1:3" x14ac:dyDescent="0.2">
      <c r="A3260" s="241">
        <v>40266</v>
      </c>
      <c r="B3260" s="242">
        <v>9.3000000000000007</v>
      </c>
      <c r="C3260" s="238">
        <v>2</v>
      </c>
    </row>
    <row r="3261" spans="1:3" x14ac:dyDescent="0.2">
      <c r="A3261" s="241">
        <v>40267</v>
      </c>
      <c r="B3261" s="242">
        <v>9.8000000000000007</v>
      </c>
      <c r="C3261" s="238">
        <v>1.7</v>
      </c>
    </row>
    <row r="3262" spans="1:3" x14ac:dyDescent="0.2">
      <c r="A3262" s="241">
        <v>40268</v>
      </c>
      <c r="B3262" s="242">
        <v>6.4</v>
      </c>
      <c r="C3262" s="238">
        <v>3.1</v>
      </c>
    </row>
    <row r="3263" spans="1:3" x14ac:dyDescent="0.2">
      <c r="A3263" s="241">
        <v>40269</v>
      </c>
      <c r="B3263" s="242">
        <v>5.4</v>
      </c>
      <c r="C3263" s="238">
        <v>6.4</v>
      </c>
    </row>
    <row r="3264" spans="1:3" x14ac:dyDescent="0.2">
      <c r="A3264" s="241">
        <v>40270</v>
      </c>
      <c r="B3264" s="242">
        <v>8.3000000000000007</v>
      </c>
      <c r="C3264" s="238">
        <v>8.6</v>
      </c>
    </row>
    <row r="3265" spans="1:3" x14ac:dyDescent="0.2">
      <c r="A3265" s="241">
        <v>40271</v>
      </c>
      <c r="B3265" s="242">
        <v>7.8</v>
      </c>
      <c r="C3265" s="238">
        <v>4.7</v>
      </c>
    </row>
    <row r="3266" spans="1:3" x14ac:dyDescent="0.2">
      <c r="A3266" s="241">
        <v>40272</v>
      </c>
      <c r="B3266" s="242">
        <v>6.5</v>
      </c>
      <c r="C3266" s="238">
        <v>0.5</v>
      </c>
    </row>
    <row r="3267" spans="1:3" x14ac:dyDescent="0.2">
      <c r="A3267" s="241">
        <v>40273</v>
      </c>
      <c r="B3267" s="242">
        <v>7.7</v>
      </c>
      <c r="C3267" s="238">
        <v>3</v>
      </c>
    </row>
    <row r="3268" spans="1:3" x14ac:dyDescent="0.2">
      <c r="A3268" s="241">
        <v>40274</v>
      </c>
      <c r="B3268" s="242">
        <v>11.9</v>
      </c>
      <c r="C3268" s="238">
        <v>9.3000000000000007</v>
      </c>
    </row>
    <row r="3269" spans="1:3" x14ac:dyDescent="0.2">
      <c r="A3269" s="241">
        <v>40275</v>
      </c>
      <c r="B3269" s="242">
        <v>11.3</v>
      </c>
      <c r="C3269" s="238">
        <v>8.3000000000000007</v>
      </c>
    </row>
    <row r="3270" spans="1:3" x14ac:dyDescent="0.2">
      <c r="A3270" s="241">
        <v>40276</v>
      </c>
      <c r="B3270" s="242">
        <v>7.5</v>
      </c>
      <c r="C3270" s="238">
        <v>8.3000000000000007</v>
      </c>
    </row>
    <row r="3271" spans="1:3" x14ac:dyDescent="0.2">
      <c r="A3271" s="241">
        <v>40277</v>
      </c>
      <c r="B3271" s="242">
        <v>8</v>
      </c>
      <c r="C3271" s="238">
        <v>11.3</v>
      </c>
    </row>
    <row r="3272" spans="1:3" x14ac:dyDescent="0.2">
      <c r="A3272" s="241">
        <v>40278</v>
      </c>
      <c r="B3272" s="242">
        <v>5.9</v>
      </c>
      <c r="C3272" s="238">
        <v>9.6999999999999993</v>
      </c>
    </row>
    <row r="3273" spans="1:3" x14ac:dyDescent="0.2">
      <c r="A3273" s="241">
        <v>40279</v>
      </c>
      <c r="B3273" s="242">
        <v>6.6</v>
      </c>
      <c r="C3273" s="238">
        <v>4.2</v>
      </c>
    </row>
    <row r="3274" spans="1:3" x14ac:dyDescent="0.2">
      <c r="A3274" s="241">
        <v>40280</v>
      </c>
      <c r="B3274" s="242">
        <v>9.1</v>
      </c>
      <c r="C3274" s="238">
        <v>12.7</v>
      </c>
    </row>
    <row r="3275" spans="1:3" x14ac:dyDescent="0.2">
      <c r="A3275" s="241">
        <v>40281</v>
      </c>
      <c r="B3275" s="242">
        <v>8.3000000000000007</v>
      </c>
      <c r="C3275" s="238">
        <v>10.9</v>
      </c>
    </row>
    <row r="3276" spans="1:3" x14ac:dyDescent="0.2">
      <c r="A3276" s="241">
        <v>40282</v>
      </c>
      <c r="B3276" s="242">
        <v>9.6</v>
      </c>
      <c r="C3276" s="238">
        <v>9.8000000000000007</v>
      </c>
    </row>
    <row r="3277" spans="1:3" x14ac:dyDescent="0.2">
      <c r="A3277" s="241">
        <v>40283</v>
      </c>
      <c r="B3277" s="242">
        <v>8.1</v>
      </c>
      <c r="C3277" s="238">
        <v>12.6</v>
      </c>
    </row>
    <row r="3278" spans="1:3" x14ac:dyDescent="0.2">
      <c r="A3278" s="241">
        <v>40284</v>
      </c>
      <c r="B3278" s="242">
        <v>6.6</v>
      </c>
      <c r="C3278" s="238">
        <v>8.4</v>
      </c>
    </row>
    <row r="3279" spans="1:3" x14ac:dyDescent="0.2">
      <c r="A3279" s="241">
        <v>40285</v>
      </c>
      <c r="B3279" s="242">
        <v>3.8</v>
      </c>
      <c r="C3279" s="238">
        <v>12.7</v>
      </c>
    </row>
    <row r="3280" spans="1:3" x14ac:dyDescent="0.2">
      <c r="A3280" s="241">
        <v>40286</v>
      </c>
      <c r="B3280" s="242">
        <v>6.3</v>
      </c>
      <c r="C3280" s="238">
        <v>13.2</v>
      </c>
    </row>
    <row r="3281" spans="1:3" x14ac:dyDescent="0.2">
      <c r="A3281" s="241">
        <v>40287</v>
      </c>
      <c r="B3281" s="242">
        <v>7.8</v>
      </c>
      <c r="C3281" s="238">
        <v>6</v>
      </c>
    </row>
    <row r="3282" spans="1:3" x14ac:dyDescent="0.2">
      <c r="A3282" s="241">
        <v>40288</v>
      </c>
      <c r="B3282" s="242">
        <v>7.8</v>
      </c>
      <c r="C3282" s="238">
        <v>10.199999999999999</v>
      </c>
    </row>
    <row r="3283" spans="1:3" x14ac:dyDescent="0.2">
      <c r="A3283" s="241">
        <v>40289</v>
      </c>
      <c r="B3283" s="242">
        <v>6.6</v>
      </c>
      <c r="C3283" s="238">
        <v>10.8</v>
      </c>
    </row>
    <row r="3284" spans="1:3" x14ac:dyDescent="0.2">
      <c r="A3284" s="241">
        <v>40290</v>
      </c>
      <c r="B3284" s="242">
        <v>5.5</v>
      </c>
      <c r="C3284" s="238">
        <v>11.4</v>
      </c>
    </row>
    <row r="3285" spans="1:3" x14ac:dyDescent="0.2">
      <c r="A3285" s="241">
        <v>40291</v>
      </c>
      <c r="B3285" s="242">
        <v>4.8</v>
      </c>
      <c r="C3285" s="238">
        <v>13.4</v>
      </c>
    </row>
    <row r="3286" spans="1:3" x14ac:dyDescent="0.2">
      <c r="A3286" s="241">
        <v>40292</v>
      </c>
      <c r="B3286" s="242">
        <v>12.2</v>
      </c>
      <c r="C3286" s="238">
        <v>13</v>
      </c>
    </row>
    <row r="3287" spans="1:3" x14ac:dyDescent="0.2">
      <c r="A3287" s="241">
        <v>40293</v>
      </c>
      <c r="B3287" s="242">
        <v>11.7</v>
      </c>
      <c r="C3287" s="238">
        <v>5.2</v>
      </c>
    </row>
    <row r="3288" spans="1:3" x14ac:dyDescent="0.2">
      <c r="A3288" s="241">
        <v>40294</v>
      </c>
      <c r="B3288" s="242">
        <v>10</v>
      </c>
      <c r="C3288" s="238">
        <v>9.5</v>
      </c>
    </row>
    <row r="3289" spans="1:3" x14ac:dyDescent="0.2">
      <c r="A3289" s="241">
        <v>40295</v>
      </c>
      <c r="B3289" s="242">
        <v>10.3</v>
      </c>
      <c r="C3289" s="238">
        <v>13.4</v>
      </c>
    </row>
    <row r="3290" spans="1:3" x14ac:dyDescent="0.2">
      <c r="A3290" s="241">
        <v>40296</v>
      </c>
      <c r="B3290" s="242">
        <v>16</v>
      </c>
      <c r="C3290" s="238">
        <v>9.1999999999999993</v>
      </c>
    </row>
    <row r="3291" spans="1:3" x14ac:dyDescent="0.2">
      <c r="A3291" s="241">
        <v>40297</v>
      </c>
      <c r="B3291" s="242">
        <v>14.8</v>
      </c>
      <c r="C3291" s="238">
        <v>6.5</v>
      </c>
    </row>
    <row r="3292" spans="1:3" x14ac:dyDescent="0.2">
      <c r="A3292" s="241">
        <v>40298</v>
      </c>
      <c r="B3292" s="242">
        <v>10.7</v>
      </c>
      <c r="C3292" s="238">
        <v>5.7</v>
      </c>
    </row>
    <row r="3293" spans="1:3" x14ac:dyDescent="0.2">
      <c r="A3293" s="241">
        <v>40299</v>
      </c>
      <c r="B3293" s="242">
        <v>9.3000000000000007</v>
      </c>
      <c r="C3293" s="238">
        <v>6.7</v>
      </c>
    </row>
    <row r="3294" spans="1:3" x14ac:dyDescent="0.2">
      <c r="A3294" s="241">
        <v>40300</v>
      </c>
      <c r="B3294" s="242">
        <v>7.3</v>
      </c>
      <c r="C3294" s="238">
        <v>0.6</v>
      </c>
    </row>
    <row r="3295" spans="1:3" x14ac:dyDescent="0.2">
      <c r="A3295" s="241">
        <v>40301</v>
      </c>
      <c r="B3295" s="242">
        <v>6.3</v>
      </c>
      <c r="C3295" s="238">
        <v>0</v>
      </c>
    </row>
    <row r="3296" spans="1:3" x14ac:dyDescent="0.2">
      <c r="A3296" s="241">
        <v>40302</v>
      </c>
      <c r="B3296" s="242">
        <v>7.3</v>
      </c>
      <c r="C3296" s="238">
        <v>7</v>
      </c>
    </row>
    <row r="3297" spans="1:3" x14ac:dyDescent="0.2">
      <c r="A3297" s="241">
        <v>40303</v>
      </c>
      <c r="B3297" s="242">
        <v>8.4</v>
      </c>
      <c r="C3297" s="238">
        <v>6.8</v>
      </c>
    </row>
    <row r="3298" spans="1:3" x14ac:dyDescent="0.2">
      <c r="A3298" s="241">
        <v>40304</v>
      </c>
      <c r="B3298" s="242">
        <v>8.4</v>
      </c>
      <c r="C3298" s="238">
        <v>10.5</v>
      </c>
    </row>
    <row r="3299" spans="1:3" x14ac:dyDescent="0.2">
      <c r="A3299" s="241">
        <v>40305</v>
      </c>
      <c r="B3299" s="242">
        <v>7.6</v>
      </c>
    </row>
    <row r="3300" spans="1:3" x14ac:dyDescent="0.2">
      <c r="A3300" s="241">
        <v>40306</v>
      </c>
      <c r="B3300" s="242">
        <v>8.6</v>
      </c>
      <c r="C3300" s="238">
        <v>0.2</v>
      </c>
    </row>
    <row r="3301" spans="1:3" x14ac:dyDescent="0.2">
      <c r="A3301" s="241">
        <v>40307</v>
      </c>
      <c r="B3301" s="242">
        <v>8.1</v>
      </c>
      <c r="C3301" s="238">
        <v>3.7</v>
      </c>
    </row>
    <row r="3302" spans="1:3" x14ac:dyDescent="0.2">
      <c r="A3302" s="241">
        <v>40308</v>
      </c>
      <c r="B3302" s="242">
        <v>6.7</v>
      </c>
      <c r="C3302" s="238">
        <v>8.6999999999999993</v>
      </c>
    </row>
    <row r="3303" spans="1:3" x14ac:dyDescent="0.2">
      <c r="A3303" s="241">
        <v>40309</v>
      </c>
      <c r="B3303" s="242">
        <v>7.3</v>
      </c>
      <c r="C3303" s="238">
        <v>4.4000000000000004</v>
      </c>
    </row>
    <row r="3304" spans="1:3" x14ac:dyDescent="0.2">
      <c r="A3304" s="241">
        <v>40310</v>
      </c>
      <c r="B3304" s="242">
        <v>6.2</v>
      </c>
      <c r="C3304" s="238">
        <v>0</v>
      </c>
    </row>
    <row r="3305" spans="1:3" x14ac:dyDescent="0.2">
      <c r="A3305" s="241">
        <v>40311</v>
      </c>
      <c r="B3305" s="242">
        <v>6.2</v>
      </c>
      <c r="C3305" s="238">
        <v>3.1</v>
      </c>
    </row>
    <row r="3306" spans="1:3" x14ac:dyDescent="0.2">
      <c r="A3306" s="241">
        <v>40312</v>
      </c>
      <c r="B3306" s="242">
        <v>5.6</v>
      </c>
      <c r="C3306" s="238">
        <v>12.4</v>
      </c>
    </row>
    <row r="3307" spans="1:3" x14ac:dyDescent="0.2">
      <c r="A3307" s="241">
        <v>40313</v>
      </c>
      <c r="B3307" s="242">
        <v>7.9</v>
      </c>
      <c r="C3307" s="238">
        <v>6.7</v>
      </c>
    </row>
    <row r="3308" spans="1:3" x14ac:dyDescent="0.2">
      <c r="A3308" s="241">
        <v>40314</v>
      </c>
      <c r="B3308" s="242">
        <v>10.8</v>
      </c>
      <c r="C3308" s="238">
        <v>4</v>
      </c>
    </row>
    <row r="3309" spans="1:3" x14ac:dyDescent="0.2">
      <c r="A3309" s="241">
        <v>40315</v>
      </c>
      <c r="B3309" s="242">
        <v>10.3</v>
      </c>
      <c r="C3309" s="238">
        <v>12.7</v>
      </c>
    </row>
    <row r="3310" spans="1:3" x14ac:dyDescent="0.2">
      <c r="A3310" s="241">
        <v>40316</v>
      </c>
      <c r="B3310" s="242">
        <v>10</v>
      </c>
      <c r="C3310" s="238">
        <v>13.7</v>
      </c>
    </row>
    <row r="3311" spans="1:3" x14ac:dyDescent="0.2">
      <c r="A3311" s="241">
        <v>40317</v>
      </c>
      <c r="B3311" s="242">
        <v>10</v>
      </c>
      <c r="C3311" s="238">
        <v>12.7</v>
      </c>
    </row>
    <row r="3312" spans="1:3" x14ac:dyDescent="0.2">
      <c r="A3312" s="241">
        <v>40318</v>
      </c>
      <c r="B3312" s="242">
        <v>10.7</v>
      </c>
      <c r="C3312" s="238">
        <v>13.2</v>
      </c>
    </row>
    <row r="3313" spans="1:3" x14ac:dyDescent="0.2">
      <c r="A3313" s="241">
        <v>40319</v>
      </c>
      <c r="B3313" s="242">
        <v>10.3</v>
      </c>
      <c r="C3313" s="238">
        <v>7.4</v>
      </c>
    </row>
    <row r="3314" spans="1:3" x14ac:dyDescent="0.2">
      <c r="A3314" s="241">
        <v>40320</v>
      </c>
      <c r="B3314" s="242">
        <v>11.1</v>
      </c>
      <c r="C3314" s="238">
        <v>11</v>
      </c>
    </row>
    <row r="3315" spans="1:3" x14ac:dyDescent="0.2">
      <c r="A3315" s="241">
        <v>40321</v>
      </c>
      <c r="B3315" s="242">
        <v>13.2</v>
      </c>
      <c r="C3315" s="238">
        <v>13.6</v>
      </c>
    </row>
    <row r="3316" spans="1:3" x14ac:dyDescent="0.2">
      <c r="A3316" s="241">
        <v>40322</v>
      </c>
      <c r="B3316" s="242">
        <v>13.2</v>
      </c>
      <c r="C3316" s="238">
        <v>9.3000000000000007</v>
      </c>
    </row>
    <row r="3317" spans="1:3" x14ac:dyDescent="0.2">
      <c r="A3317" s="241">
        <v>40323</v>
      </c>
      <c r="B3317" s="242">
        <v>10.7</v>
      </c>
      <c r="C3317" s="238">
        <v>13.6</v>
      </c>
    </row>
    <row r="3318" spans="1:3" x14ac:dyDescent="0.2">
      <c r="A3318" s="241">
        <v>40324</v>
      </c>
      <c r="B3318" s="242">
        <v>9.9</v>
      </c>
      <c r="C3318" s="238">
        <v>4.2</v>
      </c>
    </row>
    <row r="3319" spans="1:3" x14ac:dyDescent="0.2">
      <c r="A3319" s="241">
        <v>40325</v>
      </c>
      <c r="B3319" s="242">
        <v>9</v>
      </c>
      <c r="C3319" s="238">
        <v>2.8</v>
      </c>
    </row>
    <row r="3320" spans="1:3" x14ac:dyDescent="0.2">
      <c r="A3320" s="241">
        <v>40326</v>
      </c>
      <c r="B3320" s="242">
        <v>10.7</v>
      </c>
      <c r="C3320" s="238">
        <v>12.5</v>
      </c>
    </row>
    <row r="3321" spans="1:3" x14ac:dyDescent="0.2">
      <c r="A3321" s="241">
        <v>40327</v>
      </c>
      <c r="B3321" s="242">
        <v>14.3</v>
      </c>
      <c r="C3321" s="238">
        <v>4.9000000000000004</v>
      </c>
    </row>
    <row r="3322" spans="1:3" x14ac:dyDescent="0.2">
      <c r="A3322" s="241">
        <v>40328</v>
      </c>
      <c r="B3322" s="242">
        <v>11.7</v>
      </c>
      <c r="C3322" s="238">
        <v>2.4</v>
      </c>
    </row>
    <row r="3323" spans="1:3" x14ac:dyDescent="0.2">
      <c r="A3323" s="241">
        <v>40329</v>
      </c>
      <c r="B3323" s="242">
        <v>11.9</v>
      </c>
      <c r="C3323" s="238">
        <v>5.7</v>
      </c>
    </row>
    <row r="3324" spans="1:3" x14ac:dyDescent="0.2">
      <c r="A3324" s="241">
        <v>40330</v>
      </c>
      <c r="B3324" s="242">
        <v>10.8</v>
      </c>
      <c r="C3324" s="238">
        <v>2.8</v>
      </c>
    </row>
    <row r="3325" spans="1:3" x14ac:dyDescent="0.2">
      <c r="A3325" s="241">
        <v>40331</v>
      </c>
      <c r="B3325" s="242">
        <v>12.8</v>
      </c>
      <c r="C3325" s="238">
        <v>14.2</v>
      </c>
    </row>
    <row r="3326" spans="1:3" x14ac:dyDescent="0.2">
      <c r="A3326" s="241">
        <v>40332</v>
      </c>
      <c r="B3326" s="242">
        <v>14.5</v>
      </c>
      <c r="C3326" s="238">
        <v>15.2</v>
      </c>
    </row>
    <row r="3327" spans="1:3" x14ac:dyDescent="0.2">
      <c r="A3327" s="241">
        <v>40333</v>
      </c>
      <c r="B3327" s="242">
        <v>15.4</v>
      </c>
      <c r="C3327" s="238">
        <v>15.3</v>
      </c>
    </row>
    <row r="3328" spans="1:3" x14ac:dyDescent="0.2">
      <c r="A3328" s="241">
        <v>40334</v>
      </c>
      <c r="B3328" s="242">
        <v>18.2</v>
      </c>
      <c r="C3328" s="238">
        <v>14.3</v>
      </c>
    </row>
    <row r="3329" spans="1:3" x14ac:dyDescent="0.2">
      <c r="A3329" s="241">
        <v>40335</v>
      </c>
      <c r="B3329" s="242">
        <v>17</v>
      </c>
      <c r="C3329" s="238">
        <v>2.6</v>
      </c>
    </row>
    <row r="3330" spans="1:3" x14ac:dyDescent="0.2">
      <c r="A3330" s="241">
        <v>40336</v>
      </c>
      <c r="B3330" s="242">
        <v>13</v>
      </c>
      <c r="C3330" s="238">
        <v>2.7</v>
      </c>
    </row>
    <row r="3331" spans="1:3" x14ac:dyDescent="0.2">
      <c r="A3331" s="241">
        <v>40337</v>
      </c>
      <c r="B3331" s="242">
        <v>16.5</v>
      </c>
      <c r="C3331" s="238">
        <v>2.4</v>
      </c>
    </row>
    <row r="3332" spans="1:3" x14ac:dyDescent="0.2">
      <c r="A3332" s="241">
        <v>40338</v>
      </c>
      <c r="B3332" s="242">
        <v>16.600000000000001</v>
      </c>
      <c r="C3332" s="238">
        <v>0</v>
      </c>
    </row>
    <row r="3333" spans="1:3" x14ac:dyDescent="0.2">
      <c r="A3333" s="241">
        <v>40339</v>
      </c>
      <c r="B3333" s="242">
        <v>16.5</v>
      </c>
      <c r="C3333" s="238">
        <v>0</v>
      </c>
    </row>
    <row r="3334" spans="1:3" x14ac:dyDescent="0.2">
      <c r="A3334" s="241">
        <v>40340</v>
      </c>
      <c r="B3334" s="242">
        <v>13.9</v>
      </c>
      <c r="C3334" s="238">
        <v>1.8</v>
      </c>
    </row>
    <row r="3335" spans="1:3" x14ac:dyDescent="0.2">
      <c r="A3335" s="241">
        <v>40341</v>
      </c>
      <c r="B3335" s="242">
        <v>13.2</v>
      </c>
      <c r="C3335" s="238">
        <v>11</v>
      </c>
    </row>
    <row r="3336" spans="1:3" x14ac:dyDescent="0.2">
      <c r="A3336" s="241">
        <v>40342</v>
      </c>
      <c r="B3336" s="242">
        <v>13.4</v>
      </c>
      <c r="C3336" s="238">
        <v>4.7</v>
      </c>
    </row>
    <row r="3337" spans="1:3" x14ac:dyDescent="0.2">
      <c r="A3337" s="241">
        <v>40343</v>
      </c>
      <c r="B3337" s="242">
        <v>15.1</v>
      </c>
      <c r="C3337" s="238">
        <v>10.7</v>
      </c>
    </row>
    <row r="3338" spans="1:3" x14ac:dyDescent="0.2">
      <c r="A3338" s="241">
        <v>40344</v>
      </c>
      <c r="B3338" s="242">
        <v>12.4</v>
      </c>
      <c r="C3338" s="238">
        <v>11</v>
      </c>
    </row>
    <row r="3339" spans="1:3" x14ac:dyDescent="0.2">
      <c r="A3339" s="241">
        <v>40345</v>
      </c>
      <c r="B3339" s="242">
        <v>14.6</v>
      </c>
      <c r="C3339" s="238">
        <v>14.6</v>
      </c>
    </row>
    <row r="3340" spans="1:3" x14ac:dyDescent="0.2">
      <c r="A3340" s="241">
        <v>40346</v>
      </c>
      <c r="B3340" s="242">
        <v>15.1</v>
      </c>
      <c r="C3340" s="238">
        <v>15.3</v>
      </c>
    </row>
    <row r="3341" spans="1:3" x14ac:dyDescent="0.2">
      <c r="A3341" s="241">
        <v>40347</v>
      </c>
      <c r="B3341" s="242">
        <v>12.7</v>
      </c>
      <c r="C3341" s="238">
        <v>1.4</v>
      </c>
    </row>
    <row r="3342" spans="1:3" x14ac:dyDescent="0.2">
      <c r="A3342" s="241">
        <v>40348</v>
      </c>
      <c r="B3342" s="242">
        <v>11.8</v>
      </c>
      <c r="C3342" s="238">
        <v>7</v>
      </c>
    </row>
    <row r="3343" spans="1:3" x14ac:dyDescent="0.2">
      <c r="A3343" s="241">
        <v>40349</v>
      </c>
      <c r="B3343" s="242">
        <v>11.7</v>
      </c>
      <c r="C3343" s="238">
        <v>0.7</v>
      </c>
    </row>
    <row r="3344" spans="1:3" x14ac:dyDescent="0.2">
      <c r="A3344" s="241">
        <v>40350</v>
      </c>
      <c r="B3344" s="242">
        <v>12.5</v>
      </c>
      <c r="C3344" s="238">
        <v>14</v>
      </c>
    </row>
    <row r="3345" spans="1:3" x14ac:dyDescent="0.2">
      <c r="A3345" s="241">
        <v>40351</v>
      </c>
      <c r="B3345" s="242">
        <v>12.3</v>
      </c>
      <c r="C3345" s="238">
        <v>15</v>
      </c>
    </row>
    <row r="3346" spans="1:3" x14ac:dyDescent="0.2">
      <c r="A3346" s="241">
        <v>40352</v>
      </c>
      <c r="B3346" s="242">
        <v>16.2</v>
      </c>
      <c r="C3346" s="238">
        <v>15</v>
      </c>
    </row>
    <row r="3347" spans="1:3" x14ac:dyDescent="0.2">
      <c r="A3347" s="241">
        <v>40353</v>
      </c>
      <c r="B3347" s="242">
        <v>15.9</v>
      </c>
      <c r="C3347" s="238">
        <v>13.3</v>
      </c>
    </row>
    <row r="3348" spans="1:3" x14ac:dyDescent="0.2">
      <c r="A3348" s="241">
        <v>40354</v>
      </c>
      <c r="B3348" s="242">
        <v>16.2</v>
      </c>
      <c r="C3348" s="238">
        <v>14.3</v>
      </c>
    </row>
    <row r="3349" spans="1:3" x14ac:dyDescent="0.2">
      <c r="A3349" s="241">
        <v>40355</v>
      </c>
      <c r="B3349" s="242">
        <v>17.399999999999999</v>
      </c>
      <c r="C3349" s="238">
        <v>15.3</v>
      </c>
    </row>
    <row r="3350" spans="1:3" x14ac:dyDescent="0.2">
      <c r="A3350" s="241">
        <v>40356</v>
      </c>
      <c r="B3350" s="242">
        <v>19.7</v>
      </c>
      <c r="C3350" s="238">
        <v>14.6</v>
      </c>
    </row>
    <row r="3351" spans="1:3" x14ac:dyDescent="0.2">
      <c r="A3351" s="241">
        <v>40357</v>
      </c>
      <c r="B3351" s="242">
        <v>18.399999999999999</v>
      </c>
      <c r="C3351" s="238">
        <v>15.1</v>
      </c>
    </row>
    <row r="3352" spans="1:3" x14ac:dyDescent="0.2">
      <c r="A3352" s="241">
        <v>40358</v>
      </c>
      <c r="B3352" s="242">
        <v>16.600000000000001</v>
      </c>
      <c r="C3352" s="238">
        <v>9.5</v>
      </c>
    </row>
    <row r="3353" spans="1:3" x14ac:dyDescent="0.2">
      <c r="A3353" s="241">
        <v>40359</v>
      </c>
      <c r="B3353" s="242">
        <v>16.8</v>
      </c>
      <c r="C3353" s="238">
        <v>3.7</v>
      </c>
    </row>
    <row r="3354" spans="1:3" x14ac:dyDescent="0.2">
      <c r="A3354" s="241">
        <v>40360</v>
      </c>
      <c r="B3354" s="242">
        <v>18.100000000000001</v>
      </c>
      <c r="C3354" s="238">
        <v>8</v>
      </c>
    </row>
    <row r="3355" spans="1:3" x14ac:dyDescent="0.2">
      <c r="A3355" s="241">
        <v>40361</v>
      </c>
      <c r="B3355" s="242">
        <v>23.5</v>
      </c>
      <c r="C3355" s="238">
        <v>12.7</v>
      </c>
    </row>
    <row r="3356" spans="1:3" x14ac:dyDescent="0.2">
      <c r="A3356" s="241">
        <v>40362</v>
      </c>
      <c r="B3356" s="242">
        <v>17.899999999999999</v>
      </c>
      <c r="C3356" s="238">
        <v>3.4</v>
      </c>
    </row>
    <row r="3357" spans="1:3" x14ac:dyDescent="0.2">
      <c r="A3357" s="241">
        <v>40363</v>
      </c>
      <c r="B3357" s="242">
        <v>17.600000000000001</v>
      </c>
      <c r="C3357" s="238">
        <v>15.2</v>
      </c>
    </row>
    <row r="3358" spans="1:3" x14ac:dyDescent="0.2">
      <c r="A3358" s="241">
        <v>40364</v>
      </c>
      <c r="B3358" s="242">
        <v>17.2</v>
      </c>
      <c r="C3358" s="238">
        <v>8.6</v>
      </c>
    </row>
    <row r="3359" spans="1:3" x14ac:dyDescent="0.2">
      <c r="A3359" s="241">
        <v>40365</v>
      </c>
      <c r="B3359" s="242">
        <v>15.3</v>
      </c>
      <c r="C3359" s="238">
        <v>14</v>
      </c>
    </row>
    <row r="3360" spans="1:3" x14ac:dyDescent="0.2">
      <c r="A3360" s="241">
        <v>40366</v>
      </c>
      <c r="B3360" s="242">
        <v>18.2</v>
      </c>
      <c r="C3360" s="238">
        <v>5.8</v>
      </c>
    </row>
    <row r="3361" spans="1:3" x14ac:dyDescent="0.2">
      <c r="A3361" s="241">
        <v>40367</v>
      </c>
      <c r="B3361" s="242">
        <v>19.2</v>
      </c>
      <c r="C3361" s="238">
        <v>9.6999999999999993</v>
      </c>
    </row>
    <row r="3362" spans="1:3" x14ac:dyDescent="0.2">
      <c r="A3362" s="241">
        <v>40368</v>
      </c>
      <c r="B3362" s="242">
        <v>22.1</v>
      </c>
      <c r="C3362" s="238">
        <v>12.2</v>
      </c>
    </row>
    <row r="3363" spans="1:3" x14ac:dyDescent="0.2">
      <c r="A3363" s="241">
        <v>40369</v>
      </c>
      <c r="B3363" s="242">
        <v>20.7</v>
      </c>
      <c r="C3363" s="238">
        <v>12.3</v>
      </c>
    </row>
    <row r="3364" spans="1:3" x14ac:dyDescent="0.2">
      <c r="A3364" s="241">
        <v>40370</v>
      </c>
      <c r="B3364" s="242">
        <v>20.2</v>
      </c>
      <c r="C3364" s="238">
        <v>13.2</v>
      </c>
    </row>
    <row r="3365" spans="1:3" x14ac:dyDescent="0.2">
      <c r="A3365" s="241">
        <v>40371</v>
      </c>
      <c r="B3365" s="242">
        <v>19</v>
      </c>
      <c r="C3365" s="238">
        <v>2.2999999999999998</v>
      </c>
    </row>
    <row r="3366" spans="1:3" x14ac:dyDescent="0.2">
      <c r="A3366" s="241">
        <v>40372</v>
      </c>
      <c r="B3366" s="242">
        <v>18.5</v>
      </c>
      <c r="C3366" s="238">
        <v>3.7</v>
      </c>
    </row>
    <row r="3367" spans="1:3" x14ac:dyDescent="0.2">
      <c r="A3367" s="241">
        <v>40373</v>
      </c>
      <c r="B3367" s="242">
        <v>19.399999999999999</v>
      </c>
      <c r="C3367" s="238">
        <v>8.8000000000000007</v>
      </c>
    </row>
    <row r="3368" spans="1:3" x14ac:dyDescent="0.2">
      <c r="A3368" s="241">
        <v>40374</v>
      </c>
      <c r="B3368" s="242">
        <v>18</v>
      </c>
      <c r="C3368" s="238">
        <v>9.1</v>
      </c>
    </row>
    <row r="3369" spans="1:3" x14ac:dyDescent="0.2">
      <c r="A3369" s="241">
        <v>40375</v>
      </c>
      <c r="B3369" s="242">
        <v>17.899999999999999</v>
      </c>
      <c r="C3369" s="238">
        <v>4.0999999999999996</v>
      </c>
    </row>
    <row r="3370" spans="1:3" x14ac:dyDescent="0.2">
      <c r="A3370" s="241">
        <v>40376</v>
      </c>
      <c r="B3370" s="242">
        <v>16.899999999999999</v>
      </c>
      <c r="C3370" s="238">
        <v>8.8000000000000007</v>
      </c>
    </row>
    <row r="3371" spans="1:3" x14ac:dyDescent="0.2">
      <c r="A3371" s="241">
        <v>40377</v>
      </c>
      <c r="B3371" s="242">
        <v>16.7</v>
      </c>
      <c r="C3371" s="238">
        <v>13.4</v>
      </c>
    </row>
    <row r="3372" spans="1:3" x14ac:dyDescent="0.2">
      <c r="A3372" s="241">
        <v>40378</v>
      </c>
      <c r="B3372" s="242">
        <v>18.100000000000001</v>
      </c>
      <c r="C3372" s="238">
        <v>13.4</v>
      </c>
    </row>
    <row r="3373" spans="1:3" x14ac:dyDescent="0.2">
      <c r="A3373" s="241">
        <v>40379</v>
      </c>
      <c r="B3373" s="242">
        <v>23.2</v>
      </c>
      <c r="C3373" s="238">
        <v>4.4000000000000004</v>
      </c>
    </row>
    <row r="3374" spans="1:3" x14ac:dyDescent="0.2">
      <c r="A3374" s="241">
        <v>40380</v>
      </c>
      <c r="B3374" s="242">
        <v>20.399999999999999</v>
      </c>
      <c r="C3374" s="238">
        <v>5.3</v>
      </c>
    </row>
    <row r="3375" spans="1:3" x14ac:dyDescent="0.2">
      <c r="A3375" s="241">
        <v>40381</v>
      </c>
      <c r="B3375" s="242">
        <v>16.8</v>
      </c>
      <c r="C3375" s="238">
        <v>5.9</v>
      </c>
    </row>
    <row r="3376" spans="1:3" x14ac:dyDescent="0.2">
      <c r="A3376" s="241">
        <v>40382</v>
      </c>
      <c r="B3376" s="242">
        <v>16.2</v>
      </c>
      <c r="C3376" s="238">
        <v>13.2</v>
      </c>
    </row>
    <row r="3377" spans="1:3" x14ac:dyDescent="0.2">
      <c r="A3377" s="241">
        <v>40383</v>
      </c>
      <c r="B3377" s="242">
        <v>15.8</v>
      </c>
      <c r="C3377" s="238">
        <v>12.8</v>
      </c>
    </row>
    <row r="3378" spans="1:3" x14ac:dyDescent="0.2">
      <c r="A3378" s="241">
        <v>40384</v>
      </c>
      <c r="B3378" s="242">
        <v>17.100000000000001</v>
      </c>
      <c r="C3378" s="238">
        <v>2.7</v>
      </c>
    </row>
    <row r="3379" spans="1:3" x14ac:dyDescent="0.2">
      <c r="A3379" s="241">
        <v>40385</v>
      </c>
      <c r="B3379" s="242">
        <v>16.8</v>
      </c>
      <c r="C3379" s="238">
        <v>6.6</v>
      </c>
    </row>
    <row r="3380" spans="1:3" x14ac:dyDescent="0.2">
      <c r="A3380" s="241">
        <v>40386</v>
      </c>
      <c r="B3380" s="242">
        <v>17.8</v>
      </c>
      <c r="C3380" s="238">
        <v>3.2</v>
      </c>
    </row>
    <row r="3381" spans="1:3" x14ac:dyDescent="0.2">
      <c r="A3381" s="241">
        <v>40387</v>
      </c>
      <c r="B3381" s="242">
        <v>17.3</v>
      </c>
      <c r="C3381" s="238">
        <v>9.3000000000000007</v>
      </c>
    </row>
    <row r="3382" spans="1:3" x14ac:dyDescent="0.2">
      <c r="A3382" s="241">
        <v>40388</v>
      </c>
      <c r="B3382" s="242">
        <v>16.600000000000001</v>
      </c>
      <c r="C3382" s="238">
        <v>4.5999999999999996</v>
      </c>
    </row>
    <row r="3383" spans="1:3" x14ac:dyDescent="0.2">
      <c r="A3383" s="241">
        <v>40389</v>
      </c>
      <c r="B3383" s="242">
        <v>17.7</v>
      </c>
      <c r="C3383" s="238">
        <v>13.1</v>
      </c>
    </row>
    <row r="3384" spans="1:3" x14ac:dyDescent="0.2">
      <c r="A3384" s="241">
        <v>40390</v>
      </c>
      <c r="B3384" s="242">
        <v>17.7</v>
      </c>
      <c r="C3384" s="238">
        <v>0</v>
      </c>
    </row>
    <row r="3385" spans="1:3" x14ac:dyDescent="0.2">
      <c r="A3385" s="241">
        <v>40391</v>
      </c>
      <c r="B3385" s="242">
        <v>18.100000000000001</v>
      </c>
      <c r="C3385" s="238">
        <v>7.6</v>
      </c>
    </row>
    <row r="3386" spans="1:3" x14ac:dyDescent="0.2">
      <c r="A3386" s="241">
        <v>40392</v>
      </c>
      <c r="B3386" s="242">
        <v>17.3</v>
      </c>
      <c r="C3386" s="238">
        <v>4.8</v>
      </c>
    </row>
    <row r="3387" spans="1:3" x14ac:dyDescent="0.2">
      <c r="A3387" s="241">
        <v>40393</v>
      </c>
      <c r="B3387" s="242">
        <v>17.8</v>
      </c>
      <c r="C3387" s="238">
        <v>8.6</v>
      </c>
    </row>
    <row r="3388" spans="1:3" x14ac:dyDescent="0.2">
      <c r="A3388" s="241">
        <v>40394</v>
      </c>
      <c r="B3388" s="242">
        <v>16.600000000000001</v>
      </c>
      <c r="C3388" s="238">
        <v>2.8</v>
      </c>
    </row>
    <row r="3389" spans="1:3" x14ac:dyDescent="0.2">
      <c r="A3389" s="241">
        <v>40395</v>
      </c>
      <c r="B3389" s="242">
        <v>16.100000000000001</v>
      </c>
      <c r="C3389" s="238">
        <v>9.3000000000000007</v>
      </c>
    </row>
    <row r="3390" spans="1:3" x14ac:dyDescent="0.2">
      <c r="A3390" s="241">
        <v>40396</v>
      </c>
      <c r="B3390" s="242">
        <v>17.7</v>
      </c>
      <c r="C3390" s="238">
        <v>11.2</v>
      </c>
    </row>
    <row r="3391" spans="1:3" x14ac:dyDescent="0.2">
      <c r="A3391" s="241">
        <v>40397</v>
      </c>
      <c r="B3391" s="242">
        <v>17.5</v>
      </c>
      <c r="C3391" s="238">
        <v>0.3</v>
      </c>
    </row>
    <row r="3392" spans="1:3" x14ac:dyDescent="0.2">
      <c r="A3392" s="241">
        <v>40398</v>
      </c>
      <c r="B3392" s="242">
        <v>17.399999999999999</v>
      </c>
      <c r="C3392" s="238">
        <v>7.5</v>
      </c>
    </row>
    <row r="3393" spans="1:3" x14ac:dyDescent="0.2">
      <c r="A3393" s="241">
        <v>40399</v>
      </c>
      <c r="B3393" s="242">
        <v>18.600000000000001</v>
      </c>
      <c r="C3393" s="238">
        <v>9.9</v>
      </c>
    </row>
    <row r="3394" spans="1:3" x14ac:dyDescent="0.2">
      <c r="A3394" s="241">
        <v>40400</v>
      </c>
      <c r="B3394" s="242">
        <v>17.8</v>
      </c>
      <c r="C3394" s="238">
        <v>0.3</v>
      </c>
    </row>
    <row r="3395" spans="1:3" x14ac:dyDescent="0.2">
      <c r="A3395" s="241">
        <v>40401</v>
      </c>
      <c r="B3395" s="242">
        <v>16.600000000000001</v>
      </c>
      <c r="C3395" s="238">
        <v>10.6</v>
      </c>
    </row>
    <row r="3396" spans="1:3" x14ac:dyDescent="0.2">
      <c r="A3396" s="241">
        <v>40402</v>
      </c>
      <c r="B3396" s="242">
        <v>16</v>
      </c>
      <c r="C3396" s="238">
        <v>4.5</v>
      </c>
    </row>
    <row r="3397" spans="1:3" x14ac:dyDescent="0.2">
      <c r="A3397" s="241">
        <v>40403</v>
      </c>
      <c r="B3397" s="242">
        <v>15.5</v>
      </c>
      <c r="C3397" s="238">
        <v>10.6</v>
      </c>
    </row>
    <row r="3398" spans="1:3" x14ac:dyDescent="0.2">
      <c r="A3398" s="241">
        <v>40404</v>
      </c>
      <c r="B3398" s="242">
        <v>17.899999999999999</v>
      </c>
      <c r="C3398" s="238">
        <v>8.6</v>
      </c>
    </row>
    <row r="3399" spans="1:3" x14ac:dyDescent="0.2">
      <c r="A3399" s="241">
        <v>40405</v>
      </c>
      <c r="B3399" s="242">
        <v>17.399999999999999</v>
      </c>
      <c r="C3399" s="238">
        <v>2.6</v>
      </c>
    </row>
    <row r="3400" spans="1:3" x14ac:dyDescent="0.2">
      <c r="A3400" s="241">
        <v>40406</v>
      </c>
      <c r="B3400" s="242">
        <v>19.3</v>
      </c>
      <c r="C3400" s="238">
        <v>2.9</v>
      </c>
    </row>
    <row r="3401" spans="1:3" x14ac:dyDescent="0.2">
      <c r="A3401" s="241">
        <v>40407</v>
      </c>
      <c r="B3401" s="242">
        <v>16.7</v>
      </c>
      <c r="C3401" s="238">
        <v>0</v>
      </c>
    </row>
    <row r="3402" spans="1:3" x14ac:dyDescent="0.2">
      <c r="A3402" s="241">
        <v>40408</v>
      </c>
      <c r="B3402" s="242">
        <v>17.5</v>
      </c>
      <c r="C3402" s="238">
        <v>4.8</v>
      </c>
    </row>
    <row r="3403" spans="1:3" x14ac:dyDescent="0.2">
      <c r="A3403" s="241">
        <v>40409</v>
      </c>
      <c r="B3403" s="242">
        <v>18.100000000000001</v>
      </c>
      <c r="C3403" s="238">
        <v>10.7</v>
      </c>
    </row>
    <row r="3404" spans="1:3" x14ac:dyDescent="0.2">
      <c r="A3404" s="241">
        <v>40410</v>
      </c>
      <c r="B3404" s="242">
        <v>20.6</v>
      </c>
      <c r="C3404" s="238">
        <v>8.6</v>
      </c>
    </row>
    <row r="3405" spans="1:3" x14ac:dyDescent="0.2">
      <c r="A3405" s="241">
        <v>40411</v>
      </c>
      <c r="B3405" s="242">
        <v>20.3</v>
      </c>
      <c r="C3405" s="238">
        <v>5.8</v>
      </c>
    </row>
    <row r="3406" spans="1:3" x14ac:dyDescent="0.2">
      <c r="A3406" s="241">
        <v>40412</v>
      </c>
      <c r="B3406" s="242">
        <v>18.8</v>
      </c>
      <c r="C3406" s="238">
        <v>0.8</v>
      </c>
    </row>
    <row r="3407" spans="1:3" x14ac:dyDescent="0.2">
      <c r="A3407" s="241">
        <v>40413</v>
      </c>
      <c r="B3407" s="242">
        <v>18.600000000000001</v>
      </c>
      <c r="C3407" s="238">
        <v>3.8</v>
      </c>
    </row>
    <row r="3408" spans="1:3" x14ac:dyDescent="0.2">
      <c r="A3408" s="241">
        <v>40414</v>
      </c>
      <c r="B3408" s="242">
        <v>16.8</v>
      </c>
      <c r="C3408" s="238">
        <v>9.4</v>
      </c>
    </row>
    <row r="3409" spans="1:3" x14ac:dyDescent="0.2">
      <c r="A3409" s="241">
        <v>40415</v>
      </c>
      <c r="B3409" s="242">
        <v>16.3</v>
      </c>
      <c r="C3409" s="238">
        <v>6</v>
      </c>
    </row>
    <row r="3410" spans="1:3" x14ac:dyDescent="0.2">
      <c r="A3410" s="241">
        <v>40416</v>
      </c>
      <c r="B3410" s="242">
        <v>15.8</v>
      </c>
      <c r="C3410" s="238">
        <v>0</v>
      </c>
    </row>
    <row r="3411" spans="1:3" x14ac:dyDescent="0.2">
      <c r="A3411" s="241">
        <v>40417</v>
      </c>
      <c r="B3411" s="242">
        <v>14.8</v>
      </c>
      <c r="C3411" s="238">
        <v>2.5</v>
      </c>
    </row>
    <row r="3412" spans="1:3" x14ac:dyDescent="0.2">
      <c r="A3412" s="241">
        <v>40418</v>
      </c>
      <c r="B3412" s="242">
        <v>15.3</v>
      </c>
      <c r="C3412" s="238">
        <v>8.6999999999999993</v>
      </c>
    </row>
    <row r="3413" spans="1:3" x14ac:dyDescent="0.2">
      <c r="A3413" s="241">
        <v>40419</v>
      </c>
      <c r="B3413" s="242">
        <v>14</v>
      </c>
      <c r="C3413" s="238">
        <v>2.4</v>
      </c>
    </row>
    <row r="3414" spans="1:3" x14ac:dyDescent="0.2">
      <c r="A3414" s="241">
        <v>40420</v>
      </c>
      <c r="B3414" s="242">
        <v>15.3</v>
      </c>
      <c r="C3414" s="238">
        <v>7.3</v>
      </c>
    </row>
    <row r="3415" spans="1:3" x14ac:dyDescent="0.2">
      <c r="A3415" s="241">
        <v>40421</v>
      </c>
      <c r="B3415" s="242">
        <v>13.3</v>
      </c>
      <c r="C3415" s="238">
        <v>9.6999999999999993</v>
      </c>
    </row>
    <row r="3416" spans="1:3" x14ac:dyDescent="0.2">
      <c r="A3416" s="241">
        <v>40422</v>
      </c>
      <c r="B3416" s="242">
        <v>13</v>
      </c>
      <c r="C3416" s="238">
        <v>10.7</v>
      </c>
    </row>
    <row r="3417" spans="1:3" x14ac:dyDescent="0.2">
      <c r="A3417" s="241">
        <v>40423</v>
      </c>
      <c r="B3417" s="242">
        <v>12.6</v>
      </c>
      <c r="C3417" s="238">
        <v>2.8</v>
      </c>
    </row>
    <row r="3418" spans="1:3" x14ac:dyDescent="0.2">
      <c r="A3418" s="241">
        <v>40424</v>
      </c>
      <c r="B3418" s="242">
        <v>13.5</v>
      </c>
      <c r="C3418" s="238">
        <v>7.5</v>
      </c>
    </row>
    <row r="3419" spans="1:3" x14ac:dyDescent="0.2">
      <c r="A3419" s="241">
        <v>40425</v>
      </c>
      <c r="B3419" s="242">
        <v>13.2</v>
      </c>
      <c r="C3419" s="238">
        <v>9.1</v>
      </c>
    </row>
    <row r="3420" spans="1:3" x14ac:dyDescent="0.2">
      <c r="A3420" s="241">
        <v>40426</v>
      </c>
      <c r="B3420" s="242">
        <v>13.6</v>
      </c>
      <c r="C3420" s="238">
        <v>10.9</v>
      </c>
    </row>
    <row r="3421" spans="1:3" x14ac:dyDescent="0.2">
      <c r="A3421" s="241">
        <v>40427</v>
      </c>
      <c r="B3421" s="242">
        <v>15.2</v>
      </c>
      <c r="C3421" s="238">
        <v>11.1</v>
      </c>
    </row>
    <row r="3422" spans="1:3" x14ac:dyDescent="0.2">
      <c r="A3422" s="241">
        <v>40428</v>
      </c>
      <c r="B3422" s="242">
        <v>12.4</v>
      </c>
      <c r="C3422" s="238">
        <v>0</v>
      </c>
    </row>
    <row r="3423" spans="1:3" x14ac:dyDescent="0.2">
      <c r="A3423" s="241">
        <v>40429</v>
      </c>
      <c r="B3423" s="242">
        <v>14.4</v>
      </c>
      <c r="C3423" s="238">
        <v>0.2</v>
      </c>
    </row>
    <row r="3424" spans="1:3" x14ac:dyDescent="0.2">
      <c r="A3424" s="241">
        <v>40430</v>
      </c>
      <c r="B3424" s="242">
        <v>16.7</v>
      </c>
      <c r="C3424" s="238">
        <v>7</v>
      </c>
    </row>
    <row r="3425" spans="1:3" x14ac:dyDescent="0.2">
      <c r="A3425" s="241">
        <v>40431</v>
      </c>
      <c r="B3425" s="242">
        <v>16.5</v>
      </c>
      <c r="C3425" s="238">
        <v>1.3</v>
      </c>
    </row>
    <row r="3426" spans="1:3" x14ac:dyDescent="0.2">
      <c r="A3426" s="241">
        <v>40432</v>
      </c>
      <c r="B3426" s="242">
        <v>18</v>
      </c>
      <c r="C3426" s="238">
        <v>5.9</v>
      </c>
    </row>
    <row r="3427" spans="1:3" x14ac:dyDescent="0.2">
      <c r="A3427" s="241">
        <v>40433</v>
      </c>
      <c r="B3427" s="242">
        <v>16.100000000000001</v>
      </c>
      <c r="C3427" s="238">
        <v>3.9</v>
      </c>
    </row>
    <row r="3428" spans="1:3" x14ac:dyDescent="0.2">
      <c r="A3428" s="241">
        <v>40434</v>
      </c>
      <c r="B3428" s="242">
        <v>16.399999999999999</v>
      </c>
      <c r="C3428" s="238">
        <v>5.9</v>
      </c>
    </row>
    <row r="3429" spans="1:3" x14ac:dyDescent="0.2">
      <c r="A3429" s="241">
        <v>40435</v>
      </c>
      <c r="B3429" s="242">
        <v>16.5</v>
      </c>
      <c r="C3429" s="238">
        <v>0</v>
      </c>
    </row>
    <row r="3430" spans="1:3" x14ac:dyDescent="0.2">
      <c r="A3430" s="241">
        <v>40436</v>
      </c>
      <c r="B3430" s="242">
        <v>14.2</v>
      </c>
      <c r="C3430" s="238">
        <v>5.6</v>
      </c>
    </row>
    <row r="3431" spans="1:3" x14ac:dyDescent="0.2">
      <c r="A3431" s="241">
        <v>40437</v>
      </c>
      <c r="B3431" s="242">
        <v>13.6</v>
      </c>
      <c r="C3431" s="238">
        <v>2.7</v>
      </c>
    </row>
    <row r="3432" spans="1:3" x14ac:dyDescent="0.2">
      <c r="A3432" s="241">
        <v>40438</v>
      </c>
      <c r="B3432" s="242">
        <v>12.7</v>
      </c>
      <c r="C3432" s="238">
        <v>5.4</v>
      </c>
    </row>
    <row r="3433" spans="1:3" x14ac:dyDescent="0.2">
      <c r="A3433" s="241">
        <v>40439</v>
      </c>
      <c r="B3433" s="242">
        <v>13.4</v>
      </c>
      <c r="C3433" s="238">
        <v>4.7</v>
      </c>
    </row>
    <row r="3434" spans="1:3" x14ac:dyDescent="0.2">
      <c r="A3434" s="241">
        <v>40440</v>
      </c>
      <c r="B3434" s="242">
        <v>14.9</v>
      </c>
      <c r="C3434" s="238">
        <v>0.4</v>
      </c>
    </row>
    <row r="3435" spans="1:3" x14ac:dyDescent="0.2">
      <c r="A3435" s="241">
        <v>40441</v>
      </c>
      <c r="B3435" s="242">
        <v>16.399999999999999</v>
      </c>
      <c r="C3435" s="238">
        <v>1.8</v>
      </c>
    </row>
    <row r="3436" spans="1:3" x14ac:dyDescent="0.2">
      <c r="A3436" s="241">
        <v>40442</v>
      </c>
      <c r="B3436" s="242">
        <v>14.6</v>
      </c>
      <c r="C3436" s="238">
        <v>9</v>
      </c>
    </row>
    <row r="3437" spans="1:3" x14ac:dyDescent="0.2">
      <c r="A3437" s="241">
        <v>40443</v>
      </c>
      <c r="B3437" s="242">
        <v>16</v>
      </c>
      <c r="C3437" s="238">
        <v>8.6999999999999993</v>
      </c>
    </row>
    <row r="3438" spans="1:3" x14ac:dyDescent="0.2">
      <c r="A3438" s="241">
        <v>40444</v>
      </c>
      <c r="B3438" s="242">
        <v>16.8</v>
      </c>
      <c r="C3438" s="238">
        <v>0</v>
      </c>
    </row>
    <row r="3439" spans="1:3" x14ac:dyDescent="0.2">
      <c r="A3439" s="241">
        <v>40445</v>
      </c>
      <c r="B3439" s="242">
        <v>14.9</v>
      </c>
      <c r="C3439" s="238">
        <v>7</v>
      </c>
    </row>
    <row r="3440" spans="1:3" x14ac:dyDescent="0.2">
      <c r="A3440" s="241">
        <v>40446</v>
      </c>
      <c r="B3440" s="242">
        <v>11.6</v>
      </c>
      <c r="C3440" s="238">
        <v>6.1</v>
      </c>
    </row>
    <row r="3441" spans="1:3" x14ac:dyDescent="0.2">
      <c r="A3441" s="241">
        <v>40447</v>
      </c>
      <c r="B3441" s="242">
        <v>9.1999999999999993</v>
      </c>
      <c r="C3441" s="238">
        <v>6.6</v>
      </c>
    </row>
    <row r="3442" spans="1:3" x14ac:dyDescent="0.2">
      <c r="A3442" s="241">
        <v>40448</v>
      </c>
      <c r="B3442" s="242">
        <v>12.1</v>
      </c>
      <c r="C3442" s="238">
        <v>0</v>
      </c>
    </row>
    <row r="3443" spans="1:3" x14ac:dyDescent="0.2">
      <c r="A3443" s="241">
        <v>40449</v>
      </c>
      <c r="B3443" s="242">
        <v>12.5</v>
      </c>
      <c r="C3443" s="238">
        <v>0</v>
      </c>
    </row>
    <row r="3444" spans="1:3" x14ac:dyDescent="0.2">
      <c r="A3444" s="241">
        <v>40450</v>
      </c>
      <c r="B3444" s="242">
        <v>10.6</v>
      </c>
      <c r="C3444" s="238">
        <v>8.1999999999999993</v>
      </c>
    </row>
    <row r="3445" spans="1:3" x14ac:dyDescent="0.2">
      <c r="A3445" s="241">
        <v>40451</v>
      </c>
      <c r="B3445" s="242">
        <v>11.5</v>
      </c>
      <c r="C3445" s="238">
        <v>1</v>
      </c>
    </row>
    <row r="3446" spans="1:3" x14ac:dyDescent="0.2">
      <c r="A3446" s="241">
        <v>40452</v>
      </c>
      <c r="B3446" s="242">
        <v>13.1</v>
      </c>
      <c r="C3446" s="238">
        <v>7.7</v>
      </c>
    </row>
    <row r="3447" spans="1:3" x14ac:dyDescent="0.2">
      <c r="A3447" s="241">
        <v>40453</v>
      </c>
      <c r="B3447" s="242">
        <v>15.7</v>
      </c>
      <c r="C3447" s="238">
        <v>4.5</v>
      </c>
    </row>
    <row r="3448" spans="1:3" x14ac:dyDescent="0.2">
      <c r="A3448" s="241">
        <v>40454</v>
      </c>
      <c r="B3448" s="242">
        <v>18.8</v>
      </c>
      <c r="C3448" s="238">
        <v>7.5</v>
      </c>
    </row>
    <row r="3449" spans="1:3" x14ac:dyDescent="0.2">
      <c r="A3449" s="241">
        <v>40455</v>
      </c>
      <c r="B3449" s="242">
        <v>18.3</v>
      </c>
      <c r="C3449" s="238">
        <v>1.7</v>
      </c>
    </row>
    <row r="3450" spans="1:3" x14ac:dyDescent="0.2">
      <c r="A3450" s="241">
        <v>40456</v>
      </c>
      <c r="B3450" s="242">
        <v>16.899999999999999</v>
      </c>
      <c r="C3450" s="238">
        <v>4.3</v>
      </c>
    </row>
    <row r="3451" spans="1:3" x14ac:dyDescent="0.2">
      <c r="A3451" s="241">
        <v>40457</v>
      </c>
      <c r="B3451" s="242">
        <v>15.8</v>
      </c>
      <c r="C3451" s="238">
        <v>0</v>
      </c>
    </row>
    <row r="3452" spans="1:3" x14ac:dyDescent="0.2">
      <c r="A3452" s="241">
        <v>40458</v>
      </c>
      <c r="B3452" s="242">
        <v>12.9</v>
      </c>
      <c r="C3452" s="238">
        <v>5.0999999999999996</v>
      </c>
    </row>
    <row r="3453" spans="1:3" x14ac:dyDescent="0.2">
      <c r="A3453" s="241">
        <v>40459</v>
      </c>
      <c r="B3453" s="242">
        <v>14.8</v>
      </c>
      <c r="C3453" s="238">
        <v>0</v>
      </c>
    </row>
    <row r="3454" spans="1:3" x14ac:dyDescent="0.2">
      <c r="A3454" s="241">
        <v>40460</v>
      </c>
      <c r="B3454" s="242">
        <v>13.3</v>
      </c>
      <c r="C3454" s="238">
        <v>9.1999999999999993</v>
      </c>
    </row>
    <row r="3455" spans="1:3" x14ac:dyDescent="0.2">
      <c r="A3455" s="241">
        <v>40461</v>
      </c>
      <c r="B3455" s="242">
        <v>11.1</v>
      </c>
      <c r="C3455" s="238">
        <v>10</v>
      </c>
    </row>
    <row r="3456" spans="1:3" x14ac:dyDescent="0.2">
      <c r="A3456" s="241">
        <v>40462</v>
      </c>
      <c r="B3456" s="242">
        <v>10</v>
      </c>
      <c r="C3456" s="238">
        <v>9.8000000000000007</v>
      </c>
    </row>
    <row r="3457" spans="1:3" x14ac:dyDescent="0.2">
      <c r="A3457" s="241">
        <v>40463</v>
      </c>
      <c r="B3457" s="242">
        <v>9.5</v>
      </c>
      <c r="C3457" s="238">
        <v>5</v>
      </c>
    </row>
    <row r="3458" spans="1:3" x14ac:dyDescent="0.2">
      <c r="A3458" s="241">
        <v>40464</v>
      </c>
      <c r="B3458" s="242">
        <v>11.2</v>
      </c>
      <c r="C3458" s="238">
        <v>0.2</v>
      </c>
    </row>
    <row r="3459" spans="1:3" x14ac:dyDescent="0.2">
      <c r="A3459" s="241">
        <v>40465</v>
      </c>
      <c r="B3459" s="242">
        <v>10.9</v>
      </c>
      <c r="C3459" s="238">
        <v>0.5</v>
      </c>
    </row>
    <row r="3460" spans="1:3" x14ac:dyDescent="0.2">
      <c r="A3460" s="241">
        <v>40466</v>
      </c>
      <c r="B3460" s="242">
        <v>10.5</v>
      </c>
      <c r="C3460" s="238">
        <v>0</v>
      </c>
    </row>
    <row r="3461" spans="1:3" x14ac:dyDescent="0.2">
      <c r="A3461" s="241">
        <v>40467</v>
      </c>
      <c r="B3461" s="242">
        <v>7.6</v>
      </c>
      <c r="C3461" s="238">
        <v>8</v>
      </c>
    </row>
    <row r="3462" spans="1:3" x14ac:dyDescent="0.2">
      <c r="A3462" s="241">
        <v>40468</v>
      </c>
      <c r="B3462" s="242">
        <v>4.5</v>
      </c>
      <c r="C3462" s="238">
        <v>9.5</v>
      </c>
    </row>
    <row r="3463" spans="1:3" x14ac:dyDescent="0.2">
      <c r="A3463" s="241">
        <v>40469</v>
      </c>
      <c r="B3463" s="242">
        <v>10.4</v>
      </c>
      <c r="C3463" s="238">
        <v>1.7</v>
      </c>
    </row>
    <row r="3464" spans="1:3" x14ac:dyDescent="0.2">
      <c r="A3464" s="241">
        <v>40470</v>
      </c>
      <c r="B3464" s="242">
        <v>10.3</v>
      </c>
      <c r="C3464" s="238">
        <v>3.9</v>
      </c>
    </row>
    <row r="3465" spans="1:3" x14ac:dyDescent="0.2">
      <c r="A3465" s="241">
        <v>40471</v>
      </c>
      <c r="B3465" s="242">
        <v>7.9</v>
      </c>
      <c r="C3465" s="238">
        <v>4.4000000000000004</v>
      </c>
    </row>
    <row r="3466" spans="1:3" x14ac:dyDescent="0.2">
      <c r="A3466" s="241">
        <v>40472</v>
      </c>
      <c r="B3466" s="242">
        <v>10.5</v>
      </c>
      <c r="C3466" s="238">
        <v>5.3</v>
      </c>
    </row>
    <row r="3467" spans="1:3" x14ac:dyDescent="0.2">
      <c r="A3467" s="241">
        <v>40473</v>
      </c>
      <c r="B3467" s="242">
        <v>11.8</v>
      </c>
      <c r="C3467" s="238">
        <v>5.8</v>
      </c>
    </row>
    <row r="3468" spans="1:3" x14ac:dyDescent="0.2">
      <c r="A3468" s="241">
        <v>40474</v>
      </c>
      <c r="B3468" s="242">
        <v>8.9</v>
      </c>
      <c r="C3468" s="238">
        <v>0</v>
      </c>
    </row>
    <row r="3469" spans="1:3" x14ac:dyDescent="0.2">
      <c r="A3469" s="241">
        <v>40475</v>
      </c>
      <c r="B3469" s="242">
        <v>9.4</v>
      </c>
      <c r="C3469" s="238">
        <v>5.6</v>
      </c>
    </row>
    <row r="3470" spans="1:3" x14ac:dyDescent="0.2">
      <c r="A3470" s="241">
        <v>40476</v>
      </c>
      <c r="B3470" s="242">
        <v>9.3000000000000007</v>
      </c>
      <c r="C3470" s="238">
        <v>7.3</v>
      </c>
    </row>
    <row r="3471" spans="1:3" x14ac:dyDescent="0.2">
      <c r="A3471" s="241">
        <v>40477</v>
      </c>
      <c r="B3471" s="242">
        <v>9.4</v>
      </c>
      <c r="C3471" s="238">
        <v>0</v>
      </c>
    </row>
    <row r="3472" spans="1:3" x14ac:dyDescent="0.2">
      <c r="A3472" s="241">
        <v>40478</v>
      </c>
      <c r="B3472" s="242">
        <v>10.3</v>
      </c>
      <c r="C3472" s="238">
        <v>0</v>
      </c>
    </row>
    <row r="3473" spans="1:3" x14ac:dyDescent="0.2">
      <c r="A3473" s="241">
        <v>40479</v>
      </c>
      <c r="B3473" s="242">
        <v>12.1</v>
      </c>
      <c r="C3473" s="238">
        <v>0.4</v>
      </c>
    </row>
    <row r="3474" spans="1:3" x14ac:dyDescent="0.2">
      <c r="A3474" s="241">
        <v>40480</v>
      </c>
      <c r="B3474" s="242">
        <v>11</v>
      </c>
      <c r="C3474" s="238">
        <v>0.1</v>
      </c>
    </row>
    <row r="3475" spans="1:3" x14ac:dyDescent="0.2">
      <c r="A3475" s="241">
        <v>40481</v>
      </c>
      <c r="B3475" s="242">
        <v>11.9</v>
      </c>
      <c r="C3475" s="238">
        <v>3.1</v>
      </c>
    </row>
    <row r="3476" spans="1:3" x14ac:dyDescent="0.2">
      <c r="A3476" s="241">
        <v>40482</v>
      </c>
      <c r="B3476" s="242">
        <v>9.4</v>
      </c>
      <c r="C3476" s="238">
        <v>0</v>
      </c>
    </row>
    <row r="3477" spans="1:3" x14ac:dyDescent="0.2">
      <c r="A3477" s="241">
        <v>40483</v>
      </c>
      <c r="B3477" s="242">
        <v>8.4</v>
      </c>
      <c r="C3477" s="238">
        <v>0</v>
      </c>
    </row>
    <row r="3478" spans="1:3" x14ac:dyDescent="0.2">
      <c r="A3478" s="241">
        <v>40484</v>
      </c>
      <c r="B3478" s="242">
        <v>11.8</v>
      </c>
      <c r="C3478" s="238">
        <v>1.1000000000000001</v>
      </c>
    </row>
    <row r="3479" spans="1:3" x14ac:dyDescent="0.2">
      <c r="A3479" s="241">
        <v>40485</v>
      </c>
      <c r="B3479" s="242">
        <v>12.6</v>
      </c>
      <c r="C3479" s="238">
        <v>2.2000000000000002</v>
      </c>
    </row>
    <row r="3480" spans="1:3" x14ac:dyDescent="0.2">
      <c r="A3480" s="241">
        <v>40486</v>
      </c>
      <c r="B3480" s="242">
        <v>14</v>
      </c>
      <c r="C3480" s="238">
        <v>0</v>
      </c>
    </row>
    <row r="3481" spans="1:3" x14ac:dyDescent="0.2">
      <c r="A3481" s="241">
        <v>40487</v>
      </c>
      <c r="B3481" s="242">
        <v>12.6</v>
      </c>
      <c r="C3481" s="238">
        <v>0</v>
      </c>
    </row>
    <row r="3482" spans="1:3" x14ac:dyDescent="0.2">
      <c r="A3482" s="241">
        <v>40488</v>
      </c>
      <c r="B3482" s="242">
        <v>9.5</v>
      </c>
      <c r="C3482" s="238">
        <v>0.9</v>
      </c>
    </row>
    <row r="3483" spans="1:3" x14ac:dyDescent="0.2">
      <c r="A3483" s="241">
        <v>40489</v>
      </c>
      <c r="B3483" s="242">
        <v>5.6</v>
      </c>
      <c r="C3483" s="238">
        <v>1</v>
      </c>
    </row>
    <row r="3484" spans="1:3" x14ac:dyDescent="0.2">
      <c r="A3484" s="241">
        <v>40490</v>
      </c>
      <c r="B3484" s="242">
        <v>5.2</v>
      </c>
      <c r="C3484" s="238">
        <v>0.7</v>
      </c>
    </row>
    <row r="3485" spans="1:3" x14ac:dyDescent="0.2">
      <c r="A3485" s="241">
        <v>40491</v>
      </c>
      <c r="B3485" s="242">
        <v>4.5</v>
      </c>
      <c r="C3485" s="238">
        <v>0</v>
      </c>
    </row>
    <row r="3486" spans="1:3" x14ac:dyDescent="0.2">
      <c r="A3486" s="241">
        <v>40492</v>
      </c>
      <c r="B3486" s="242">
        <v>6.4</v>
      </c>
      <c r="C3486" s="238">
        <v>2.6</v>
      </c>
    </row>
    <row r="3487" spans="1:3" x14ac:dyDescent="0.2">
      <c r="A3487" s="241">
        <v>40493</v>
      </c>
      <c r="B3487" s="242">
        <v>8.1999999999999993</v>
      </c>
      <c r="C3487" s="238">
        <v>0.2</v>
      </c>
    </row>
    <row r="3488" spans="1:3" x14ac:dyDescent="0.2">
      <c r="A3488" s="241">
        <v>40494</v>
      </c>
      <c r="B3488" s="242">
        <v>11.6</v>
      </c>
      <c r="C3488" s="238">
        <v>2.4</v>
      </c>
    </row>
    <row r="3489" spans="1:3" x14ac:dyDescent="0.2">
      <c r="A3489" s="241">
        <v>40495</v>
      </c>
      <c r="B3489" s="242">
        <v>10.7</v>
      </c>
      <c r="C3489" s="238">
        <v>0</v>
      </c>
    </row>
    <row r="3490" spans="1:3" x14ac:dyDescent="0.2">
      <c r="A3490" s="241">
        <v>40496</v>
      </c>
      <c r="B3490" s="242">
        <v>10.5</v>
      </c>
      <c r="C3490" s="238">
        <v>0</v>
      </c>
    </row>
    <row r="3491" spans="1:3" x14ac:dyDescent="0.2">
      <c r="A3491" s="241">
        <v>40497</v>
      </c>
      <c r="B3491" s="242">
        <v>6.2</v>
      </c>
      <c r="C3491" s="238">
        <v>2.9</v>
      </c>
    </row>
    <row r="3492" spans="1:3" x14ac:dyDescent="0.2">
      <c r="A3492" s="241">
        <v>40498</v>
      </c>
      <c r="B3492" s="242">
        <v>4.0999999999999996</v>
      </c>
      <c r="C3492" s="238">
        <v>6</v>
      </c>
    </row>
    <row r="3493" spans="1:3" x14ac:dyDescent="0.2">
      <c r="A3493" s="241">
        <v>40499</v>
      </c>
      <c r="B3493" s="242">
        <v>4.2</v>
      </c>
      <c r="C3493" s="238">
        <v>0</v>
      </c>
    </row>
    <row r="3494" spans="1:3" x14ac:dyDescent="0.2">
      <c r="A3494" s="241">
        <v>40500</v>
      </c>
      <c r="B3494" s="242">
        <v>5</v>
      </c>
      <c r="C3494" s="238">
        <v>0.7</v>
      </c>
    </row>
    <row r="3495" spans="1:3" x14ac:dyDescent="0.2">
      <c r="A3495" s="241">
        <v>40501</v>
      </c>
      <c r="B3495" s="242">
        <v>7</v>
      </c>
      <c r="C3495" s="238">
        <v>2.9</v>
      </c>
    </row>
    <row r="3496" spans="1:3" x14ac:dyDescent="0.2">
      <c r="A3496" s="241">
        <v>40502</v>
      </c>
      <c r="B3496" s="242">
        <v>5.4</v>
      </c>
      <c r="C3496" s="238">
        <v>2</v>
      </c>
    </row>
    <row r="3497" spans="1:3" x14ac:dyDescent="0.2">
      <c r="A3497" s="241">
        <v>40503</v>
      </c>
      <c r="B3497" s="242">
        <v>5</v>
      </c>
      <c r="C3497" s="238">
        <v>3.8</v>
      </c>
    </row>
    <row r="3498" spans="1:3" x14ac:dyDescent="0.2">
      <c r="A3498" s="241">
        <v>40504</v>
      </c>
      <c r="B3498" s="242">
        <v>4.4000000000000004</v>
      </c>
      <c r="C3498" s="238">
        <v>3.3</v>
      </c>
    </row>
    <row r="3499" spans="1:3" x14ac:dyDescent="0.2">
      <c r="A3499" s="241">
        <v>40505</v>
      </c>
      <c r="B3499" s="242">
        <v>5.0999999999999996</v>
      </c>
      <c r="C3499" s="238">
        <v>2.7</v>
      </c>
    </row>
    <row r="3500" spans="1:3" x14ac:dyDescent="0.2">
      <c r="A3500" s="241">
        <v>40506</v>
      </c>
      <c r="B3500" s="242">
        <v>2.9</v>
      </c>
      <c r="C3500" s="238">
        <v>2.9</v>
      </c>
    </row>
    <row r="3501" spans="1:3" x14ac:dyDescent="0.2">
      <c r="A3501" s="241">
        <v>40507</v>
      </c>
      <c r="B3501" s="242">
        <v>1.8</v>
      </c>
      <c r="C3501" s="238">
        <v>1</v>
      </c>
    </row>
    <row r="3502" spans="1:3" x14ac:dyDescent="0.2">
      <c r="A3502" s="241">
        <v>40508</v>
      </c>
      <c r="B3502" s="242">
        <v>-0.2</v>
      </c>
      <c r="C3502" s="238">
        <v>4.3</v>
      </c>
    </row>
    <row r="3503" spans="1:3" x14ac:dyDescent="0.2">
      <c r="A3503" s="241">
        <v>40509</v>
      </c>
      <c r="B3503" s="242">
        <v>0.7</v>
      </c>
      <c r="C3503" s="238">
        <v>0</v>
      </c>
    </row>
    <row r="3504" spans="1:3" x14ac:dyDescent="0.2">
      <c r="A3504" s="241">
        <v>40510</v>
      </c>
      <c r="B3504" s="242">
        <v>-2.2000000000000002</v>
      </c>
      <c r="C3504" s="238">
        <v>4</v>
      </c>
    </row>
    <row r="3505" spans="1:3" x14ac:dyDescent="0.2">
      <c r="A3505" s="241">
        <v>40511</v>
      </c>
      <c r="B3505" s="242">
        <v>-1.9</v>
      </c>
      <c r="C3505" s="238">
        <v>0</v>
      </c>
    </row>
    <row r="3506" spans="1:3" x14ac:dyDescent="0.2">
      <c r="A3506" s="241">
        <v>40512</v>
      </c>
      <c r="B3506" s="242">
        <v>-1.5</v>
      </c>
      <c r="C3506" s="238">
        <v>1.1000000000000001</v>
      </c>
    </row>
    <row r="3507" spans="1:3" x14ac:dyDescent="0.2">
      <c r="A3507" s="241">
        <v>40513</v>
      </c>
      <c r="B3507" s="242">
        <v>-5.5</v>
      </c>
      <c r="C3507" s="238">
        <v>2.2000000000000002</v>
      </c>
    </row>
    <row r="3508" spans="1:3" x14ac:dyDescent="0.2">
      <c r="A3508" s="241">
        <v>40514</v>
      </c>
      <c r="B3508" s="242">
        <v>-6.2</v>
      </c>
      <c r="C3508" s="238">
        <v>0.8</v>
      </c>
    </row>
    <row r="3509" spans="1:3" x14ac:dyDescent="0.2">
      <c r="A3509" s="241">
        <v>40515</v>
      </c>
      <c r="B3509" s="242">
        <v>-2.2999999999999998</v>
      </c>
      <c r="C3509" s="238">
        <v>1.2</v>
      </c>
    </row>
    <row r="3510" spans="1:3" x14ac:dyDescent="0.2">
      <c r="A3510" s="241">
        <v>40516</v>
      </c>
      <c r="B3510" s="242">
        <v>-0.8</v>
      </c>
      <c r="C3510" s="238">
        <v>0</v>
      </c>
    </row>
    <row r="3511" spans="1:3" x14ac:dyDescent="0.2">
      <c r="A3511" s="241">
        <v>40517</v>
      </c>
      <c r="B3511" s="242">
        <v>3</v>
      </c>
      <c r="C3511" s="238">
        <v>2.9</v>
      </c>
    </row>
    <row r="3512" spans="1:3" x14ac:dyDescent="0.2">
      <c r="A3512" s="241">
        <v>40518</v>
      </c>
      <c r="B3512" s="242">
        <v>0.1</v>
      </c>
      <c r="C3512" s="238">
        <v>1</v>
      </c>
    </row>
    <row r="3513" spans="1:3" x14ac:dyDescent="0.2">
      <c r="A3513" s="241">
        <v>40519</v>
      </c>
      <c r="B3513" s="242">
        <v>-3.1</v>
      </c>
      <c r="C3513" s="238">
        <v>1</v>
      </c>
    </row>
    <row r="3514" spans="1:3" x14ac:dyDescent="0.2">
      <c r="A3514" s="241">
        <v>40520</v>
      </c>
      <c r="B3514" s="242">
        <v>-1.5</v>
      </c>
      <c r="C3514" s="238">
        <v>0</v>
      </c>
    </row>
    <row r="3515" spans="1:3" x14ac:dyDescent="0.2">
      <c r="A3515" s="241">
        <v>40521</v>
      </c>
      <c r="B3515" s="242">
        <v>4.5999999999999996</v>
      </c>
      <c r="C3515" s="238">
        <v>3.3</v>
      </c>
    </row>
    <row r="3516" spans="1:3" x14ac:dyDescent="0.2">
      <c r="A3516" s="241">
        <v>40522</v>
      </c>
      <c r="B3516" s="242">
        <v>4.9000000000000004</v>
      </c>
      <c r="C3516" s="238">
        <v>0</v>
      </c>
    </row>
    <row r="3517" spans="1:3" x14ac:dyDescent="0.2">
      <c r="A3517" s="241">
        <v>40523</v>
      </c>
      <c r="B3517" s="242">
        <v>7.3</v>
      </c>
      <c r="C3517" s="238">
        <v>0.2</v>
      </c>
    </row>
    <row r="3518" spans="1:3" x14ac:dyDescent="0.2">
      <c r="A3518" s="241">
        <v>40524</v>
      </c>
      <c r="B3518" s="242">
        <v>3.4</v>
      </c>
      <c r="C3518" s="238">
        <v>2.1</v>
      </c>
    </row>
    <row r="3519" spans="1:3" x14ac:dyDescent="0.2">
      <c r="A3519" s="241">
        <v>40525</v>
      </c>
      <c r="B3519" s="242">
        <v>-0.5</v>
      </c>
      <c r="C3519" s="238">
        <v>0.5</v>
      </c>
    </row>
    <row r="3520" spans="1:3" x14ac:dyDescent="0.2">
      <c r="A3520" s="241">
        <v>40526</v>
      </c>
      <c r="B3520" s="242">
        <v>-3</v>
      </c>
      <c r="C3520" s="238">
        <v>1.3</v>
      </c>
    </row>
    <row r="3521" spans="1:3" x14ac:dyDescent="0.2">
      <c r="A3521" s="241">
        <v>40527</v>
      </c>
      <c r="B3521" s="242">
        <v>2.8</v>
      </c>
      <c r="C3521" s="238">
        <v>3.4</v>
      </c>
    </row>
    <row r="3522" spans="1:3" x14ac:dyDescent="0.2">
      <c r="A3522" s="241">
        <v>40528</v>
      </c>
      <c r="B3522" s="242">
        <v>2.8</v>
      </c>
      <c r="C3522" s="238">
        <v>0</v>
      </c>
    </row>
    <row r="3523" spans="1:3" x14ac:dyDescent="0.2">
      <c r="A3523" s="241">
        <v>40529</v>
      </c>
      <c r="B3523" s="242">
        <v>-0.8</v>
      </c>
      <c r="C3523" s="238">
        <v>0</v>
      </c>
    </row>
    <row r="3524" spans="1:3" x14ac:dyDescent="0.2">
      <c r="A3524" s="241">
        <v>40530</v>
      </c>
      <c r="B3524" s="242">
        <v>-3</v>
      </c>
      <c r="C3524" s="238">
        <v>3.7</v>
      </c>
    </row>
    <row r="3525" spans="1:3" x14ac:dyDescent="0.2">
      <c r="A3525" s="241">
        <v>40531</v>
      </c>
      <c r="B3525" s="242">
        <v>-5.3</v>
      </c>
      <c r="C3525" s="238">
        <v>0</v>
      </c>
    </row>
    <row r="3526" spans="1:3" x14ac:dyDescent="0.2">
      <c r="A3526" s="241">
        <v>40532</v>
      </c>
      <c r="B3526" s="242">
        <v>-3.5</v>
      </c>
      <c r="C3526" s="238">
        <v>4.0999999999999996</v>
      </c>
    </row>
    <row r="3527" spans="1:3" x14ac:dyDescent="0.2">
      <c r="A3527" s="241">
        <v>40533</v>
      </c>
      <c r="B3527" s="242">
        <v>-4.5999999999999996</v>
      </c>
      <c r="C3527" s="238">
        <v>0</v>
      </c>
    </row>
    <row r="3528" spans="1:3" x14ac:dyDescent="0.2">
      <c r="A3528" s="241">
        <v>40534</v>
      </c>
      <c r="B3528" s="242">
        <v>-2.2999999999999998</v>
      </c>
      <c r="C3528" s="238">
        <v>0.7</v>
      </c>
    </row>
    <row r="3529" spans="1:3" x14ac:dyDescent="0.2">
      <c r="A3529" s="241">
        <v>40535</v>
      </c>
      <c r="B3529" s="242">
        <v>0.1</v>
      </c>
      <c r="C3529" s="238">
        <v>0</v>
      </c>
    </row>
    <row r="3530" spans="1:3" x14ac:dyDescent="0.2">
      <c r="A3530" s="241">
        <v>40536</v>
      </c>
      <c r="B3530" s="242">
        <v>-0.7</v>
      </c>
      <c r="C3530" s="238">
        <v>0.8</v>
      </c>
    </row>
    <row r="3531" spans="1:3" x14ac:dyDescent="0.2">
      <c r="A3531" s="241">
        <v>40537</v>
      </c>
      <c r="B3531" s="242">
        <v>-0.8</v>
      </c>
      <c r="C3531" s="238">
        <v>2.4</v>
      </c>
    </row>
    <row r="3532" spans="1:3" x14ac:dyDescent="0.2">
      <c r="A3532" s="241">
        <v>40538</v>
      </c>
      <c r="B3532" s="242">
        <v>3.5</v>
      </c>
      <c r="C3532" s="238">
        <v>3.3</v>
      </c>
    </row>
    <row r="3533" spans="1:3" x14ac:dyDescent="0.2">
      <c r="A3533" s="241">
        <v>40539</v>
      </c>
      <c r="B3533" s="242">
        <v>1.1000000000000001</v>
      </c>
      <c r="C3533" s="238">
        <v>0.3</v>
      </c>
    </row>
    <row r="3534" spans="1:3" x14ac:dyDescent="0.2">
      <c r="A3534" s="241">
        <v>40540</v>
      </c>
      <c r="B3534" s="242">
        <v>1</v>
      </c>
      <c r="C3534" s="238">
        <v>0</v>
      </c>
    </row>
    <row r="3535" spans="1:3" x14ac:dyDescent="0.2">
      <c r="A3535" s="241">
        <v>40541</v>
      </c>
      <c r="B3535" s="242">
        <v>0.9</v>
      </c>
      <c r="C3535" s="238">
        <v>1</v>
      </c>
    </row>
    <row r="3536" spans="1:3" x14ac:dyDescent="0.2">
      <c r="A3536" s="241">
        <v>40542</v>
      </c>
      <c r="B3536" s="242">
        <v>1.2</v>
      </c>
      <c r="C3536" s="238">
        <v>1.3</v>
      </c>
    </row>
    <row r="3537" spans="1:3" x14ac:dyDescent="0.2">
      <c r="A3537" s="241">
        <v>40543</v>
      </c>
      <c r="B3537" s="242">
        <v>4.5999999999999996</v>
      </c>
      <c r="C3537" s="238">
        <v>0</v>
      </c>
    </row>
    <row r="3538" spans="1:3" x14ac:dyDescent="0.2">
      <c r="A3538" s="241">
        <v>40544</v>
      </c>
      <c r="B3538" s="242">
        <v>4.3</v>
      </c>
      <c r="C3538" s="238">
        <v>4.9000000000000004</v>
      </c>
    </row>
    <row r="3539" spans="1:3" x14ac:dyDescent="0.2">
      <c r="A3539" s="241">
        <v>40545</v>
      </c>
      <c r="B3539" s="242">
        <v>3.6</v>
      </c>
      <c r="C3539" s="238">
        <v>4.4000000000000004</v>
      </c>
    </row>
    <row r="3540" spans="1:3" x14ac:dyDescent="0.2">
      <c r="A3540" s="241">
        <v>40546</v>
      </c>
      <c r="B3540" s="242">
        <v>1.4</v>
      </c>
      <c r="C3540" s="238">
        <v>1.7</v>
      </c>
    </row>
    <row r="3541" spans="1:3" x14ac:dyDescent="0.2">
      <c r="A3541" s="241">
        <v>40547</v>
      </c>
      <c r="B3541" s="242">
        <v>2.2000000000000002</v>
      </c>
      <c r="C3541" s="238">
        <v>4.3</v>
      </c>
    </row>
    <row r="3542" spans="1:3" x14ac:dyDescent="0.2">
      <c r="A3542" s="241">
        <v>40548</v>
      </c>
      <c r="B3542" s="242">
        <v>1.1000000000000001</v>
      </c>
      <c r="C3542" s="238">
        <v>2.2999999999999998</v>
      </c>
    </row>
    <row r="3543" spans="1:3" x14ac:dyDescent="0.2">
      <c r="A3543" s="241">
        <v>40549</v>
      </c>
      <c r="B3543" s="242">
        <v>4.5</v>
      </c>
      <c r="C3543" s="238">
        <v>0</v>
      </c>
    </row>
    <row r="3544" spans="1:3" x14ac:dyDescent="0.2">
      <c r="A3544" s="241">
        <v>40550</v>
      </c>
      <c r="B3544" s="242">
        <v>5</v>
      </c>
      <c r="C3544" s="238">
        <v>0</v>
      </c>
    </row>
    <row r="3545" spans="1:3" x14ac:dyDescent="0.2">
      <c r="A3545" s="241">
        <v>40551</v>
      </c>
      <c r="B3545" s="242">
        <v>7.7</v>
      </c>
      <c r="C3545" s="238">
        <v>0.2</v>
      </c>
    </row>
    <row r="3546" spans="1:3" x14ac:dyDescent="0.2">
      <c r="A3546" s="241">
        <v>40552</v>
      </c>
      <c r="B3546" s="242">
        <v>4.7</v>
      </c>
      <c r="C3546" s="238">
        <v>6.5</v>
      </c>
    </row>
    <row r="3547" spans="1:3" x14ac:dyDescent="0.2">
      <c r="A3547" s="241">
        <v>40553</v>
      </c>
      <c r="B3547" s="242">
        <v>3.1</v>
      </c>
      <c r="C3547" s="238">
        <v>4.7</v>
      </c>
    </row>
    <row r="3548" spans="1:3" x14ac:dyDescent="0.2">
      <c r="A3548" s="241">
        <v>40554</v>
      </c>
      <c r="B3548" s="242">
        <v>3.2</v>
      </c>
      <c r="C3548" s="238">
        <v>0</v>
      </c>
    </row>
    <row r="3549" spans="1:3" x14ac:dyDescent="0.2">
      <c r="A3549" s="241">
        <v>40555</v>
      </c>
      <c r="B3549" s="242">
        <v>5.2</v>
      </c>
      <c r="C3549" s="238">
        <v>0</v>
      </c>
    </row>
    <row r="3550" spans="1:3" x14ac:dyDescent="0.2">
      <c r="A3550" s="241">
        <v>40556</v>
      </c>
      <c r="B3550" s="242">
        <v>6.7</v>
      </c>
      <c r="C3550" s="238">
        <v>0</v>
      </c>
    </row>
    <row r="3551" spans="1:3" x14ac:dyDescent="0.2">
      <c r="A3551" s="241">
        <v>40557</v>
      </c>
      <c r="B3551" s="242">
        <v>7.1</v>
      </c>
      <c r="C3551" s="238">
        <v>0</v>
      </c>
    </row>
    <row r="3552" spans="1:3" x14ac:dyDescent="0.2">
      <c r="A3552" s="241">
        <v>40558</v>
      </c>
      <c r="B3552" s="242">
        <v>7.8</v>
      </c>
      <c r="C3552" s="238">
        <v>0</v>
      </c>
    </row>
    <row r="3553" spans="1:3" x14ac:dyDescent="0.2">
      <c r="A3553" s="241">
        <v>40559</v>
      </c>
      <c r="B3553" s="242">
        <v>10.5</v>
      </c>
      <c r="C3553" s="238">
        <v>5.7</v>
      </c>
    </row>
    <row r="3554" spans="1:3" x14ac:dyDescent="0.2">
      <c r="A3554" s="241">
        <v>40560</v>
      </c>
      <c r="B3554" s="242">
        <v>7.8</v>
      </c>
      <c r="C3554" s="238">
        <v>0</v>
      </c>
    </row>
    <row r="3555" spans="1:3" x14ac:dyDescent="0.2">
      <c r="A3555" s="241">
        <v>40561</v>
      </c>
      <c r="B3555" s="242">
        <v>4</v>
      </c>
      <c r="C3555" s="238">
        <v>0</v>
      </c>
    </row>
    <row r="3556" spans="1:3" x14ac:dyDescent="0.2">
      <c r="A3556" s="241">
        <v>40562</v>
      </c>
      <c r="B3556" s="242">
        <v>4.7</v>
      </c>
      <c r="C3556" s="238">
        <v>1.9</v>
      </c>
    </row>
    <row r="3557" spans="1:3" x14ac:dyDescent="0.2">
      <c r="A3557" s="241">
        <v>40563</v>
      </c>
      <c r="B3557" s="242">
        <v>2.6</v>
      </c>
      <c r="C3557" s="238">
        <v>6.8</v>
      </c>
    </row>
    <row r="3558" spans="1:3" x14ac:dyDescent="0.2">
      <c r="A3558" s="241">
        <v>40564</v>
      </c>
      <c r="B3558" s="242">
        <v>2</v>
      </c>
      <c r="C3558" s="238">
        <v>0.7</v>
      </c>
    </row>
    <row r="3559" spans="1:3" x14ac:dyDescent="0.2">
      <c r="A3559" s="241">
        <v>40565</v>
      </c>
      <c r="B3559" s="242">
        <v>4.7</v>
      </c>
      <c r="C3559" s="238">
        <v>1.3</v>
      </c>
    </row>
    <row r="3560" spans="1:3" x14ac:dyDescent="0.2">
      <c r="A3560" s="241">
        <v>40566</v>
      </c>
      <c r="B3560" s="242">
        <v>5.4</v>
      </c>
      <c r="C3560" s="238">
        <v>0</v>
      </c>
    </row>
    <row r="3561" spans="1:3" x14ac:dyDescent="0.2">
      <c r="A3561" s="241">
        <v>40567</v>
      </c>
      <c r="B3561" s="242">
        <v>5.6</v>
      </c>
      <c r="C3561" s="238">
        <v>1</v>
      </c>
    </row>
    <row r="3562" spans="1:3" x14ac:dyDescent="0.2">
      <c r="A3562" s="241">
        <v>40568</v>
      </c>
      <c r="B3562" s="242">
        <v>4.9000000000000004</v>
      </c>
      <c r="C3562" s="238">
        <v>5.2</v>
      </c>
    </row>
    <row r="3563" spans="1:3" x14ac:dyDescent="0.2">
      <c r="A3563" s="241">
        <v>40569</v>
      </c>
      <c r="B3563" s="242">
        <v>1.3</v>
      </c>
      <c r="C3563" s="238">
        <v>1.3</v>
      </c>
    </row>
    <row r="3564" spans="1:3" x14ac:dyDescent="0.2">
      <c r="A3564" s="241">
        <v>40570</v>
      </c>
      <c r="B3564" s="242">
        <v>-0.6</v>
      </c>
      <c r="C3564" s="238">
        <v>5.5</v>
      </c>
    </row>
    <row r="3565" spans="1:3" x14ac:dyDescent="0.2">
      <c r="A3565" s="241">
        <v>40571</v>
      </c>
      <c r="B3565" s="242">
        <v>-2.1</v>
      </c>
      <c r="C3565" s="238">
        <v>7.9</v>
      </c>
    </row>
    <row r="3566" spans="1:3" x14ac:dyDescent="0.2">
      <c r="A3566" s="241">
        <v>40572</v>
      </c>
      <c r="B3566" s="242">
        <v>-2.4</v>
      </c>
      <c r="C3566" s="238">
        <v>4.7</v>
      </c>
    </row>
    <row r="3567" spans="1:3" x14ac:dyDescent="0.2">
      <c r="A3567" s="241">
        <v>40573</v>
      </c>
      <c r="B3567" s="242">
        <v>-0.5</v>
      </c>
      <c r="C3567" s="238">
        <v>2.6</v>
      </c>
    </row>
    <row r="3568" spans="1:3" x14ac:dyDescent="0.2">
      <c r="A3568" s="241">
        <v>40574</v>
      </c>
      <c r="B3568" s="242">
        <v>0</v>
      </c>
      <c r="C3568" s="238">
        <v>0</v>
      </c>
    </row>
    <row r="3569" spans="1:3" x14ac:dyDescent="0.2">
      <c r="A3569" s="241">
        <v>40575</v>
      </c>
      <c r="B3569" s="242">
        <v>1.9</v>
      </c>
      <c r="C3569" s="238">
        <v>0</v>
      </c>
    </row>
    <row r="3570" spans="1:3" x14ac:dyDescent="0.2">
      <c r="A3570" s="241">
        <v>40576</v>
      </c>
      <c r="B3570" s="242">
        <v>4.7</v>
      </c>
      <c r="C3570" s="238">
        <v>0</v>
      </c>
    </row>
    <row r="3571" spans="1:3" x14ac:dyDescent="0.2">
      <c r="A3571" s="241">
        <v>40577</v>
      </c>
      <c r="B3571" s="242">
        <v>5.6</v>
      </c>
      <c r="C3571" s="238">
        <v>5.9</v>
      </c>
    </row>
    <row r="3572" spans="1:3" x14ac:dyDescent="0.2">
      <c r="A3572" s="241">
        <v>40578</v>
      </c>
      <c r="B3572" s="242">
        <v>7.3</v>
      </c>
      <c r="C3572" s="238">
        <v>0</v>
      </c>
    </row>
    <row r="3573" spans="1:3" x14ac:dyDescent="0.2">
      <c r="A3573" s="241">
        <v>40579</v>
      </c>
      <c r="B3573" s="242">
        <v>7.8</v>
      </c>
      <c r="C3573" s="238">
        <v>0</v>
      </c>
    </row>
    <row r="3574" spans="1:3" x14ac:dyDescent="0.2">
      <c r="A3574" s="241">
        <v>40580</v>
      </c>
      <c r="B3574" s="242">
        <v>7.6</v>
      </c>
      <c r="C3574" s="238">
        <v>1.8</v>
      </c>
    </row>
    <row r="3575" spans="1:3" x14ac:dyDescent="0.2">
      <c r="A3575" s="241">
        <v>40581</v>
      </c>
      <c r="B3575" s="242">
        <v>7</v>
      </c>
      <c r="C3575" s="238">
        <v>0.1</v>
      </c>
    </row>
    <row r="3576" spans="1:3" x14ac:dyDescent="0.2">
      <c r="A3576" s="241">
        <v>40582</v>
      </c>
      <c r="B3576" s="242">
        <v>3.6</v>
      </c>
      <c r="C3576" s="238">
        <v>4.7</v>
      </c>
    </row>
    <row r="3577" spans="1:3" x14ac:dyDescent="0.2">
      <c r="A3577" s="241">
        <v>40583</v>
      </c>
      <c r="B3577" s="242">
        <v>4.9000000000000004</v>
      </c>
      <c r="C3577" s="238">
        <v>3.5</v>
      </c>
    </row>
    <row r="3578" spans="1:3" x14ac:dyDescent="0.2">
      <c r="A3578" s="241">
        <v>40584</v>
      </c>
      <c r="B3578" s="242">
        <v>6.6</v>
      </c>
      <c r="C3578" s="238">
        <v>0</v>
      </c>
    </row>
    <row r="3579" spans="1:3" x14ac:dyDescent="0.2">
      <c r="A3579" s="241">
        <v>40585</v>
      </c>
      <c r="B3579" s="242">
        <v>5.7</v>
      </c>
      <c r="C3579" s="238">
        <v>0</v>
      </c>
    </row>
    <row r="3580" spans="1:3" x14ac:dyDescent="0.2">
      <c r="A3580" s="241">
        <v>40586</v>
      </c>
      <c r="B3580" s="242">
        <v>4.4000000000000004</v>
      </c>
      <c r="C3580" s="238">
        <v>0</v>
      </c>
    </row>
    <row r="3581" spans="1:3" x14ac:dyDescent="0.2">
      <c r="A3581" s="241">
        <v>40587</v>
      </c>
      <c r="B3581" s="242">
        <v>6.3</v>
      </c>
      <c r="C3581" s="238">
        <v>1.9</v>
      </c>
    </row>
    <row r="3582" spans="1:3" x14ac:dyDescent="0.2">
      <c r="A3582" s="241">
        <v>40588</v>
      </c>
      <c r="B3582" s="242">
        <v>6.4</v>
      </c>
      <c r="C3582" s="238">
        <v>0.7</v>
      </c>
    </row>
    <row r="3583" spans="1:3" x14ac:dyDescent="0.2">
      <c r="A3583" s="241">
        <v>40589</v>
      </c>
      <c r="B3583" s="242">
        <v>6</v>
      </c>
      <c r="C3583" s="238">
        <v>4.4000000000000004</v>
      </c>
    </row>
    <row r="3584" spans="1:3" x14ac:dyDescent="0.2">
      <c r="A3584" s="241">
        <v>40590</v>
      </c>
      <c r="B3584" s="242">
        <v>6.6</v>
      </c>
      <c r="C3584" s="238">
        <v>7.6</v>
      </c>
    </row>
    <row r="3585" spans="1:3" x14ac:dyDescent="0.2">
      <c r="A3585" s="241">
        <v>40591</v>
      </c>
      <c r="B3585" s="242">
        <v>3.2</v>
      </c>
      <c r="C3585" s="238">
        <v>3</v>
      </c>
    </row>
    <row r="3586" spans="1:3" x14ac:dyDescent="0.2">
      <c r="A3586" s="241">
        <v>40592</v>
      </c>
      <c r="B3586" s="242">
        <v>0.9</v>
      </c>
      <c r="C3586" s="238">
        <v>0</v>
      </c>
    </row>
    <row r="3587" spans="1:3" x14ac:dyDescent="0.2">
      <c r="A3587" s="241">
        <v>40593</v>
      </c>
      <c r="B3587" s="242">
        <v>1.5</v>
      </c>
      <c r="C3587" s="238">
        <v>1</v>
      </c>
    </row>
    <row r="3588" spans="1:3" x14ac:dyDescent="0.2">
      <c r="A3588" s="241">
        <v>40594</v>
      </c>
      <c r="B3588" s="242">
        <v>0</v>
      </c>
      <c r="C3588" s="238">
        <v>5.4</v>
      </c>
    </row>
    <row r="3589" spans="1:3" x14ac:dyDescent="0.2">
      <c r="A3589" s="241">
        <v>40595</v>
      </c>
      <c r="B3589" s="242">
        <v>-1.8</v>
      </c>
      <c r="C3589" s="238">
        <v>9.1999999999999993</v>
      </c>
    </row>
    <row r="3590" spans="1:3" x14ac:dyDescent="0.2">
      <c r="A3590" s="241">
        <v>40596</v>
      </c>
      <c r="B3590" s="242">
        <v>-1.5</v>
      </c>
      <c r="C3590" s="238">
        <v>7.4</v>
      </c>
    </row>
    <row r="3591" spans="1:3" x14ac:dyDescent="0.2">
      <c r="A3591" s="241">
        <v>40597</v>
      </c>
      <c r="B3591" s="242">
        <v>0.8</v>
      </c>
      <c r="C3591" s="238">
        <v>0</v>
      </c>
    </row>
    <row r="3592" spans="1:3" x14ac:dyDescent="0.2">
      <c r="A3592" s="241">
        <v>40598</v>
      </c>
      <c r="B3592" s="242">
        <v>5.4</v>
      </c>
      <c r="C3592" s="238">
        <v>0.2</v>
      </c>
    </row>
    <row r="3593" spans="1:3" x14ac:dyDescent="0.2">
      <c r="A3593" s="241">
        <v>40599</v>
      </c>
      <c r="B3593" s="242">
        <v>7.9</v>
      </c>
      <c r="C3593" s="238">
        <v>0.1</v>
      </c>
    </row>
    <row r="3594" spans="1:3" x14ac:dyDescent="0.2">
      <c r="A3594" s="241">
        <v>40600</v>
      </c>
      <c r="B3594" s="242">
        <v>7.6</v>
      </c>
      <c r="C3594" s="238">
        <v>0.2</v>
      </c>
    </row>
    <row r="3595" spans="1:3" x14ac:dyDescent="0.2">
      <c r="A3595" s="241">
        <v>40601</v>
      </c>
      <c r="B3595" s="242">
        <v>4.4000000000000004</v>
      </c>
      <c r="C3595" s="238">
        <v>0</v>
      </c>
    </row>
    <row r="3596" spans="1:3" x14ac:dyDescent="0.2">
      <c r="A3596" s="241">
        <v>40602</v>
      </c>
      <c r="B3596" s="242">
        <v>2.4</v>
      </c>
      <c r="C3596" s="238">
        <v>0</v>
      </c>
    </row>
    <row r="3597" spans="1:3" x14ac:dyDescent="0.2">
      <c r="A3597" s="241">
        <v>40603</v>
      </c>
      <c r="B3597" s="242">
        <v>2.1</v>
      </c>
      <c r="C3597" s="238">
        <v>0.2</v>
      </c>
    </row>
    <row r="3598" spans="1:3" x14ac:dyDescent="0.2">
      <c r="A3598" s="241">
        <v>40604</v>
      </c>
      <c r="B3598" s="242">
        <v>1.4</v>
      </c>
      <c r="C3598" s="238">
        <v>7.8</v>
      </c>
    </row>
    <row r="3599" spans="1:3" x14ac:dyDescent="0.2">
      <c r="A3599" s="241">
        <v>40605</v>
      </c>
      <c r="B3599" s="242">
        <v>0</v>
      </c>
      <c r="C3599" s="238">
        <v>6.5</v>
      </c>
    </row>
    <row r="3600" spans="1:3" x14ac:dyDescent="0.2">
      <c r="A3600" s="241">
        <v>40606</v>
      </c>
      <c r="B3600" s="242">
        <v>-1.3</v>
      </c>
      <c r="C3600" s="238">
        <v>5</v>
      </c>
    </row>
    <row r="3601" spans="1:3" x14ac:dyDescent="0.2">
      <c r="A3601" s="241">
        <v>40607</v>
      </c>
      <c r="B3601" s="242">
        <v>2.8</v>
      </c>
      <c r="C3601" s="238">
        <v>1.3</v>
      </c>
    </row>
    <row r="3602" spans="1:3" x14ac:dyDescent="0.2">
      <c r="A3602" s="241">
        <v>40608</v>
      </c>
      <c r="B3602" s="242">
        <v>3</v>
      </c>
      <c r="C3602" s="238">
        <v>6.1</v>
      </c>
    </row>
    <row r="3603" spans="1:3" x14ac:dyDescent="0.2">
      <c r="A3603" s="241">
        <v>40609</v>
      </c>
      <c r="B3603" s="242">
        <v>2.5</v>
      </c>
      <c r="C3603" s="238">
        <v>10</v>
      </c>
    </row>
    <row r="3604" spans="1:3" x14ac:dyDescent="0.2">
      <c r="A3604" s="241">
        <v>40610</v>
      </c>
      <c r="B3604" s="242">
        <v>4.3</v>
      </c>
      <c r="C3604" s="238">
        <v>10</v>
      </c>
    </row>
    <row r="3605" spans="1:3" x14ac:dyDescent="0.2">
      <c r="A3605" s="241">
        <v>40611</v>
      </c>
      <c r="B3605" s="242">
        <v>5.7</v>
      </c>
      <c r="C3605" s="238">
        <v>5.0999999999999996</v>
      </c>
    </row>
    <row r="3606" spans="1:3" x14ac:dyDescent="0.2">
      <c r="A3606" s="241">
        <v>40612</v>
      </c>
      <c r="B3606" s="242">
        <v>6.6</v>
      </c>
      <c r="C3606" s="238">
        <v>1.4</v>
      </c>
    </row>
    <row r="3607" spans="1:3" x14ac:dyDescent="0.2">
      <c r="A3607" s="241">
        <v>40613</v>
      </c>
      <c r="B3607" s="242">
        <v>6.5</v>
      </c>
      <c r="C3607" s="238">
        <v>10.3</v>
      </c>
    </row>
    <row r="3608" spans="1:3" x14ac:dyDescent="0.2">
      <c r="A3608" s="241">
        <v>40614</v>
      </c>
      <c r="B3608" s="242">
        <v>9.6</v>
      </c>
      <c r="C3608" s="238">
        <v>3.8</v>
      </c>
    </row>
    <row r="3609" spans="1:3" x14ac:dyDescent="0.2">
      <c r="A3609" s="241">
        <v>40615</v>
      </c>
      <c r="B3609" s="242">
        <v>9.9</v>
      </c>
      <c r="C3609" s="238">
        <v>0</v>
      </c>
    </row>
    <row r="3610" spans="1:3" x14ac:dyDescent="0.2">
      <c r="A3610" s="241">
        <v>40616</v>
      </c>
      <c r="B3610" s="242">
        <v>8.5</v>
      </c>
      <c r="C3610" s="238">
        <v>1.2</v>
      </c>
    </row>
    <row r="3611" spans="1:3" x14ac:dyDescent="0.2">
      <c r="A3611" s="241">
        <v>40617</v>
      </c>
      <c r="B3611" s="242">
        <v>9.6</v>
      </c>
      <c r="C3611" s="238">
        <v>4.9000000000000004</v>
      </c>
    </row>
    <row r="3612" spans="1:3" x14ac:dyDescent="0.2">
      <c r="A3612" s="241">
        <v>40618</v>
      </c>
      <c r="B3612" s="242">
        <v>6.7</v>
      </c>
      <c r="C3612" s="238">
        <v>5.3</v>
      </c>
    </row>
    <row r="3613" spans="1:3" x14ac:dyDescent="0.2">
      <c r="A3613" s="241">
        <v>40619</v>
      </c>
      <c r="B3613" s="242">
        <v>4.8</v>
      </c>
      <c r="C3613" s="238">
        <v>0</v>
      </c>
    </row>
    <row r="3614" spans="1:3" x14ac:dyDescent="0.2">
      <c r="A3614" s="241">
        <v>40620</v>
      </c>
      <c r="B3614" s="242">
        <v>5.5</v>
      </c>
      <c r="C3614" s="238">
        <v>2.2000000000000002</v>
      </c>
    </row>
    <row r="3615" spans="1:3" x14ac:dyDescent="0.2">
      <c r="A3615" s="241">
        <v>40621</v>
      </c>
      <c r="B3615" s="242">
        <v>2.2000000000000002</v>
      </c>
      <c r="C3615" s="238">
        <v>11</v>
      </c>
    </row>
    <row r="3616" spans="1:3" x14ac:dyDescent="0.2">
      <c r="A3616" s="241">
        <v>40622</v>
      </c>
      <c r="B3616" s="242">
        <v>3.7</v>
      </c>
      <c r="C3616" s="238">
        <v>8.4</v>
      </c>
    </row>
    <row r="3617" spans="1:3" x14ac:dyDescent="0.2">
      <c r="A3617" s="241">
        <v>40623</v>
      </c>
      <c r="B3617" s="242">
        <v>5.7</v>
      </c>
      <c r="C3617" s="238">
        <v>1.8</v>
      </c>
    </row>
    <row r="3618" spans="1:3" x14ac:dyDescent="0.2">
      <c r="A3618" s="241">
        <v>40624</v>
      </c>
      <c r="B3618" s="242">
        <v>5.8</v>
      </c>
      <c r="C3618" s="238">
        <v>10.199999999999999</v>
      </c>
    </row>
    <row r="3619" spans="1:3" x14ac:dyDescent="0.2">
      <c r="A3619" s="241">
        <v>40625</v>
      </c>
      <c r="B3619" s="242">
        <v>4.0999999999999996</v>
      </c>
      <c r="C3619" s="238">
        <v>7.3</v>
      </c>
    </row>
    <row r="3620" spans="1:3" x14ac:dyDescent="0.2">
      <c r="A3620" s="241">
        <v>40626</v>
      </c>
      <c r="B3620" s="242">
        <v>5</v>
      </c>
      <c r="C3620" s="238">
        <v>11</v>
      </c>
    </row>
    <row r="3621" spans="1:3" x14ac:dyDescent="0.2">
      <c r="A3621" s="241">
        <v>40627</v>
      </c>
      <c r="B3621" s="242">
        <v>6.8</v>
      </c>
      <c r="C3621" s="238">
        <v>8.4</v>
      </c>
    </row>
    <row r="3622" spans="1:3" x14ac:dyDescent="0.2">
      <c r="A3622" s="241">
        <v>40628</v>
      </c>
      <c r="B3622" s="242">
        <v>4.0999999999999996</v>
      </c>
      <c r="C3622" s="238">
        <v>1</v>
      </c>
    </row>
    <row r="3623" spans="1:3" x14ac:dyDescent="0.2">
      <c r="A3623" s="241">
        <v>40629</v>
      </c>
      <c r="B3623" s="242">
        <v>3.7</v>
      </c>
      <c r="C3623" s="238">
        <v>11.5</v>
      </c>
    </row>
    <row r="3624" spans="1:3" x14ac:dyDescent="0.2">
      <c r="A3624" s="241">
        <v>40630</v>
      </c>
      <c r="B3624" s="242">
        <v>2.2999999999999998</v>
      </c>
      <c r="C3624" s="238">
        <v>10.1</v>
      </c>
    </row>
    <row r="3625" spans="1:3" x14ac:dyDescent="0.2">
      <c r="A3625" s="241">
        <v>40631</v>
      </c>
      <c r="B3625" s="242">
        <v>4.4000000000000004</v>
      </c>
      <c r="C3625" s="238">
        <v>11.5</v>
      </c>
    </row>
    <row r="3626" spans="1:3" x14ac:dyDescent="0.2">
      <c r="A3626" s="241">
        <v>40632</v>
      </c>
      <c r="B3626" s="242">
        <v>8.6</v>
      </c>
      <c r="C3626" s="238">
        <v>0.6</v>
      </c>
    </row>
    <row r="3627" spans="1:3" x14ac:dyDescent="0.2">
      <c r="A3627" s="241">
        <v>40633</v>
      </c>
      <c r="B3627" s="242">
        <v>8.8000000000000007</v>
      </c>
      <c r="C3627" s="238">
        <v>0.5</v>
      </c>
    </row>
    <row r="3628" spans="1:3" x14ac:dyDescent="0.2">
      <c r="A3628" s="241">
        <v>40634</v>
      </c>
      <c r="B3628" s="242">
        <v>10</v>
      </c>
      <c r="C3628" s="238">
        <v>3.6</v>
      </c>
    </row>
    <row r="3629" spans="1:3" x14ac:dyDescent="0.2">
      <c r="A3629" s="241">
        <v>40635</v>
      </c>
      <c r="B3629" s="242">
        <v>14.5</v>
      </c>
      <c r="C3629" s="238">
        <v>10.9</v>
      </c>
    </row>
    <row r="3630" spans="1:3" x14ac:dyDescent="0.2">
      <c r="A3630" s="241">
        <v>40636</v>
      </c>
      <c r="B3630" s="242">
        <v>8.9</v>
      </c>
      <c r="C3630" s="238">
        <v>2.2999999999999998</v>
      </c>
    </row>
    <row r="3631" spans="1:3" x14ac:dyDescent="0.2">
      <c r="A3631" s="241">
        <v>40637</v>
      </c>
      <c r="B3631" s="242">
        <v>8.5</v>
      </c>
      <c r="C3631" s="238">
        <v>7.5</v>
      </c>
    </row>
    <row r="3632" spans="1:3" x14ac:dyDescent="0.2">
      <c r="A3632" s="241">
        <v>40638</v>
      </c>
      <c r="B3632" s="242">
        <v>9</v>
      </c>
      <c r="C3632" s="238">
        <v>0</v>
      </c>
    </row>
    <row r="3633" spans="1:3" x14ac:dyDescent="0.2">
      <c r="A3633" s="241">
        <v>40639</v>
      </c>
      <c r="B3633" s="242">
        <v>11.1</v>
      </c>
      <c r="C3633" s="238">
        <v>5</v>
      </c>
    </row>
    <row r="3634" spans="1:3" x14ac:dyDescent="0.2">
      <c r="A3634" s="241">
        <v>40640</v>
      </c>
      <c r="B3634" s="242">
        <v>8.9</v>
      </c>
      <c r="C3634" s="238">
        <v>5</v>
      </c>
    </row>
    <row r="3635" spans="1:3" x14ac:dyDescent="0.2">
      <c r="A3635" s="241">
        <v>40641</v>
      </c>
      <c r="B3635" s="242">
        <v>8.1</v>
      </c>
      <c r="C3635" s="238">
        <v>12.2</v>
      </c>
    </row>
    <row r="3636" spans="1:3" x14ac:dyDescent="0.2">
      <c r="A3636" s="241">
        <v>40642</v>
      </c>
      <c r="B3636" s="242">
        <v>8.1999999999999993</v>
      </c>
      <c r="C3636" s="238">
        <v>10.7</v>
      </c>
    </row>
    <row r="3637" spans="1:3" x14ac:dyDescent="0.2">
      <c r="A3637" s="241">
        <v>40643</v>
      </c>
      <c r="B3637" s="242">
        <v>10.7</v>
      </c>
      <c r="C3637" s="238">
        <v>12.3</v>
      </c>
    </row>
    <row r="3638" spans="1:3" x14ac:dyDescent="0.2">
      <c r="A3638" s="241">
        <v>40644</v>
      </c>
      <c r="B3638" s="242">
        <v>10.5</v>
      </c>
      <c r="C3638" s="238">
        <v>11.2</v>
      </c>
    </row>
    <row r="3639" spans="1:3" x14ac:dyDescent="0.2">
      <c r="A3639" s="241">
        <v>40645</v>
      </c>
      <c r="B3639" s="242">
        <v>8.1</v>
      </c>
      <c r="C3639" s="238">
        <v>9.8000000000000007</v>
      </c>
    </row>
    <row r="3640" spans="1:3" x14ac:dyDescent="0.2">
      <c r="A3640" s="241">
        <v>40646</v>
      </c>
      <c r="B3640" s="242">
        <v>8.5</v>
      </c>
      <c r="C3640" s="238">
        <v>11.4</v>
      </c>
    </row>
    <row r="3641" spans="1:3" x14ac:dyDescent="0.2">
      <c r="A3641" s="241">
        <v>40647</v>
      </c>
      <c r="B3641" s="242">
        <v>8.1999999999999993</v>
      </c>
      <c r="C3641" s="238">
        <v>2.7</v>
      </c>
    </row>
    <row r="3642" spans="1:3" x14ac:dyDescent="0.2">
      <c r="A3642" s="241">
        <v>40648</v>
      </c>
      <c r="B3642" s="242">
        <v>8.1999999999999993</v>
      </c>
      <c r="C3642" s="238">
        <v>11.2</v>
      </c>
    </row>
    <row r="3643" spans="1:3" x14ac:dyDescent="0.2">
      <c r="A3643" s="241">
        <v>40649</v>
      </c>
      <c r="B3643" s="242">
        <v>8.4</v>
      </c>
      <c r="C3643" s="238">
        <v>4.2</v>
      </c>
    </row>
    <row r="3644" spans="1:3" x14ac:dyDescent="0.2">
      <c r="A3644" s="241">
        <v>40650</v>
      </c>
      <c r="B3644" s="242">
        <v>8.6</v>
      </c>
      <c r="C3644" s="238">
        <v>10.1</v>
      </c>
    </row>
    <row r="3645" spans="1:3" x14ac:dyDescent="0.2">
      <c r="A3645" s="241">
        <v>40651</v>
      </c>
      <c r="B3645" s="242">
        <v>13.4</v>
      </c>
      <c r="C3645" s="238">
        <v>12.1</v>
      </c>
    </row>
    <row r="3646" spans="1:3" x14ac:dyDescent="0.2">
      <c r="A3646" s="241">
        <v>40652</v>
      </c>
      <c r="B3646" s="242">
        <v>15.4</v>
      </c>
      <c r="C3646" s="238">
        <v>13</v>
      </c>
    </row>
    <row r="3647" spans="1:3" x14ac:dyDescent="0.2">
      <c r="A3647" s="241">
        <v>40653</v>
      </c>
      <c r="B3647" s="242">
        <v>17.7</v>
      </c>
      <c r="C3647" s="238">
        <v>12.9</v>
      </c>
    </row>
    <row r="3648" spans="1:3" x14ac:dyDescent="0.2">
      <c r="A3648" s="241">
        <v>40654</v>
      </c>
      <c r="B3648" s="242">
        <v>17.399999999999999</v>
      </c>
      <c r="C3648" s="238">
        <v>11.3</v>
      </c>
    </row>
    <row r="3649" spans="1:3" x14ac:dyDescent="0.2">
      <c r="A3649" s="241">
        <v>40655</v>
      </c>
      <c r="B3649" s="242">
        <v>19</v>
      </c>
      <c r="C3649" s="238">
        <v>10.4</v>
      </c>
    </row>
    <row r="3650" spans="1:3" x14ac:dyDescent="0.2">
      <c r="A3650" s="241">
        <v>40656</v>
      </c>
      <c r="B3650" s="242">
        <v>18.3</v>
      </c>
      <c r="C3650" s="238">
        <v>12.7</v>
      </c>
    </row>
    <row r="3651" spans="1:3" x14ac:dyDescent="0.2">
      <c r="A3651" s="241">
        <v>40657</v>
      </c>
      <c r="B3651" s="242">
        <v>13.2</v>
      </c>
      <c r="C3651" s="238">
        <v>13.3</v>
      </c>
    </row>
    <row r="3652" spans="1:3" x14ac:dyDescent="0.2">
      <c r="A3652" s="241">
        <v>40658</v>
      </c>
      <c r="B3652" s="242">
        <v>15.7</v>
      </c>
      <c r="C3652" s="238">
        <v>13.3</v>
      </c>
    </row>
    <row r="3653" spans="1:3" x14ac:dyDescent="0.2">
      <c r="A3653" s="241">
        <v>40659</v>
      </c>
      <c r="B3653" s="242">
        <v>13.7</v>
      </c>
      <c r="C3653" s="238">
        <v>11.7</v>
      </c>
    </row>
    <row r="3654" spans="1:3" x14ac:dyDescent="0.2">
      <c r="A3654" s="241">
        <v>40660</v>
      </c>
      <c r="B3654" s="242">
        <v>10</v>
      </c>
      <c r="C3654" s="238">
        <v>9.5</v>
      </c>
    </row>
    <row r="3655" spans="1:3" x14ac:dyDescent="0.2">
      <c r="A3655" s="241">
        <v>40661</v>
      </c>
      <c r="B3655" s="242">
        <v>14</v>
      </c>
      <c r="C3655" s="238">
        <v>5.0999999999999996</v>
      </c>
    </row>
    <row r="3656" spans="1:3" x14ac:dyDescent="0.2">
      <c r="A3656" s="241">
        <v>40662</v>
      </c>
      <c r="B3656" s="242">
        <v>16.399999999999999</v>
      </c>
      <c r="C3656" s="238">
        <v>11.1</v>
      </c>
    </row>
    <row r="3657" spans="1:3" x14ac:dyDescent="0.2">
      <c r="A3657" s="241">
        <v>40663</v>
      </c>
      <c r="B3657" s="242">
        <v>14.8</v>
      </c>
      <c r="C3657" s="238">
        <v>12.8</v>
      </c>
    </row>
    <row r="3658" spans="1:3" x14ac:dyDescent="0.2">
      <c r="A3658" s="241">
        <v>40664</v>
      </c>
      <c r="B3658" s="242">
        <v>12.8</v>
      </c>
      <c r="C3658" s="238">
        <v>13.8</v>
      </c>
    </row>
    <row r="3659" spans="1:3" x14ac:dyDescent="0.2">
      <c r="A3659" s="241">
        <v>40665</v>
      </c>
      <c r="B3659" s="242">
        <v>9.6</v>
      </c>
      <c r="C3659" s="238">
        <v>13.6</v>
      </c>
    </row>
    <row r="3660" spans="1:3" x14ac:dyDescent="0.2">
      <c r="A3660" s="241">
        <v>40666</v>
      </c>
      <c r="B3660" s="242">
        <v>7.1</v>
      </c>
      <c r="C3660" s="238">
        <v>13.1</v>
      </c>
    </row>
    <row r="3661" spans="1:3" x14ac:dyDescent="0.2">
      <c r="A3661" s="241">
        <v>40667</v>
      </c>
      <c r="B3661" s="242">
        <v>6.9</v>
      </c>
      <c r="C3661" s="238">
        <v>14</v>
      </c>
    </row>
    <row r="3662" spans="1:3" x14ac:dyDescent="0.2">
      <c r="A3662" s="241">
        <v>40668</v>
      </c>
      <c r="B3662" s="242">
        <v>10.3</v>
      </c>
      <c r="C3662" s="238">
        <v>13.3</v>
      </c>
    </row>
    <row r="3663" spans="1:3" x14ac:dyDescent="0.2">
      <c r="A3663" s="241">
        <v>40669</v>
      </c>
      <c r="B3663" s="242">
        <v>16.3</v>
      </c>
      <c r="C3663" s="238">
        <v>12.6</v>
      </c>
    </row>
    <row r="3664" spans="1:3" x14ac:dyDescent="0.2">
      <c r="A3664" s="241">
        <v>40670</v>
      </c>
      <c r="B3664" s="242">
        <v>20.9</v>
      </c>
      <c r="C3664" s="238">
        <v>11.2</v>
      </c>
    </row>
    <row r="3665" spans="1:3" x14ac:dyDescent="0.2">
      <c r="A3665" s="241">
        <v>40671</v>
      </c>
      <c r="B3665" s="242">
        <v>18.7</v>
      </c>
      <c r="C3665" s="238">
        <v>7.3</v>
      </c>
    </row>
    <row r="3666" spans="1:3" x14ac:dyDescent="0.2">
      <c r="A3666" s="241">
        <v>40672</v>
      </c>
      <c r="B3666" s="242">
        <v>14.2</v>
      </c>
      <c r="C3666" s="238">
        <v>5.4</v>
      </c>
    </row>
    <row r="3667" spans="1:3" x14ac:dyDescent="0.2">
      <c r="A3667" s="241">
        <v>40673</v>
      </c>
      <c r="B3667" s="242">
        <v>13</v>
      </c>
      <c r="C3667" s="238">
        <v>8.1999999999999993</v>
      </c>
    </row>
    <row r="3668" spans="1:3" x14ac:dyDescent="0.2">
      <c r="A3668" s="241">
        <v>40674</v>
      </c>
      <c r="B3668" s="242">
        <v>11.9</v>
      </c>
      <c r="C3668" s="238">
        <v>13.4</v>
      </c>
    </row>
    <row r="3669" spans="1:3" x14ac:dyDescent="0.2">
      <c r="A3669" s="241">
        <v>40675</v>
      </c>
      <c r="B3669" s="242">
        <v>13</v>
      </c>
      <c r="C3669" s="238">
        <v>9.3000000000000007</v>
      </c>
    </row>
    <row r="3670" spans="1:3" x14ac:dyDescent="0.2">
      <c r="A3670" s="241">
        <v>40676</v>
      </c>
      <c r="B3670" s="242">
        <v>13.2</v>
      </c>
      <c r="C3670" s="238">
        <v>11.4</v>
      </c>
    </row>
    <row r="3671" spans="1:3" x14ac:dyDescent="0.2">
      <c r="A3671" s="241">
        <v>40677</v>
      </c>
      <c r="B3671" s="242">
        <v>12.1</v>
      </c>
      <c r="C3671" s="238">
        <v>9.4</v>
      </c>
    </row>
    <row r="3672" spans="1:3" x14ac:dyDescent="0.2">
      <c r="A3672" s="241">
        <v>40678</v>
      </c>
      <c r="B3672" s="242">
        <v>11.6</v>
      </c>
      <c r="C3672" s="238">
        <v>9.5</v>
      </c>
    </row>
    <row r="3673" spans="1:3" x14ac:dyDescent="0.2">
      <c r="A3673" s="241">
        <v>40679</v>
      </c>
      <c r="B3673" s="242">
        <v>12.8</v>
      </c>
      <c r="C3673" s="238">
        <v>0.5</v>
      </c>
    </row>
    <row r="3674" spans="1:3" x14ac:dyDescent="0.2">
      <c r="A3674" s="241">
        <v>40680</v>
      </c>
      <c r="B3674" s="242">
        <v>13.3</v>
      </c>
      <c r="C3674" s="238">
        <v>1.8</v>
      </c>
    </row>
    <row r="3675" spans="1:3" x14ac:dyDescent="0.2">
      <c r="A3675" s="241">
        <v>40681</v>
      </c>
      <c r="B3675" s="242">
        <v>13.6</v>
      </c>
      <c r="C3675" s="238">
        <v>0.3</v>
      </c>
    </row>
    <row r="3676" spans="1:3" x14ac:dyDescent="0.2">
      <c r="A3676" s="241">
        <v>40682</v>
      </c>
      <c r="B3676" s="242">
        <v>11.9</v>
      </c>
      <c r="C3676" s="238">
        <v>9.6</v>
      </c>
    </row>
    <row r="3677" spans="1:3" x14ac:dyDescent="0.2">
      <c r="A3677" s="241">
        <v>40683</v>
      </c>
      <c r="B3677" s="242">
        <v>12.2</v>
      </c>
      <c r="C3677" s="238">
        <v>10.9</v>
      </c>
    </row>
    <row r="3678" spans="1:3" x14ac:dyDescent="0.2">
      <c r="A3678" s="241">
        <v>40684</v>
      </c>
      <c r="B3678" s="242">
        <v>14.7</v>
      </c>
      <c r="C3678" s="238">
        <v>14.7</v>
      </c>
    </row>
    <row r="3679" spans="1:3" x14ac:dyDescent="0.2">
      <c r="A3679" s="241">
        <v>40685</v>
      </c>
      <c r="B3679" s="242">
        <v>14.9</v>
      </c>
      <c r="C3679" s="238">
        <v>6.1</v>
      </c>
    </row>
    <row r="3680" spans="1:3" x14ac:dyDescent="0.2">
      <c r="A3680" s="241">
        <v>40686</v>
      </c>
      <c r="B3680" s="242">
        <v>14.7</v>
      </c>
      <c r="C3680" s="238">
        <v>12.8</v>
      </c>
    </row>
    <row r="3681" spans="1:3" x14ac:dyDescent="0.2">
      <c r="A3681" s="241">
        <v>40687</v>
      </c>
      <c r="B3681" s="242">
        <v>13.3</v>
      </c>
      <c r="C3681" s="238">
        <v>12.6</v>
      </c>
    </row>
    <row r="3682" spans="1:3" x14ac:dyDescent="0.2">
      <c r="A3682" s="241">
        <v>40688</v>
      </c>
      <c r="B3682" s="242">
        <v>14.1</v>
      </c>
      <c r="C3682" s="238">
        <v>13.7</v>
      </c>
    </row>
    <row r="3683" spans="1:3" x14ac:dyDescent="0.2">
      <c r="A3683" s="241">
        <v>40689</v>
      </c>
      <c r="B3683" s="242">
        <v>14.5</v>
      </c>
      <c r="C3683" s="238">
        <v>5.2</v>
      </c>
    </row>
    <row r="3684" spans="1:3" x14ac:dyDescent="0.2">
      <c r="A3684" s="241">
        <v>40690</v>
      </c>
      <c r="B3684" s="242">
        <v>12.2</v>
      </c>
      <c r="C3684" s="238">
        <v>4</v>
      </c>
    </row>
    <row r="3685" spans="1:3" x14ac:dyDescent="0.2">
      <c r="A3685" s="241">
        <v>40691</v>
      </c>
      <c r="B3685" s="242">
        <v>13.1</v>
      </c>
      <c r="C3685" s="238">
        <v>1.4</v>
      </c>
    </row>
    <row r="3686" spans="1:3" x14ac:dyDescent="0.2">
      <c r="A3686" s="241">
        <v>40692</v>
      </c>
      <c r="B3686" s="242">
        <v>14.3</v>
      </c>
      <c r="C3686" s="238">
        <v>1.2</v>
      </c>
    </row>
    <row r="3687" spans="1:3" x14ac:dyDescent="0.2">
      <c r="A3687" s="241">
        <v>40693</v>
      </c>
      <c r="B3687" s="242">
        <v>17.2</v>
      </c>
      <c r="C3687" s="238">
        <v>8.1999999999999993</v>
      </c>
    </row>
    <row r="3688" spans="1:3" x14ac:dyDescent="0.2">
      <c r="A3688" s="241">
        <v>40694</v>
      </c>
      <c r="B3688" s="242">
        <v>12.7</v>
      </c>
      <c r="C3688" s="238">
        <v>7.5</v>
      </c>
    </row>
    <row r="3689" spans="1:3" x14ac:dyDescent="0.2">
      <c r="A3689" s="241">
        <v>40695</v>
      </c>
      <c r="B3689" s="242">
        <v>12.6</v>
      </c>
      <c r="C3689" s="238">
        <v>15</v>
      </c>
    </row>
    <row r="3690" spans="1:3" x14ac:dyDescent="0.2">
      <c r="A3690" s="241">
        <v>40696</v>
      </c>
      <c r="B3690" s="242">
        <v>14.4</v>
      </c>
      <c r="C3690" s="238">
        <v>15.4</v>
      </c>
    </row>
    <row r="3691" spans="1:3" x14ac:dyDescent="0.2">
      <c r="A3691" s="241">
        <v>40697</v>
      </c>
      <c r="B3691" s="242">
        <v>17.8</v>
      </c>
      <c r="C3691" s="238">
        <v>13.6</v>
      </c>
    </row>
    <row r="3692" spans="1:3" x14ac:dyDescent="0.2">
      <c r="A3692" s="241">
        <v>40698</v>
      </c>
      <c r="B3692" s="242">
        <v>19.2</v>
      </c>
      <c r="C3692" s="238">
        <v>14.3</v>
      </c>
    </row>
    <row r="3693" spans="1:3" x14ac:dyDescent="0.2">
      <c r="A3693" s="241">
        <v>40699</v>
      </c>
      <c r="B3693" s="242">
        <v>15.4</v>
      </c>
      <c r="C3693" s="238">
        <v>3.4</v>
      </c>
    </row>
    <row r="3694" spans="1:3" x14ac:dyDescent="0.2">
      <c r="A3694" s="241">
        <v>40700</v>
      </c>
      <c r="B3694" s="242">
        <v>14</v>
      </c>
      <c r="C3694" s="238">
        <v>0.4</v>
      </c>
    </row>
    <row r="3695" spans="1:3" x14ac:dyDescent="0.2">
      <c r="A3695" s="241">
        <v>40701</v>
      </c>
      <c r="B3695" s="242">
        <v>14.4</v>
      </c>
      <c r="C3695" s="238">
        <v>7.6</v>
      </c>
    </row>
    <row r="3696" spans="1:3" x14ac:dyDescent="0.2">
      <c r="A3696" s="241">
        <v>40702</v>
      </c>
      <c r="B3696" s="242">
        <v>14.2</v>
      </c>
      <c r="C3696" s="238">
        <v>8.3000000000000007</v>
      </c>
    </row>
    <row r="3697" spans="1:3" x14ac:dyDescent="0.2">
      <c r="A3697" s="241">
        <v>40703</v>
      </c>
      <c r="B3697" s="242">
        <v>14.5</v>
      </c>
      <c r="C3697" s="238">
        <v>14.3</v>
      </c>
    </row>
    <row r="3698" spans="1:3" x14ac:dyDescent="0.2">
      <c r="A3698" s="241">
        <v>40704</v>
      </c>
      <c r="B3698" s="242">
        <v>13.6</v>
      </c>
      <c r="C3698" s="238">
        <v>5.0999999999999996</v>
      </c>
    </row>
    <row r="3699" spans="1:3" x14ac:dyDescent="0.2">
      <c r="A3699" s="241">
        <v>40705</v>
      </c>
      <c r="B3699" s="242">
        <v>12.4</v>
      </c>
      <c r="C3699" s="238">
        <v>8.5</v>
      </c>
    </row>
    <row r="3700" spans="1:3" x14ac:dyDescent="0.2">
      <c r="A3700" s="241">
        <v>40706</v>
      </c>
      <c r="B3700" s="242">
        <v>14.4</v>
      </c>
      <c r="C3700" s="238">
        <v>7.2</v>
      </c>
    </row>
    <row r="3701" spans="1:3" x14ac:dyDescent="0.2">
      <c r="A3701" s="241">
        <v>40707</v>
      </c>
      <c r="B3701" s="242">
        <v>15.4</v>
      </c>
      <c r="C3701" s="238">
        <v>1.3</v>
      </c>
    </row>
    <row r="3702" spans="1:3" x14ac:dyDescent="0.2">
      <c r="A3702" s="241">
        <v>40708</v>
      </c>
      <c r="B3702" s="242">
        <v>14.1</v>
      </c>
      <c r="C3702" s="238">
        <v>13.3</v>
      </c>
    </row>
    <row r="3703" spans="1:3" x14ac:dyDescent="0.2">
      <c r="A3703" s="241">
        <v>40709</v>
      </c>
      <c r="B3703" s="242">
        <v>16.399999999999999</v>
      </c>
      <c r="C3703" s="238">
        <v>5.7</v>
      </c>
    </row>
    <row r="3704" spans="1:3" x14ac:dyDescent="0.2">
      <c r="A3704" s="241">
        <v>40710</v>
      </c>
      <c r="B3704" s="242">
        <v>15.5</v>
      </c>
      <c r="C3704" s="238">
        <v>2.5</v>
      </c>
    </row>
    <row r="3705" spans="1:3" x14ac:dyDescent="0.2">
      <c r="A3705" s="241">
        <v>40711</v>
      </c>
      <c r="B3705" s="242">
        <v>14.8</v>
      </c>
      <c r="C3705" s="238">
        <v>5.9</v>
      </c>
    </row>
    <row r="3706" spans="1:3" x14ac:dyDescent="0.2">
      <c r="A3706" s="241">
        <v>40712</v>
      </c>
      <c r="B3706" s="242">
        <v>14.5</v>
      </c>
      <c r="C3706" s="238">
        <v>5.6</v>
      </c>
    </row>
    <row r="3707" spans="1:3" x14ac:dyDescent="0.2">
      <c r="A3707" s="241">
        <v>40713</v>
      </c>
      <c r="B3707" s="242">
        <v>14.1</v>
      </c>
      <c r="C3707" s="238">
        <v>1</v>
      </c>
    </row>
    <row r="3708" spans="1:3" x14ac:dyDescent="0.2">
      <c r="A3708" s="241">
        <v>40714</v>
      </c>
      <c r="B3708" s="242">
        <v>15.3</v>
      </c>
      <c r="C3708" s="238">
        <v>10.6</v>
      </c>
    </row>
    <row r="3709" spans="1:3" x14ac:dyDescent="0.2">
      <c r="A3709" s="241">
        <v>40715</v>
      </c>
      <c r="B3709" s="242">
        <v>16.3</v>
      </c>
      <c r="C3709" s="238">
        <v>4.2</v>
      </c>
    </row>
    <row r="3710" spans="1:3" x14ac:dyDescent="0.2">
      <c r="A3710" s="241">
        <v>40716</v>
      </c>
      <c r="B3710" s="242">
        <v>15.5</v>
      </c>
      <c r="C3710" s="238">
        <v>3.4</v>
      </c>
    </row>
    <row r="3711" spans="1:3" x14ac:dyDescent="0.2">
      <c r="A3711" s="241">
        <v>40717</v>
      </c>
      <c r="B3711" s="242">
        <v>15.4</v>
      </c>
      <c r="C3711" s="238">
        <v>8.6</v>
      </c>
    </row>
    <row r="3712" spans="1:3" x14ac:dyDescent="0.2">
      <c r="A3712" s="241">
        <v>40718</v>
      </c>
      <c r="B3712" s="242">
        <v>14.6</v>
      </c>
      <c r="C3712" s="238">
        <v>10.6</v>
      </c>
    </row>
    <row r="3713" spans="1:3" x14ac:dyDescent="0.2">
      <c r="A3713" s="241">
        <v>40719</v>
      </c>
      <c r="B3713" s="242">
        <v>14.7</v>
      </c>
      <c r="C3713" s="238">
        <v>0</v>
      </c>
    </row>
    <row r="3714" spans="1:3" x14ac:dyDescent="0.2">
      <c r="A3714" s="241">
        <v>40720</v>
      </c>
      <c r="B3714" s="242">
        <v>18.100000000000001</v>
      </c>
      <c r="C3714" s="238">
        <v>9.6999999999999993</v>
      </c>
    </row>
    <row r="3715" spans="1:3" x14ac:dyDescent="0.2">
      <c r="A3715" s="241">
        <v>40721</v>
      </c>
      <c r="B3715" s="242">
        <v>25.3</v>
      </c>
      <c r="C3715" s="238">
        <v>14.5</v>
      </c>
    </row>
    <row r="3716" spans="1:3" x14ac:dyDescent="0.2">
      <c r="A3716" s="241">
        <v>40722</v>
      </c>
      <c r="B3716" s="242">
        <v>24.1</v>
      </c>
      <c r="C3716" s="238">
        <v>5.5</v>
      </c>
    </row>
    <row r="3717" spans="1:3" x14ac:dyDescent="0.2">
      <c r="A3717" s="241">
        <v>40723</v>
      </c>
      <c r="B3717" s="242">
        <v>15.9</v>
      </c>
      <c r="C3717" s="238">
        <v>6.5</v>
      </c>
    </row>
    <row r="3718" spans="1:3" x14ac:dyDescent="0.2">
      <c r="A3718" s="241">
        <v>40724</v>
      </c>
      <c r="B3718" s="242">
        <v>15.5</v>
      </c>
      <c r="C3718" s="238">
        <v>14.8</v>
      </c>
    </row>
    <row r="3719" spans="1:3" x14ac:dyDescent="0.2">
      <c r="A3719" s="241">
        <v>40725</v>
      </c>
      <c r="B3719" s="242">
        <v>14.9</v>
      </c>
      <c r="C3719" s="238">
        <v>11.1</v>
      </c>
    </row>
    <row r="3720" spans="1:3" x14ac:dyDescent="0.2">
      <c r="A3720" s="241">
        <v>40726</v>
      </c>
      <c r="B3720" s="242">
        <v>14.9</v>
      </c>
      <c r="C3720" s="238">
        <v>9.4</v>
      </c>
    </row>
    <row r="3721" spans="1:3" x14ac:dyDescent="0.2">
      <c r="A3721" s="241">
        <v>40727</v>
      </c>
      <c r="B3721" s="242">
        <v>14.5</v>
      </c>
      <c r="C3721" s="238">
        <v>12.5</v>
      </c>
    </row>
    <row r="3722" spans="1:3" x14ac:dyDescent="0.2">
      <c r="A3722" s="241">
        <v>40728</v>
      </c>
      <c r="B3722" s="242">
        <v>13.9</v>
      </c>
      <c r="C3722" s="238">
        <v>11.9</v>
      </c>
    </row>
    <row r="3723" spans="1:3" x14ac:dyDescent="0.2">
      <c r="A3723" s="241">
        <v>40729</v>
      </c>
      <c r="B3723" s="242">
        <v>16.7</v>
      </c>
      <c r="C3723" s="238">
        <v>13.3</v>
      </c>
    </row>
    <row r="3724" spans="1:3" x14ac:dyDescent="0.2">
      <c r="A3724" s="241">
        <v>40730</v>
      </c>
      <c r="B3724" s="242">
        <v>17.600000000000001</v>
      </c>
      <c r="C3724" s="238">
        <v>9.3000000000000007</v>
      </c>
    </row>
    <row r="3725" spans="1:3" x14ac:dyDescent="0.2">
      <c r="A3725" s="241">
        <v>40731</v>
      </c>
      <c r="B3725" s="242">
        <v>18.2</v>
      </c>
      <c r="C3725" s="238">
        <v>7.3</v>
      </c>
    </row>
    <row r="3726" spans="1:3" x14ac:dyDescent="0.2">
      <c r="A3726" s="241">
        <v>40732</v>
      </c>
      <c r="B3726" s="242">
        <v>17.100000000000001</v>
      </c>
      <c r="C3726" s="238">
        <v>6.3</v>
      </c>
    </row>
    <row r="3727" spans="1:3" x14ac:dyDescent="0.2">
      <c r="A3727" s="241">
        <v>40733</v>
      </c>
      <c r="B3727" s="242">
        <v>17.2</v>
      </c>
      <c r="C3727" s="238">
        <v>9.3000000000000007</v>
      </c>
    </row>
    <row r="3728" spans="1:3" x14ac:dyDescent="0.2">
      <c r="A3728" s="241">
        <v>40734</v>
      </c>
      <c r="B3728" s="242">
        <v>16.399999999999999</v>
      </c>
      <c r="C3728" s="238">
        <v>11.3</v>
      </c>
    </row>
    <row r="3729" spans="1:3" x14ac:dyDescent="0.2">
      <c r="A3729" s="241">
        <v>40735</v>
      </c>
      <c r="B3729" s="242">
        <v>16.399999999999999</v>
      </c>
      <c r="C3729" s="238">
        <v>13.5</v>
      </c>
    </row>
    <row r="3730" spans="1:3" x14ac:dyDescent="0.2">
      <c r="A3730" s="241">
        <v>40736</v>
      </c>
      <c r="B3730" s="242">
        <v>17.100000000000001</v>
      </c>
      <c r="C3730" s="238">
        <v>2.4</v>
      </c>
    </row>
    <row r="3731" spans="1:3" x14ac:dyDescent="0.2">
      <c r="A3731" s="241">
        <v>40737</v>
      </c>
      <c r="B3731" s="242">
        <v>13.5</v>
      </c>
      <c r="C3731" s="238">
        <v>0</v>
      </c>
    </row>
    <row r="3732" spans="1:3" x14ac:dyDescent="0.2">
      <c r="A3732" s="241">
        <v>40738</v>
      </c>
      <c r="B3732" s="242">
        <v>14.8</v>
      </c>
      <c r="C3732" s="238">
        <v>0.3</v>
      </c>
    </row>
    <row r="3733" spans="1:3" x14ac:dyDescent="0.2">
      <c r="A3733" s="241">
        <v>40739</v>
      </c>
      <c r="B3733" s="242">
        <v>17.2</v>
      </c>
      <c r="C3733" s="238">
        <v>12.5</v>
      </c>
    </row>
    <row r="3734" spans="1:3" x14ac:dyDescent="0.2">
      <c r="A3734" s="241">
        <v>40740</v>
      </c>
      <c r="B3734" s="242">
        <v>16.8</v>
      </c>
      <c r="C3734" s="238">
        <v>0.1</v>
      </c>
    </row>
    <row r="3735" spans="1:3" x14ac:dyDescent="0.2">
      <c r="A3735" s="241">
        <v>40741</v>
      </c>
      <c r="B3735" s="242">
        <v>16.2</v>
      </c>
      <c r="C3735" s="238">
        <v>7.3</v>
      </c>
    </row>
    <row r="3736" spans="1:3" x14ac:dyDescent="0.2">
      <c r="A3736" s="241">
        <v>40742</v>
      </c>
      <c r="B3736" s="242">
        <v>15.5</v>
      </c>
      <c r="C3736" s="238">
        <v>1.8</v>
      </c>
    </row>
    <row r="3737" spans="1:3" x14ac:dyDescent="0.2">
      <c r="A3737" s="241">
        <v>40743</v>
      </c>
      <c r="B3737" s="242">
        <v>15.3</v>
      </c>
      <c r="C3737" s="238">
        <v>10.8</v>
      </c>
    </row>
    <row r="3738" spans="1:3" x14ac:dyDescent="0.2">
      <c r="A3738" s="241">
        <v>40744</v>
      </c>
      <c r="B3738" s="242">
        <v>15.3</v>
      </c>
      <c r="C3738" s="238">
        <v>13.1</v>
      </c>
    </row>
    <row r="3739" spans="1:3" x14ac:dyDescent="0.2">
      <c r="A3739" s="241">
        <v>40745</v>
      </c>
      <c r="B3739" s="242">
        <v>16.5</v>
      </c>
      <c r="C3739" s="238">
        <v>3.6</v>
      </c>
    </row>
    <row r="3740" spans="1:3" x14ac:dyDescent="0.2">
      <c r="A3740" s="241">
        <v>40746</v>
      </c>
      <c r="B3740" s="242">
        <v>15</v>
      </c>
      <c r="C3740" s="238">
        <v>3.5</v>
      </c>
    </row>
    <row r="3741" spans="1:3" x14ac:dyDescent="0.2">
      <c r="A3741" s="241">
        <v>40747</v>
      </c>
      <c r="B3741" s="242">
        <v>13.7</v>
      </c>
      <c r="C3741" s="238">
        <v>2.7</v>
      </c>
    </row>
    <row r="3742" spans="1:3" x14ac:dyDescent="0.2">
      <c r="A3742" s="241">
        <v>40748</v>
      </c>
      <c r="B3742" s="242">
        <v>13.4</v>
      </c>
      <c r="C3742" s="238">
        <v>0</v>
      </c>
    </row>
    <row r="3743" spans="1:3" x14ac:dyDescent="0.2">
      <c r="A3743" s="241">
        <v>40749</v>
      </c>
      <c r="B3743" s="242">
        <v>15.2</v>
      </c>
      <c r="C3743" s="238">
        <v>2.8</v>
      </c>
    </row>
    <row r="3744" spans="1:3" x14ac:dyDescent="0.2">
      <c r="A3744" s="241">
        <v>40750</v>
      </c>
      <c r="B3744" s="242">
        <v>15.2</v>
      </c>
      <c r="C3744" s="238">
        <v>1.6</v>
      </c>
    </row>
    <row r="3745" spans="1:3" x14ac:dyDescent="0.2">
      <c r="A3745" s="241">
        <v>40751</v>
      </c>
      <c r="B3745" s="242">
        <v>16.899999999999999</v>
      </c>
      <c r="C3745" s="238">
        <v>6.6</v>
      </c>
    </row>
    <row r="3746" spans="1:3" x14ac:dyDescent="0.2">
      <c r="A3746" s="241">
        <v>40752</v>
      </c>
      <c r="B3746" s="242">
        <v>17.5</v>
      </c>
      <c r="C3746" s="238">
        <v>8.9</v>
      </c>
    </row>
    <row r="3747" spans="1:3" x14ac:dyDescent="0.2">
      <c r="A3747" s="241">
        <v>40753</v>
      </c>
      <c r="B3747" s="242">
        <v>15.1</v>
      </c>
      <c r="C3747" s="238">
        <v>1.2</v>
      </c>
    </row>
    <row r="3748" spans="1:3" x14ac:dyDescent="0.2">
      <c r="A3748" s="241">
        <v>40754</v>
      </c>
      <c r="B3748" s="242">
        <v>14.7</v>
      </c>
      <c r="C3748" s="238">
        <v>0</v>
      </c>
    </row>
    <row r="3749" spans="1:3" x14ac:dyDescent="0.2">
      <c r="A3749" s="241">
        <v>40755</v>
      </c>
      <c r="B3749" s="242">
        <v>14.4</v>
      </c>
      <c r="C3749" s="238">
        <v>4.0999999999999996</v>
      </c>
    </row>
    <row r="3750" spans="1:3" x14ac:dyDescent="0.2">
      <c r="A3750" s="241">
        <v>40756</v>
      </c>
      <c r="B3750" s="242">
        <v>16.100000000000001</v>
      </c>
      <c r="C3750" s="238">
        <v>14.1</v>
      </c>
    </row>
    <row r="3751" spans="1:3" x14ac:dyDescent="0.2">
      <c r="A3751" s="241">
        <v>40757</v>
      </c>
      <c r="B3751" s="242">
        <v>19.3</v>
      </c>
      <c r="C3751" s="238">
        <v>7.7</v>
      </c>
    </row>
    <row r="3752" spans="1:3" x14ac:dyDescent="0.2">
      <c r="A3752" s="241">
        <v>40758</v>
      </c>
      <c r="B3752" s="242">
        <v>18.100000000000001</v>
      </c>
      <c r="C3752" s="238">
        <v>2.2999999999999998</v>
      </c>
    </row>
    <row r="3753" spans="1:3" x14ac:dyDescent="0.2">
      <c r="A3753" s="241">
        <v>40759</v>
      </c>
      <c r="B3753" s="242">
        <v>18.8</v>
      </c>
      <c r="C3753" s="238">
        <v>5.6</v>
      </c>
    </row>
    <row r="3754" spans="1:3" x14ac:dyDescent="0.2">
      <c r="A3754" s="241">
        <v>40760</v>
      </c>
      <c r="B3754" s="242">
        <v>17.3</v>
      </c>
      <c r="C3754" s="238">
        <v>8.3000000000000007</v>
      </c>
    </row>
    <row r="3755" spans="1:3" x14ac:dyDescent="0.2">
      <c r="A3755" s="241">
        <v>40761</v>
      </c>
      <c r="B3755" s="242">
        <v>17.7</v>
      </c>
      <c r="C3755" s="238">
        <v>1</v>
      </c>
    </row>
    <row r="3756" spans="1:3" x14ac:dyDescent="0.2">
      <c r="A3756" s="241">
        <v>40762</v>
      </c>
      <c r="B3756" s="242">
        <v>17.3</v>
      </c>
      <c r="C3756" s="238">
        <v>12.1</v>
      </c>
    </row>
    <row r="3757" spans="1:3" x14ac:dyDescent="0.2">
      <c r="A3757" s="241">
        <v>40763</v>
      </c>
      <c r="B3757" s="242">
        <v>15.6</v>
      </c>
      <c r="C3757" s="238">
        <v>5.8</v>
      </c>
    </row>
    <row r="3758" spans="1:3" x14ac:dyDescent="0.2">
      <c r="A3758" s="241">
        <v>40764</v>
      </c>
      <c r="B3758" s="242">
        <v>14.8</v>
      </c>
      <c r="C3758" s="238">
        <v>7.4</v>
      </c>
    </row>
    <row r="3759" spans="1:3" x14ac:dyDescent="0.2">
      <c r="A3759" s="241">
        <v>40765</v>
      </c>
      <c r="B3759" s="242">
        <v>16.2</v>
      </c>
      <c r="C3759" s="238">
        <v>1.8</v>
      </c>
    </row>
    <row r="3760" spans="1:3" x14ac:dyDescent="0.2">
      <c r="A3760" s="241">
        <v>40766</v>
      </c>
      <c r="B3760" s="242">
        <v>17.3</v>
      </c>
      <c r="C3760" s="238">
        <v>0.8</v>
      </c>
    </row>
    <row r="3761" spans="1:3" x14ac:dyDescent="0.2">
      <c r="A3761" s="241">
        <v>40767</v>
      </c>
      <c r="B3761" s="242">
        <v>16.2</v>
      </c>
      <c r="C3761" s="238">
        <v>4.4000000000000004</v>
      </c>
    </row>
    <row r="3762" spans="1:3" x14ac:dyDescent="0.2">
      <c r="A3762" s="241">
        <v>40768</v>
      </c>
      <c r="B3762" s="242">
        <v>17.100000000000001</v>
      </c>
      <c r="C3762" s="238">
        <v>1.1000000000000001</v>
      </c>
    </row>
    <row r="3763" spans="1:3" x14ac:dyDescent="0.2">
      <c r="A3763" s="241">
        <v>40769</v>
      </c>
      <c r="B3763" s="242">
        <v>17.8</v>
      </c>
      <c r="C3763" s="238">
        <v>6.8</v>
      </c>
    </row>
    <row r="3764" spans="1:3" x14ac:dyDescent="0.2">
      <c r="A3764" s="241">
        <v>40770</v>
      </c>
      <c r="B3764" s="242">
        <v>16.7</v>
      </c>
      <c r="C3764" s="238">
        <v>12.2</v>
      </c>
    </row>
    <row r="3765" spans="1:3" x14ac:dyDescent="0.2">
      <c r="A3765" s="241">
        <v>40771</v>
      </c>
      <c r="B3765" s="242">
        <v>17.8</v>
      </c>
      <c r="C3765" s="238">
        <v>7.5</v>
      </c>
    </row>
    <row r="3766" spans="1:3" x14ac:dyDescent="0.2">
      <c r="A3766" s="241">
        <v>40772</v>
      </c>
      <c r="B3766" s="242">
        <v>16.2</v>
      </c>
      <c r="C3766" s="238">
        <v>5.2</v>
      </c>
    </row>
    <row r="3767" spans="1:3" x14ac:dyDescent="0.2">
      <c r="A3767" s="241">
        <v>40773</v>
      </c>
      <c r="B3767" s="242">
        <v>15.3</v>
      </c>
      <c r="C3767" s="238">
        <v>1.3</v>
      </c>
    </row>
    <row r="3768" spans="1:3" x14ac:dyDescent="0.2">
      <c r="A3768" s="241">
        <v>40774</v>
      </c>
      <c r="B3768" s="242">
        <v>15.9</v>
      </c>
      <c r="C3768" s="238">
        <v>11.2</v>
      </c>
    </row>
    <row r="3769" spans="1:3" x14ac:dyDescent="0.2">
      <c r="A3769" s="241">
        <v>40775</v>
      </c>
      <c r="B3769" s="242">
        <v>17.100000000000001</v>
      </c>
      <c r="C3769" s="238">
        <v>6.1</v>
      </c>
    </row>
    <row r="3770" spans="1:3" x14ac:dyDescent="0.2">
      <c r="A3770" s="241">
        <v>40776</v>
      </c>
      <c r="B3770" s="242">
        <v>18.7</v>
      </c>
      <c r="C3770" s="238">
        <v>3.4</v>
      </c>
    </row>
    <row r="3771" spans="1:3" x14ac:dyDescent="0.2">
      <c r="A3771" s="241">
        <v>40777</v>
      </c>
      <c r="B3771" s="242">
        <v>16.7</v>
      </c>
      <c r="C3771" s="238">
        <v>4.3</v>
      </c>
    </row>
    <row r="3772" spans="1:3" x14ac:dyDescent="0.2">
      <c r="A3772" s="241">
        <v>40778</v>
      </c>
      <c r="B3772" s="242">
        <v>18.399999999999999</v>
      </c>
      <c r="C3772" s="238">
        <v>3.1</v>
      </c>
    </row>
    <row r="3773" spans="1:3" x14ac:dyDescent="0.2">
      <c r="A3773" s="241">
        <v>40779</v>
      </c>
      <c r="B3773" s="242">
        <v>17.8</v>
      </c>
      <c r="C3773" s="238">
        <v>2.9</v>
      </c>
    </row>
    <row r="3774" spans="1:3" x14ac:dyDescent="0.2">
      <c r="A3774" s="241">
        <v>40780</v>
      </c>
      <c r="B3774" s="242">
        <v>17.2</v>
      </c>
      <c r="C3774" s="238">
        <v>7.1</v>
      </c>
    </row>
    <row r="3775" spans="1:3" x14ac:dyDescent="0.2">
      <c r="A3775" s="241">
        <v>40781</v>
      </c>
      <c r="B3775" s="242">
        <v>17.7</v>
      </c>
      <c r="C3775" s="238">
        <v>0.9</v>
      </c>
    </row>
    <row r="3776" spans="1:3" x14ac:dyDescent="0.2">
      <c r="A3776" s="241">
        <v>40782</v>
      </c>
      <c r="B3776" s="242">
        <v>15.3</v>
      </c>
      <c r="C3776" s="238">
        <v>2.4</v>
      </c>
    </row>
    <row r="3777" spans="1:3" x14ac:dyDescent="0.2">
      <c r="A3777" s="241">
        <v>40783</v>
      </c>
      <c r="B3777" s="242">
        <v>16.2</v>
      </c>
      <c r="C3777" s="238">
        <v>6.8</v>
      </c>
    </row>
    <row r="3778" spans="1:3" x14ac:dyDescent="0.2">
      <c r="A3778" s="241">
        <v>40784</v>
      </c>
      <c r="B3778" s="242">
        <v>14.1</v>
      </c>
      <c r="C3778" s="238">
        <v>3.9</v>
      </c>
    </row>
    <row r="3779" spans="1:3" x14ac:dyDescent="0.2">
      <c r="A3779" s="241">
        <v>40785</v>
      </c>
      <c r="B3779" s="242">
        <v>15.3</v>
      </c>
      <c r="C3779" s="238">
        <v>4.7</v>
      </c>
    </row>
    <row r="3780" spans="1:3" x14ac:dyDescent="0.2">
      <c r="A3780" s="241">
        <v>40786</v>
      </c>
      <c r="B3780" s="242">
        <v>13.8</v>
      </c>
      <c r="C3780" s="238">
        <v>3.5</v>
      </c>
    </row>
    <row r="3781" spans="1:3" x14ac:dyDescent="0.2">
      <c r="A3781" s="241">
        <v>40787</v>
      </c>
      <c r="B3781" s="242">
        <v>13</v>
      </c>
      <c r="C3781" s="238">
        <v>10.5</v>
      </c>
    </row>
    <row r="3782" spans="1:3" x14ac:dyDescent="0.2">
      <c r="A3782" s="241">
        <v>40788</v>
      </c>
      <c r="B3782" s="242">
        <v>17.2</v>
      </c>
      <c r="C3782" s="238">
        <v>9.6</v>
      </c>
    </row>
    <row r="3783" spans="1:3" x14ac:dyDescent="0.2">
      <c r="A3783" s="241">
        <v>40789</v>
      </c>
      <c r="B3783" s="242">
        <v>20.2</v>
      </c>
      <c r="C3783" s="238">
        <v>9.8000000000000007</v>
      </c>
    </row>
    <row r="3784" spans="1:3" x14ac:dyDescent="0.2">
      <c r="A3784" s="241">
        <v>40790</v>
      </c>
      <c r="B3784" s="242">
        <v>18.2</v>
      </c>
      <c r="C3784" s="238">
        <v>2.1</v>
      </c>
    </row>
    <row r="3785" spans="1:3" x14ac:dyDescent="0.2">
      <c r="A3785" s="241">
        <v>40791</v>
      </c>
      <c r="B3785" s="242">
        <v>16.2</v>
      </c>
      <c r="C3785" s="238">
        <v>6.9</v>
      </c>
    </row>
    <row r="3786" spans="1:3" x14ac:dyDescent="0.2">
      <c r="A3786" s="241">
        <v>40792</v>
      </c>
      <c r="B3786" s="242">
        <v>15.7</v>
      </c>
      <c r="C3786" s="238">
        <v>0.2</v>
      </c>
    </row>
    <row r="3787" spans="1:3" x14ac:dyDescent="0.2">
      <c r="A3787" s="241">
        <v>40793</v>
      </c>
      <c r="B3787" s="242">
        <v>15.8</v>
      </c>
      <c r="C3787" s="238">
        <v>3.3</v>
      </c>
    </row>
    <row r="3788" spans="1:3" x14ac:dyDescent="0.2">
      <c r="A3788" s="241">
        <v>40794</v>
      </c>
      <c r="B3788" s="242">
        <v>15.6</v>
      </c>
      <c r="C3788" s="238">
        <v>1</v>
      </c>
    </row>
    <row r="3789" spans="1:3" x14ac:dyDescent="0.2">
      <c r="A3789" s="241">
        <v>40795</v>
      </c>
      <c r="B3789" s="242">
        <v>17.7</v>
      </c>
      <c r="C3789" s="238">
        <v>0.8</v>
      </c>
    </row>
    <row r="3790" spans="1:3" x14ac:dyDescent="0.2">
      <c r="A3790" s="241">
        <v>40796</v>
      </c>
      <c r="B3790" s="242">
        <v>20.8</v>
      </c>
      <c r="C3790" s="238">
        <v>2.6</v>
      </c>
    </row>
    <row r="3791" spans="1:3" x14ac:dyDescent="0.2">
      <c r="A3791" s="241">
        <v>40797</v>
      </c>
      <c r="B3791" s="242">
        <v>17.3</v>
      </c>
      <c r="C3791" s="238">
        <v>4.2</v>
      </c>
    </row>
    <row r="3792" spans="1:3" x14ac:dyDescent="0.2">
      <c r="A3792" s="241">
        <v>40798</v>
      </c>
      <c r="B3792" s="242">
        <v>17.3</v>
      </c>
      <c r="C3792" s="238">
        <v>4</v>
      </c>
    </row>
    <row r="3793" spans="1:3" x14ac:dyDescent="0.2">
      <c r="A3793" s="241">
        <v>40799</v>
      </c>
      <c r="B3793" s="242">
        <v>16.2</v>
      </c>
      <c r="C3793" s="238">
        <v>6</v>
      </c>
    </row>
    <row r="3794" spans="1:3" x14ac:dyDescent="0.2">
      <c r="A3794" s="241">
        <v>40800</v>
      </c>
      <c r="B3794" s="242">
        <v>15.3</v>
      </c>
      <c r="C3794" s="238">
        <v>3.4</v>
      </c>
    </row>
    <row r="3795" spans="1:3" x14ac:dyDescent="0.2">
      <c r="A3795" s="241">
        <v>40801</v>
      </c>
      <c r="B3795" s="242">
        <v>14.2</v>
      </c>
      <c r="C3795" s="238">
        <v>11.3</v>
      </c>
    </row>
    <row r="3796" spans="1:3" x14ac:dyDescent="0.2">
      <c r="A3796" s="241">
        <v>40802</v>
      </c>
      <c r="B3796" s="242">
        <v>14.1</v>
      </c>
      <c r="C3796" s="238">
        <v>5.4</v>
      </c>
    </row>
    <row r="3797" spans="1:3" x14ac:dyDescent="0.2">
      <c r="A3797" s="241">
        <v>40803</v>
      </c>
      <c r="B3797" s="242">
        <v>15.5</v>
      </c>
      <c r="C3797" s="238">
        <v>0.9</v>
      </c>
    </row>
    <row r="3798" spans="1:3" x14ac:dyDescent="0.2">
      <c r="A3798" s="241">
        <v>40804</v>
      </c>
      <c r="B3798" s="242">
        <v>12.4</v>
      </c>
      <c r="C3798" s="238">
        <v>4.8</v>
      </c>
    </row>
    <row r="3799" spans="1:3" x14ac:dyDescent="0.2">
      <c r="A3799" s="241">
        <v>40805</v>
      </c>
      <c r="B3799" s="242">
        <v>14.7</v>
      </c>
      <c r="C3799" s="238">
        <v>7.4</v>
      </c>
    </row>
    <row r="3800" spans="1:3" x14ac:dyDescent="0.2">
      <c r="A3800" s="241">
        <v>40806</v>
      </c>
      <c r="B3800" s="242">
        <v>16.3</v>
      </c>
      <c r="C3800" s="238">
        <v>0.9</v>
      </c>
    </row>
    <row r="3801" spans="1:3" x14ac:dyDescent="0.2">
      <c r="A3801" s="241">
        <v>40807</v>
      </c>
      <c r="B3801" s="242">
        <v>16</v>
      </c>
      <c r="C3801" s="238">
        <v>0</v>
      </c>
    </row>
    <row r="3802" spans="1:3" x14ac:dyDescent="0.2">
      <c r="A3802" s="241">
        <v>40808</v>
      </c>
      <c r="B3802" s="242">
        <v>15.3</v>
      </c>
      <c r="C3802" s="238">
        <v>8.4</v>
      </c>
    </row>
    <row r="3803" spans="1:3" x14ac:dyDescent="0.2">
      <c r="A3803" s="241">
        <v>40809</v>
      </c>
      <c r="B3803" s="242">
        <v>15.1</v>
      </c>
      <c r="C3803" s="238">
        <v>10.9</v>
      </c>
    </row>
    <row r="3804" spans="1:3" x14ac:dyDescent="0.2">
      <c r="A3804" s="241">
        <v>40810</v>
      </c>
      <c r="B3804" s="242">
        <v>13.4</v>
      </c>
      <c r="C3804" s="238">
        <v>8.3000000000000007</v>
      </c>
    </row>
    <row r="3805" spans="1:3" x14ac:dyDescent="0.2">
      <c r="A3805" s="241">
        <v>40811</v>
      </c>
      <c r="B3805" s="242">
        <v>16.2</v>
      </c>
      <c r="C3805" s="238">
        <v>7.3</v>
      </c>
    </row>
    <row r="3806" spans="1:3" x14ac:dyDescent="0.2">
      <c r="A3806" s="241">
        <v>40812</v>
      </c>
      <c r="B3806" s="242">
        <v>16.600000000000001</v>
      </c>
      <c r="C3806" s="238">
        <v>3.6</v>
      </c>
    </row>
    <row r="3807" spans="1:3" x14ac:dyDescent="0.2">
      <c r="A3807" s="241">
        <v>40813</v>
      </c>
      <c r="B3807" s="242">
        <v>15.5</v>
      </c>
      <c r="C3807" s="238">
        <v>5.8</v>
      </c>
    </row>
    <row r="3808" spans="1:3" x14ac:dyDescent="0.2">
      <c r="A3808" s="241">
        <v>40814</v>
      </c>
      <c r="B3808" s="242">
        <v>16.8</v>
      </c>
      <c r="C3808" s="238">
        <v>10.199999999999999</v>
      </c>
    </row>
    <row r="3809" spans="1:3" x14ac:dyDescent="0.2">
      <c r="A3809" s="241">
        <v>40815</v>
      </c>
      <c r="B3809" s="242">
        <v>19.399999999999999</v>
      </c>
      <c r="C3809" s="238">
        <v>10.5</v>
      </c>
    </row>
    <row r="3810" spans="1:3" x14ac:dyDescent="0.2">
      <c r="A3810" s="241">
        <v>40816</v>
      </c>
      <c r="B3810" s="242">
        <v>18</v>
      </c>
      <c r="C3810" s="238">
        <v>10.6</v>
      </c>
    </row>
    <row r="3811" spans="1:3" x14ac:dyDescent="0.2">
      <c r="A3811" s="241">
        <v>40817</v>
      </c>
      <c r="B3811" s="242">
        <v>15.6</v>
      </c>
      <c r="C3811" s="238">
        <v>9.3000000000000007</v>
      </c>
    </row>
    <row r="3812" spans="1:3" x14ac:dyDescent="0.2">
      <c r="A3812" s="241">
        <v>40818</v>
      </c>
      <c r="B3812" s="242">
        <v>17.600000000000001</v>
      </c>
      <c r="C3812" s="238">
        <v>9.5</v>
      </c>
    </row>
    <row r="3813" spans="1:3" x14ac:dyDescent="0.2">
      <c r="A3813" s="241">
        <v>40819</v>
      </c>
      <c r="B3813" s="242">
        <v>19</v>
      </c>
      <c r="C3813" s="238">
        <v>4.7</v>
      </c>
    </row>
    <row r="3814" spans="1:3" x14ac:dyDescent="0.2">
      <c r="A3814" s="241">
        <v>40820</v>
      </c>
      <c r="B3814" s="242">
        <v>17.3</v>
      </c>
      <c r="C3814" s="238">
        <v>3.7</v>
      </c>
    </row>
    <row r="3815" spans="1:3" x14ac:dyDescent="0.2">
      <c r="A3815" s="241">
        <v>40821</v>
      </c>
      <c r="B3815" s="242">
        <v>17.3</v>
      </c>
      <c r="C3815" s="238">
        <v>1.5</v>
      </c>
    </row>
    <row r="3816" spans="1:3" x14ac:dyDescent="0.2">
      <c r="A3816" s="241">
        <v>40822</v>
      </c>
      <c r="B3816" s="242">
        <v>14.3</v>
      </c>
      <c r="C3816" s="238">
        <v>4.3</v>
      </c>
    </row>
    <row r="3817" spans="1:3" x14ac:dyDescent="0.2">
      <c r="A3817" s="241">
        <v>40823</v>
      </c>
      <c r="B3817" s="242">
        <v>12.2</v>
      </c>
      <c r="C3817" s="238">
        <v>4.0999999999999996</v>
      </c>
    </row>
    <row r="3818" spans="1:3" x14ac:dyDescent="0.2">
      <c r="A3818" s="241">
        <v>40824</v>
      </c>
      <c r="B3818" s="242">
        <v>11.6</v>
      </c>
      <c r="C3818" s="238">
        <v>5.4</v>
      </c>
    </row>
    <row r="3819" spans="1:3" x14ac:dyDescent="0.2">
      <c r="A3819" s="241">
        <v>40825</v>
      </c>
      <c r="B3819" s="242">
        <v>12.6</v>
      </c>
      <c r="C3819" s="238">
        <v>0</v>
      </c>
    </row>
    <row r="3820" spans="1:3" x14ac:dyDescent="0.2">
      <c r="A3820" s="241">
        <v>40826</v>
      </c>
      <c r="B3820" s="242">
        <v>16.8</v>
      </c>
      <c r="C3820" s="238">
        <v>1.1000000000000001</v>
      </c>
    </row>
    <row r="3821" spans="1:3" x14ac:dyDescent="0.2">
      <c r="A3821" s="241">
        <v>40827</v>
      </c>
      <c r="B3821" s="242">
        <v>15.4</v>
      </c>
      <c r="C3821" s="238">
        <v>0</v>
      </c>
    </row>
    <row r="3822" spans="1:3" x14ac:dyDescent="0.2">
      <c r="A3822" s="241">
        <v>40828</v>
      </c>
      <c r="B3822" s="242">
        <v>11</v>
      </c>
      <c r="C3822" s="238">
        <v>0.2</v>
      </c>
    </row>
    <row r="3823" spans="1:3" x14ac:dyDescent="0.2">
      <c r="A3823" s="241">
        <v>40829</v>
      </c>
      <c r="B3823" s="242">
        <v>9.1</v>
      </c>
      <c r="C3823" s="238">
        <v>8.3000000000000007</v>
      </c>
    </row>
    <row r="3824" spans="1:3" x14ac:dyDescent="0.2">
      <c r="A3824" s="241">
        <v>40830</v>
      </c>
      <c r="B3824" s="242">
        <v>9.1999999999999993</v>
      </c>
      <c r="C3824" s="238">
        <v>8.8000000000000007</v>
      </c>
    </row>
    <row r="3825" spans="1:3" x14ac:dyDescent="0.2">
      <c r="A3825" s="241">
        <v>40831</v>
      </c>
      <c r="B3825" s="242">
        <v>8.9</v>
      </c>
      <c r="C3825" s="238">
        <v>9.8000000000000007</v>
      </c>
    </row>
    <row r="3826" spans="1:3" x14ac:dyDescent="0.2">
      <c r="A3826" s="241">
        <v>40832</v>
      </c>
      <c r="B3826" s="242">
        <v>10.199999999999999</v>
      </c>
      <c r="C3826" s="238">
        <v>9.5</v>
      </c>
    </row>
    <row r="3827" spans="1:3" x14ac:dyDescent="0.2">
      <c r="A3827" s="241">
        <v>40833</v>
      </c>
      <c r="B3827" s="242">
        <v>13.6</v>
      </c>
      <c r="C3827" s="238">
        <v>5.0999999999999996</v>
      </c>
    </row>
    <row r="3828" spans="1:3" x14ac:dyDescent="0.2">
      <c r="A3828" s="241">
        <v>40834</v>
      </c>
      <c r="B3828" s="242">
        <v>11.9</v>
      </c>
      <c r="C3828" s="238">
        <v>4.5999999999999996</v>
      </c>
    </row>
    <row r="3829" spans="1:3" x14ac:dyDescent="0.2">
      <c r="A3829" s="241">
        <v>40835</v>
      </c>
      <c r="B3829" s="242">
        <v>10.7</v>
      </c>
      <c r="C3829" s="238">
        <v>1.3</v>
      </c>
    </row>
    <row r="3830" spans="1:3" x14ac:dyDescent="0.2">
      <c r="A3830" s="241">
        <v>40836</v>
      </c>
      <c r="B3830" s="242">
        <v>8.9</v>
      </c>
      <c r="C3830" s="238">
        <v>1.8</v>
      </c>
    </row>
    <row r="3831" spans="1:3" x14ac:dyDescent="0.2">
      <c r="A3831" s="241">
        <v>40837</v>
      </c>
      <c r="B3831" s="242">
        <v>9.6999999999999993</v>
      </c>
      <c r="C3831" s="238">
        <v>6.6</v>
      </c>
    </row>
    <row r="3832" spans="1:3" x14ac:dyDescent="0.2">
      <c r="A3832" s="241">
        <v>40838</v>
      </c>
      <c r="B3832" s="242">
        <v>8</v>
      </c>
      <c r="C3832" s="238">
        <v>9.1999999999999993</v>
      </c>
    </row>
    <row r="3833" spans="1:3" x14ac:dyDescent="0.2">
      <c r="A3833" s="241">
        <v>40839</v>
      </c>
      <c r="B3833" s="242">
        <v>9.4</v>
      </c>
      <c r="C3833" s="238">
        <v>9.1999999999999993</v>
      </c>
    </row>
    <row r="3834" spans="1:3" x14ac:dyDescent="0.2">
      <c r="A3834" s="241">
        <v>40840</v>
      </c>
      <c r="B3834" s="242">
        <v>9.6</v>
      </c>
      <c r="C3834" s="238">
        <v>9</v>
      </c>
    </row>
    <row r="3835" spans="1:3" x14ac:dyDescent="0.2">
      <c r="A3835" s="241">
        <v>40841</v>
      </c>
      <c r="B3835" s="242">
        <v>10.199999999999999</v>
      </c>
      <c r="C3835" s="238">
        <v>0</v>
      </c>
    </row>
    <row r="3836" spans="1:3" x14ac:dyDescent="0.2">
      <c r="A3836" s="241">
        <v>40842</v>
      </c>
      <c r="B3836" s="242">
        <v>11.1</v>
      </c>
      <c r="C3836" s="238">
        <v>3.9</v>
      </c>
    </row>
    <row r="3837" spans="1:3" x14ac:dyDescent="0.2">
      <c r="A3837" s="241">
        <v>40843</v>
      </c>
      <c r="B3837" s="242">
        <v>11.6</v>
      </c>
      <c r="C3837" s="238">
        <v>1.4</v>
      </c>
    </row>
    <row r="3838" spans="1:3" x14ac:dyDescent="0.2">
      <c r="A3838" s="241">
        <v>40844</v>
      </c>
      <c r="B3838" s="242">
        <v>12.9</v>
      </c>
      <c r="C3838" s="238">
        <v>0.2</v>
      </c>
    </row>
    <row r="3839" spans="1:3" x14ac:dyDescent="0.2">
      <c r="A3839" s="241">
        <v>40845</v>
      </c>
      <c r="B3839" s="242">
        <v>13.4</v>
      </c>
      <c r="C3839" s="238">
        <v>0.6</v>
      </c>
    </row>
    <row r="3840" spans="1:3" x14ac:dyDescent="0.2">
      <c r="A3840" s="241">
        <v>40846</v>
      </c>
      <c r="B3840" s="242">
        <v>13.8</v>
      </c>
      <c r="C3840" s="238">
        <v>0</v>
      </c>
    </row>
    <row r="3841" spans="1:3" x14ac:dyDescent="0.2">
      <c r="A3841" s="241">
        <v>40847</v>
      </c>
      <c r="B3841" s="242">
        <v>14.3</v>
      </c>
      <c r="C3841" s="238">
        <v>2.8</v>
      </c>
    </row>
    <row r="3842" spans="1:3" x14ac:dyDescent="0.2">
      <c r="A3842" s="241">
        <v>40848</v>
      </c>
      <c r="B3842" s="242">
        <v>13.2</v>
      </c>
      <c r="C3842" s="238">
        <v>6.5</v>
      </c>
    </row>
    <row r="3843" spans="1:3" x14ac:dyDescent="0.2">
      <c r="A3843" s="241">
        <v>40849</v>
      </c>
      <c r="B3843" s="242">
        <v>11.7</v>
      </c>
      <c r="C3843" s="238">
        <v>3.7</v>
      </c>
    </row>
    <row r="3844" spans="1:3" x14ac:dyDescent="0.2">
      <c r="A3844" s="241">
        <v>40850</v>
      </c>
      <c r="B3844" s="242">
        <v>14.8</v>
      </c>
      <c r="C3844" s="238">
        <v>0</v>
      </c>
    </row>
    <row r="3845" spans="1:3" x14ac:dyDescent="0.2">
      <c r="A3845" s="241">
        <v>40851</v>
      </c>
      <c r="B3845" s="242">
        <v>15.5</v>
      </c>
      <c r="C3845" s="238">
        <v>5.7</v>
      </c>
    </row>
    <row r="3846" spans="1:3" x14ac:dyDescent="0.2">
      <c r="A3846" s="241">
        <v>40852</v>
      </c>
      <c r="B3846" s="242">
        <v>12</v>
      </c>
      <c r="C3846" s="238">
        <v>3.3</v>
      </c>
    </row>
    <row r="3847" spans="1:3" x14ac:dyDescent="0.2">
      <c r="A3847" s="241">
        <v>40853</v>
      </c>
      <c r="B3847" s="242">
        <v>12.1</v>
      </c>
      <c r="C3847" s="238">
        <v>0</v>
      </c>
    </row>
    <row r="3848" spans="1:3" x14ac:dyDescent="0.2">
      <c r="A3848" s="241">
        <v>40854</v>
      </c>
      <c r="B3848" s="242">
        <v>10.199999999999999</v>
      </c>
      <c r="C3848" s="238">
        <v>0</v>
      </c>
    </row>
    <row r="3849" spans="1:3" x14ac:dyDescent="0.2">
      <c r="A3849" s="241">
        <v>40855</v>
      </c>
      <c r="B3849" s="242">
        <v>8.5</v>
      </c>
      <c r="C3849" s="238">
        <v>3.1</v>
      </c>
    </row>
    <row r="3850" spans="1:3" x14ac:dyDescent="0.2">
      <c r="A3850" s="241">
        <v>40856</v>
      </c>
      <c r="B3850" s="242">
        <v>9</v>
      </c>
      <c r="C3850" s="238">
        <v>2.6</v>
      </c>
    </row>
    <row r="3851" spans="1:3" x14ac:dyDescent="0.2">
      <c r="A3851" s="241">
        <v>40857</v>
      </c>
      <c r="B3851" s="242">
        <v>6.3</v>
      </c>
      <c r="C3851" s="238">
        <v>2.1</v>
      </c>
    </row>
    <row r="3852" spans="1:3" x14ac:dyDescent="0.2">
      <c r="A3852" s="241">
        <v>40858</v>
      </c>
      <c r="B3852" s="242">
        <v>7.5</v>
      </c>
      <c r="C3852" s="238">
        <v>2.5</v>
      </c>
    </row>
    <row r="3853" spans="1:3" x14ac:dyDescent="0.2">
      <c r="A3853" s="241">
        <v>40859</v>
      </c>
      <c r="B3853" s="242">
        <v>6.9</v>
      </c>
      <c r="C3853" s="238">
        <v>7</v>
      </c>
    </row>
    <row r="3854" spans="1:3" x14ac:dyDescent="0.2">
      <c r="A3854" s="241">
        <v>40860</v>
      </c>
      <c r="B3854" s="242">
        <v>5.7</v>
      </c>
      <c r="C3854" s="238">
        <v>7.3</v>
      </c>
    </row>
    <row r="3855" spans="1:3" x14ac:dyDescent="0.2">
      <c r="A3855" s="241">
        <v>40861</v>
      </c>
      <c r="B3855" s="242">
        <v>3</v>
      </c>
      <c r="C3855" s="238">
        <v>4.4000000000000004</v>
      </c>
    </row>
    <row r="3856" spans="1:3" x14ac:dyDescent="0.2">
      <c r="A3856" s="241">
        <v>40862</v>
      </c>
      <c r="B3856" s="242">
        <v>1.6</v>
      </c>
      <c r="C3856" s="238">
        <v>1.2</v>
      </c>
    </row>
    <row r="3857" spans="1:3" x14ac:dyDescent="0.2">
      <c r="A3857" s="241">
        <v>40863</v>
      </c>
      <c r="B3857" s="242">
        <v>2.2000000000000002</v>
      </c>
      <c r="C3857" s="238">
        <v>7.5</v>
      </c>
    </row>
    <row r="3858" spans="1:3" x14ac:dyDescent="0.2">
      <c r="A3858" s="241">
        <v>40864</v>
      </c>
      <c r="B3858" s="242">
        <v>4.5</v>
      </c>
      <c r="C3858" s="238">
        <v>0</v>
      </c>
    </row>
    <row r="3859" spans="1:3" x14ac:dyDescent="0.2">
      <c r="A3859" s="241">
        <v>40865</v>
      </c>
      <c r="B3859" s="242">
        <v>8.5</v>
      </c>
      <c r="C3859" s="238">
        <v>7.4</v>
      </c>
    </row>
    <row r="3860" spans="1:3" x14ac:dyDescent="0.2">
      <c r="A3860" s="241">
        <v>40866</v>
      </c>
      <c r="B3860" s="242">
        <v>4.0999999999999996</v>
      </c>
      <c r="C3860" s="238">
        <v>5.2</v>
      </c>
    </row>
    <row r="3861" spans="1:3" x14ac:dyDescent="0.2">
      <c r="A3861" s="241">
        <v>40867</v>
      </c>
      <c r="B3861" s="242">
        <v>3.9</v>
      </c>
      <c r="C3861" s="238">
        <v>3.5</v>
      </c>
    </row>
    <row r="3862" spans="1:3" x14ac:dyDescent="0.2">
      <c r="A3862" s="241">
        <v>40868</v>
      </c>
      <c r="B3862" s="242">
        <v>2.1</v>
      </c>
      <c r="C3862" s="238">
        <v>0</v>
      </c>
    </row>
    <row r="3863" spans="1:3" x14ac:dyDescent="0.2">
      <c r="A3863" s="241">
        <v>40869</v>
      </c>
      <c r="B3863" s="242">
        <v>3.5</v>
      </c>
      <c r="C3863" s="238">
        <v>1.8</v>
      </c>
    </row>
    <row r="3864" spans="1:3" x14ac:dyDescent="0.2">
      <c r="A3864" s="241">
        <v>40870</v>
      </c>
      <c r="B3864" s="242">
        <v>10</v>
      </c>
      <c r="C3864" s="238">
        <v>3</v>
      </c>
    </row>
    <row r="3865" spans="1:3" x14ac:dyDescent="0.2">
      <c r="A3865" s="241">
        <v>40871</v>
      </c>
      <c r="B3865" s="242">
        <v>10.199999999999999</v>
      </c>
      <c r="C3865" s="238">
        <v>1.5</v>
      </c>
    </row>
    <row r="3866" spans="1:3" x14ac:dyDescent="0.2">
      <c r="A3866" s="241">
        <v>40872</v>
      </c>
      <c r="B3866" s="242">
        <v>10.3</v>
      </c>
      <c r="C3866" s="238">
        <v>3.2</v>
      </c>
    </row>
    <row r="3867" spans="1:3" x14ac:dyDescent="0.2">
      <c r="A3867" s="241">
        <v>40873</v>
      </c>
      <c r="B3867" s="242">
        <v>11.1</v>
      </c>
      <c r="C3867" s="238">
        <v>0.2</v>
      </c>
    </row>
    <row r="3868" spans="1:3" x14ac:dyDescent="0.2">
      <c r="A3868" s="241">
        <v>40874</v>
      </c>
      <c r="B3868" s="242">
        <v>10.9</v>
      </c>
      <c r="C3868" s="238">
        <v>2.4</v>
      </c>
    </row>
    <row r="3869" spans="1:3" x14ac:dyDescent="0.2">
      <c r="A3869" s="241">
        <v>40875</v>
      </c>
      <c r="B3869" s="242">
        <v>8.1999999999999993</v>
      </c>
      <c r="C3869" s="238">
        <v>4.7</v>
      </c>
    </row>
    <row r="3870" spans="1:3" x14ac:dyDescent="0.2">
      <c r="A3870" s="241">
        <v>40876</v>
      </c>
      <c r="B3870" s="242">
        <v>8.8000000000000007</v>
      </c>
      <c r="C3870" s="238">
        <v>1.6</v>
      </c>
    </row>
    <row r="3871" spans="1:3" x14ac:dyDescent="0.2">
      <c r="A3871" s="241">
        <v>40877</v>
      </c>
      <c r="B3871" s="242">
        <v>9.5</v>
      </c>
      <c r="C3871" s="238">
        <v>6.4</v>
      </c>
    </row>
    <row r="3872" spans="1:3" x14ac:dyDescent="0.2">
      <c r="A3872" s="241">
        <v>40878</v>
      </c>
      <c r="B3872" s="242">
        <v>8.9</v>
      </c>
      <c r="C3872" s="238">
        <v>0.3</v>
      </c>
    </row>
    <row r="3873" spans="1:3" x14ac:dyDescent="0.2">
      <c r="A3873" s="241">
        <v>40879</v>
      </c>
      <c r="B3873" s="242">
        <v>7.9</v>
      </c>
      <c r="C3873" s="238">
        <v>4.3</v>
      </c>
    </row>
    <row r="3874" spans="1:3" x14ac:dyDescent="0.2">
      <c r="A3874" s="241">
        <v>40880</v>
      </c>
      <c r="B3874" s="242">
        <v>9.5</v>
      </c>
      <c r="C3874" s="238">
        <v>1.6</v>
      </c>
    </row>
    <row r="3875" spans="1:3" x14ac:dyDescent="0.2">
      <c r="A3875" s="241">
        <v>40881</v>
      </c>
      <c r="B3875" s="242">
        <v>8.8000000000000007</v>
      </c>
      <c r="C3875" s="238">
        <v>0</v>
      </c>
    </row>
    <row r="3876" spans="1:3" x14ac:dyDescent="0.2">
      <c r="A3876" s="241">
        <v>40882</v>
      </c>
      <c r="B3876" s="242">
        <v>6.8</v>
      </c>
      <c r="C3876" s="238">
        <v>1.1000000000000001</v>
      </c>
    </row>
    <row r="3877" spans="1:3" x14ac:dyDescent="0.2">
      <c r="A3877" s="241">
        <v>40883</v>
      </c>
      <c r="B3877" s="242">
        <v>6.7</v>
      </c>
      <c r="C3877" s="238">
        <v>0.9</v>
      </c>
    </row>
    <row r="3878" spans="1:3" x14ac:dyDescent="0.2">
      <c r="A3878" s="241">
        <v>40884</v>
      </c>
      <c r="B3878" s="242">
        <v>7.9</v>
      </c>
      <c r="C3878" s="238">
        <v>1.3</v>
      </c>
    </row>
    <row r="3879" spans="1:3" x14ac:dyDescent="0.2">
      <c r="A3879" s="241">
        <v>40885</v>
      </c>
      <c r="B3879" s="242">
        <v>8.5</v>
      </c>
      <c r="C3879" s="238">
        <v>0</v>
      </c>
    </row>
    <row r="3880" spans="1:3" x14ac:dyDescent="0.2">
      <c r="A3880" s="241">
        <v>40886</v>
      </c>
      <c r="B3880" s="242">
        <v>6.8</v>
      </c>
      <c r="C3880" s="238">
        <v>1.5</v>
      </c>
    </row>
    <row r="3881" spans="1:3" x14ac:dyDescent="0.2">
      <c r="A3881" s="241">
        <v>40887</v>
      </c>
      <c r="B3881" s="242">
        <v>6.2</v>
      </c>
      <c r="C3881" s="238">
        <v>5</v>
      </c>
    </row>
    <row r="3882" spans="1:3" x14ac:dyDescent="0.2">
      <c r="A3882" s="241">
        <v>40888</v>
      </c>
      <c r="B3882" s="242">
        <v>6.1</v>
      </c>
      <c r="C3882" s="238">
        <v>0.2</v>
      </c>
    </row>
    <row r="3883" spans="1:3" x14ac:dyDescent="0.2">
      <c r="A3883" s="241">
        <v>40889</v>
      </c>
      <c r="B3883" s="242">
        <v>7.4</v>
      </c>
      <c r="C3883" s="238">
        <v>3.5</v>
      </c>
    </row>
    <row r="3884" spans="1:3" x14ac:dyDescent="0.2">
      <c r="A3884" s="241">
        <v>40890</v>
      </c>
      <c r="B3884" s="242">
        <v>8.3000000000000007</v>
      </c>
      <c r="C3884" s="238">
        <v>3.7</v>
      </c>
    </row>
    <row r="3885" spans="1:3" x14ac:dyDescent="0.2">
      <c r="A3885" s="241">
        <v>40891</v>
      </c>
      <c r="B3885" s="242">
        <v>6.2</v>
      </c>
      <c r="C3885" s="238">
        <v>0.6</v>
      </c>
    </row>
    <row r="3886" spans="1:3" x14ac:dyDescent="0.2">
      <c r="A3886" s="241">
        <v>40892</v>
      </c>
      <c r="B3886" s="242">
        <v>5.8</v>
      </c>
      <c r="C3886" s="238">
        <v>0</v>
      </c>
    </row>
    <row r="3887" spans="1:3" x14ac:dyDescent="0.2">
      <c r="A3887" s="241">
        <v>40893</v>
      </c>
      <c r="B3887" s="242">
        <v>4.5</v>
      </c>
      <c r="C3887" s="238">
        <v>0</v>
      </c>
    </row>
    <row r="3888" spans="1:3" x14ac:dyDescent="0.2">
      <c r="A3888" s="241">
        <v>40894</v>
      </c>
      <c r="B3888" s="242">
        <v>6</v>
      </c>
      <c r="C3888" s="238">
        <v>3.9</v>
      </c>
    </row>
    <row r="3889" spans="1:3" x14ac:dyDescent="0.2">
      <c r="A3889" s="241">
        <v>40895</v>
      </c>
      <c r="B3889" s="242">
        <v>4.8</v>
      </c>
      <c r="C3889" s="238">
        <v>1.8</v>
      </c>
    </row>
    <row r="3890" spans="1:3" x14ac:dyDescent="0.2">
      <c r="A3890" s="241">
        <v>40896</v>
      </c>
      <c r="B3890" s="242">
        <v>3.9</v>
      </c>
      <c r="C3890" s="238">
        <v>3</v>
      </c>
    </row>
    <row r="3891" spans="1:3" x14ac:dyDescent="0.2">
      <c r="A3891" s="241">
        <v>40897</v>
      </c>
      <c r="B3891" s="242">
        <v>7.3</v>
      </c>
      <c r="C3891" s="238">
        <v>2.5</v>
      </c>
    </row>
    <row r="3892" spans="1:3" x14ac:dyDescent="0.2">
      <c r="A3892" s="241">
        <v>40898</v>
      </c>
      <c r="B3892" s="242">
        <v>6.9</v>
      </c>
      <c r="C3892" s="238">
        <v>0</v>
      </c>
    </row>
    <row r="3893" spans="1:3" x14ac:dyDescent="0.2">
      <c r="A3893" s="241">
        <v>40899</v>
      </c>
      <c r="B3893" s="242">
        <v>8.6999999999999993</v>
      </c>
      <c r="C3893" s="238">
        <v>1</v>
      </c>
    </row>
    <row r="3894" spans="1:3" x14ac:dyDescent="0.2">
      <c r="A3894" s="241">
        <v>40900</v>
      </c>
      <c r="B3894" s="242">
        <v>8.4</v>
      </c>
      <c r="C3894" s="238">
        <v>0</v>
      </c>
    </row>
    <row r="3895" spans="1:3" x14ac:dyDescent="0.2">
      <c r="A3895" s="241">
        <v>40901</v>
      </c>
      <c r="B3895" s="242">
        <v>7</v>
      </c>
      <c r="C3895" s="238">
        <v>4.7</v>
      </c>
    </row>
    <row r="3896" spans="1:3" x14ac:dyDescent="0.2">
      <c r="A3896" s="241">
        <v>40902</v>
      </c>
      <c r="B3896" s="242">
        <v>8.8000000000000007</v>
      </c>
      <c r="C3896" s="238">
        <v>2.7</v>
      </c>
    </row>
    <row r="3897" spans="1:3" x14ac:dyDescent="0.2">
      <c r="A3897" s="241">
        <v>40903</v>
      </c>
      <c r="B3897" s="242">
        <v>9.3000000000000007</v>
      </c>
      <c r="C3897" s="238">
        <v>5.2</v>
      </c>
    </row>
    <row r="3898" spans="1:3" x14ac:dyDescent="0.2">
      <c r="A3898" s="241">
        <v>40904</v>
      </c>
      <c r="B3898" s="242">
        <v>8.6999999999999993</v>
      </c>
      <c r="C3898" s="238">
        <v>0</v>
      </c>
    </row>
    <row r="3899" spans="1:3" x14ac:dyDescent="0.2">
      <c r="A3899" s="241">
        <v>40905</v>
      </c>
      <c r="B3899" s="242">
        <v>7.2</v>
      </c>
      <c r="C3899" s="238">
        <v>0</v>
      </c>
    </row>
    <row r="3900" spans="1:3" x14ac:dyDescent="0.2">
      <c r="A3900" s="241">
        <v>40906</v>
      </c>
      <c r="B3900" s="242">
        <v>7.3</v>
      </c>
      <c r="C3900" s="238">
        <v>0</v>
      </c>
    </row>
    <row r="3901" spans="1:3" x14ac:dyDescent="0.2">
      <c r="A3901" s="241">
        <v>40907</v>
      </c>
      <c r="B3901" s="242">
        <v>6.1</v>
      </c>
      <c r="C3901" s="238">
        <v>4.7</v>
      </c>
    </row>
    <row r="3902" spans="1:3" x14ac:dyDescent="0.2">
      <c r="A3902" s="241">
        <v>40908</v>
      </c>
      <c r="B3902" s="242">
        <v>7.6</v>
      </c>
      <c r="C3902" s="238">
        <v>0.4</v>
      </c>
    </row>
    <row r="3903" spans="1:3" x14ac:dyDescent="0.2">
      <c r="A3903" s="241">
        <v>40909</v>
      </c>
      <c r="B3903" s="242">
        <v>9.6999999999999993</v>
      </c>
      <c r="C3903" s="238">
        <v>0</v>
      </c>
    </row>
    <row r="3904" spans="1:3" x14ac:dyDescent="0.2">
      <c r="A3904" s="241">
        <v>40910</v>
      </c>
      <c r="B3904" s="242">
        <v>7.7</v>
      </c>
      <c r="C3904" s="238">
        <v>2.8</v>
      </c>
    </row>
    <row r="3905" spans="1:3" x14ac:dyDescent="0.2">
      <c r="A3905" s="241">
        <v>40911</v>
      </c>
      <c r="B3905" s="242">
        <v>7.8</v>
      </c>
      <c r="C3905" s="238">
        <v>0</v>
      </c>
    </row>
    <row r="3906" spans="1:3" x14ac:dyDescent="0.2">
      <c r="A3906" s="241">
        <v>40912</v>
      </c>
      <c r="B3906" s="242">
        <v>7.6</v>
      </c>
      <c r="C3906" s="238">
        <v>0.7</v>
      </c>
    </row>
    <row r="3907" spans="1:3" x14ac:dyDescent="0.2">
      <c r="A3907" s="241">
        <v>40913</v>
      </c>
      <c r="B3907" s="242">
        <v>7.7</v>
      </c>
      <c r="C3907" s="238">
        <v>1.6</v>
      </c>
    </row>
    <row r="3908" spans="1:3" x14ac:dyDescent="0.2">
      <c r="A3908" s="241">
        <v>40914</v>
      </c>
      <c r="B3908" s="242">
        <v>7.2</v>
      </c>
      <c r="C3908" s="238">
        <v>4.2</v>
      </c>
    </row>
    <row r="3909" spans="1:3" x14ac:dyDescent="0.2">
      <c r="A3909" s="241">
        <v>40915</v>
      </c>
      <c r="B3909" s="242">
        <v>8.1</v>
      </c>
      <c r="C3909" s="238">
        <v>3</v>
      </c>
    </row>
    <row r="3910" spans="1:3" x14ac:dyDescent="0.2">
      <c r="A3910" s="241">
        <v>40916</v>
      </c>
      <c r="B3910" s="242">
        <v>7.7</v>
      </c>
      <c r="C3910" s="238">
        <v>3.7</v>
      </c>
    </row>
    <row r="3911" spans="1:3" x14ac:dyDescent="0.2">
      <c r="A3911" s="241">
        <v>40917</v>
      </c>
      <c r="B3911" s="242">
        <v>8.1</v>
      </c>
      <c r="C3911" s="238">
        <v>0</v>
      </c>
    </row>
    <row r="3912" spans="1:3" x14ac:dyDescent="0.2">
      <c r="A3912" s="241">
        <v>40918</v>
      </c>
      <c r="B3912" s="242">
        <v>7.5</v>
      </c>
      <c r="C3912" s="238">
        <v>1.5</v>
      </c>
    </row>
    <row r="3913" spans="1:3" x14ac:dyDescent="0.2">
      <c r="A3913" s="241">
        <v>40919</v>
      </c>
      <c r="B3913" s="242">
        <v>8</v>
      </c>
      <c r="C3913" s="238">
        <v>0</v>
      </c>
    </row>
    <row r="3914" spans="1:3" x14ac:dyDescent="0.2">
      <c r="A3914" s="241">
        <v>40920</v>
      </c>
      <c r="B3914" s="242">
        <v>7.9</v>
      </c>
      <c r="C3914" s="238">
        <v>0.5</v>
      </c>
    </row>
    <row r="3915" spans="1:3" x14ac:dyDescent="0.2">
      <c r="A3915" s="241">
        <v>40921</v>
      </c>
      <c r="B3915" s="242">
        <v>6.2</v>
      </c>
      <c r="C3915" s="238">
        <v>4.5</v>
      </c>
    </row>
    <row r="3916" spans="1:3" x14ac:dyDescent="0.2">
      <c r="A3916" s="241">
        <v>40922</v>
      </c>
      <c r="B3916" s="242">
        <v>3.6</v>
      </c>
      <c r="C3916" s="238">
        <v>3.1</v>
      </c>
    </row>
    <row r="3917" spans="1:3" x14ac:dyDescent="0.2">
      <c r="A3917" s="241">
        <v>40923</v>
      </c>
      <c r="B3917" s="242">
        <v>1.2</v>
      </c>
      <c r="C3917" s="238">
        <v>1.9</v>
      </c>
    </row>
    <row r="3918" spans="1:3" x14ac:dyDescent="0.2">
      <c r="A3918" s="241">
        <v>40924</v>
      </c>
      <c r="B3918" s="242">
        <v>0.1</v>
      </c>
      <c r="C3918" s="238">
        <v>7</v>
      </c>
    </row>
    <row r="3919" spans="1:3" x14ac:dyDescent="0.2">
      <c r="A3919" s="241">
        <v>40925</v>
      </c>
      <c r="B3919" s="242">
        <v>1.1000000000000001</v>
      </c>
      <c r="C3919" s="238">
        <v>6.9</v>
      </c>
    </row>
    <row r="3920" spans="1:3" x14ac:dyDescent="0.2">
      <c r="A3920" s="241">
        <v>40926</v>
      </c>
      <c r="B3920" s="242">
        <v>4.9000000000000004</v>
      </c>
      <c r="C3920" s="238">
        <v>0</v>
      </c>
    </row>
    <row r="3921" spans="1:3" x14ac:dyDescent="0.2">
      <c r="A3921" s="241">
        <v>40927</v>
      </c>
      <c r="B3921" s="242">
        <v>6.9</v>
      </c>
      <c r="C3921" s="238">
        <v>2.1</v>
      </c>
    </row>
    <row r="3922" spans="1:3" x14ac:dyDescent="0.2">
      <c r="A3922" s="241">
        <v>40928</v>
      </c>
      <c r="B3922" s="242">
        <v>5.8</v>
      </c>
      <c r="C3922" s="238">
        <v>0.6</v>
      </c>
    </row>
    <row r="3923" spans="1:3" x14ac:dyDescent="0.2">
      <c r="A3923" s="241">
        <v>40929</v>
      </c>
      <c r="B3923" s="242">
        <v>7.7</v>
      </c>
      <c r="C3923" s="238">
        <v>1.8</v>
      </c>
    </row>
    <row r="3924" spans="1:3" x14ac:dyDescent="0.2">
      <c r="A3924" s="241">
        <v>40930</v>
      </c>
      <c r="B3924" s="242">
        <v>7.1</v>
      </c>
      <c r="C3924" s="238">
        <v>1.5</v>
      </c>
    </row>
    <row r="3925" spans="1:3" x14ac:dyDescent="0.2">
      <c r="A3925" s="241">
        <v>40931</v>
      </c>
      <c r="B3925" s="242">
        <v>6.2</v>
      </c>
      <c r="C3925" s="238">
        <v>5</v>
      </c>
    </row>
    <row r="3926" spans="1:3" x14ac:dyDescent="0.2">
      <c r="A3926" s="241">
        <v>40932</v>
      </c>
      <c r="B3926" s="242">
        <v>5.3</v>
      </c>
      <c r="C3926" s="238">
        <v>0.1</v>
      </c>
    </row>
    <row r="3927" spans="1:3" x14ac:dyDescent="0.2">
      <c r="A3927" s="241">
        <v>40933</v>
      </c>
      <c r="B3927" s="242">
        <v>4.8</v>
      </c>
      <c r="C3927" s="238">
        <v>0</v>
      </c>
    </row>
    <row r="3928" spans="1:3" x14ac:dyDescent="0.2">
      <c r="A3928" s="241">
        <v>40934</v>
      </c>
      <c r="B3928" s="242">
        <v>5.6</v>
      </c>
      <c r="C3928" s="238">
        <v>0</v>
      </c>
    </row>
    <row r="3929" spans="1:3" x14ac:dyDescent="0.2">
      <c r="A3929" s="241">
        <v>40935</v>
      </c>
      <c r="B3929" s="242">
        <v>5.4</v>
      </c>
      <c r="C3929" s="238">
        <v>5.4</v>
      </c>
    </row>
    <row r="3930" spans="1:3" x14ac:dyDescent="0.2">
      <c r="A3930" s="241">
        <v>40936</v>
      </c>
      <c r="B3930" s="242">
        <v>2.8</v>
      </c>
      <c r="C3930" s="238">
        <v>1.1000000000000001</v>
      </c>
    </row>
    <row r="3931" spans="1:3" x14ac:dyDescent="0.2">
      <c r="A3931" s="241">
        <v>40937</v>
      </c>
      <c r="B3931" s="242">
        <v>-0.5</v>
      </c>
      <c r="C3931" s="238">
        <v>7.4</v>
      </c>
    </row>
    <row r="3932" spans="1:3" x14ac:dyDescent="0.2">
      <c r="A3932" s="241">
        <v>40938</v>
      </c>
      <c r="B3932" s="242">
        <v>-1.8</v>
      </c>
      <c r="C3932" s="238">
        <v>0</v>
      </c>
    </row>
    <row r="3933" spans="1:3" x14ac:dyDescent="0.2">
      <c r="A3933" s="241">
        <v>40939</v>
      </c>
      <c r="B3933" s="242">
        <v>-3.5</v>
      </c>
      <c r="C3933" s="238">
        <v>7.7</v>
      </c>
    </row>
    <row r="3934" spans="1:3" x14ac:dyDescent="0.2">
      <c r="A3934" s="241">
        <v>40940</v>
      </c>
      <c r="B3934" s="242">
        <v>-4</v>
      </c>
      <c r="C3934" s="238">
        <v>8</v>
      </c>
    </row>
    <row r="3935" spans="1:3" x14ac:dyDescent="0.2">
      <c r="A3935" s="241">
        <v>40941</v>
      </c>
      <c r="B3935" s="242">
        <v>-6.2</v>
      </c>
      <c r="C3935" s="238">
        <v>8</v>
      </c>
    </row>
    <row r="3936" spans="1:3" x14ac:dyDescent="0.2">
      <c r="A3936" s="241">
        <v>40942</v>
      </c>
      <c r="B3936" s="242">
        <v>-6.5</v>
      </c>
      <c r="C3936" s="238">
        <v>2</v>
      </c>
    </row>
    <row r="3937" spans="1:3" x14ac:dyDescent="0.2">
      <c r="A3937" s="241">
        <v>40943</v>
      </c>
      <c r="B3937" s="242">
        <v>-9.1</v>
      </c>
      <c r="C3937" s="238">
        <v>8.1</v>
      </c>
    </row>
    <row r="3938" spans="1:3" x14ac:dyDescent="0.2">
      <c r="A3938" s="241">
        <v>40944</v>
      </c>
      <c r="B3938" s="242">
        <v>-6.1</v>
      </c>
      <c r="C3938" s="238">
        <v>2</v>
      </c>
    </row>
    <row r="3939" spans="1:3" x14ac:dyDescent="0.2">
      <c r="A3939" s="241">
        <v>40945</v>
      </c>
      <c r="B3939" s="242">
        <v>-6.3</v>
      </c>
      <c r="C3939" s="238">
        <v>8.3000000000000007</v>
      </c>
    </row>
    <row r="3940" spans="1:3" x14ac:dyDescent="0.2">
      <c r="A3940" s="241">
        <v>40946</v>
      </c>
      <c r="B3940" s="242">
        <v>-8</v>
      </c>
      <c r="C3940" s="238">
        <v>8.3000000000000007</v>
      </c>
    </row>
    <row r="3941" spans="1:3" x14ac:dyDescent="0.2">
      <c r="A3941" s="241">
        <v>40947</v>
      </c>
      <c r="B3941" s="242">
        <v>-3.4</v>
      </c>
      <c r="C3941" s="238">
        <v>0.8</v>
      </c>
    </row>
    <row r="3942" spans="1:3" x14ac:dyDescent="0.2">
      <c r="A3942" s="241">
        <v>40948</v>
      </c>
      <c r="B3942" s="242">
        <v>-4.5999999999999996</v>
      </c>
      <c r="C3942" s="238">
        <v>0.3</v>
      </c>
    </row>
    <row r="3943" spans="1:3" x14ac:dyDescent="0.2">
      <c r="A3943" s="241">
        <v>40949</v>
      </c>
      <c r="B3943" s="242">
        <v>-6.5</v>
      </c>
      <c r="C3943" s="238">
        <v>8.3000000000000007</v>
      </c>
    </row>
    <row r="3944" spans="1:3" x14ac:dyDescent="0.2">
      <c r="A3944" s="241">
        <v>40950</v>
      </c>
      <c r="B3944" s="242">
        <v>-7.9</v>
      </c>
      <c r="C3944" s="238">
        <v>8.5</v>
      </c>
    </row>
    <row r="3945" spans="1:3" x14ac:dyDescent="0.2">
      <c r="A3945" s="241">
        <v>40951</v>
      </c>
      <c r="B3945" s="242">
        <v>-1.6</v>
      </c>
      <c r="C3945" s="238">
        <v>0.2</v>
      </c>
    </row>
    <row r="3946" spans="1:3" x14ac:dyDescent="0.2">
      <c r="A3946" s="241">
        <v>40952</v>
      </c>
      <c r="B3946" s="242">
        <v>3.7</v>
      </c>
      <c r="C3946" s="238">
        <v>1.7</v>
      </c>
    </row>
    <row r="3947" spans="1:3" x14ac:dyDescent="0.2">
      <c r="A3947" s="241">
        <v>40953</v>
      </c>
      <c r="B3947" s="242">
        <v>4.5</v>
      </c>
      <c r="C3947" s="238">
        <v>2.2000000000000002</v>
      </c>
    </row>
    <row r="3948" spans="1:3" x14ac:dyDescent="0.2">
      <c r="A3948" s="241">
        <v>40954</v>
      </c>
      <c r="B3948" s="242">
        <v>5</v>
      </c>
      <c r="C3948" s="238">
        <v>1.2</v>
      </c>
    </row>
    <row r="3949" spans="1:3" x14ac:dyDescent="0.2">
      <c r="A3949" s="241">
        <v>40955</v>
      </c>
      <c r="B3949" s="242">
        <v>4.8</v>
      </c>
      <c r="C3949" s="238">
        <v>1.3</v>
      </c>
    </row>
    <row r="3950" spans="1:3" x14ac:dyDescent="0.2">
      <c r="A3950" s="241">
        <v>40956</v>
      </c>
      <c r="B3950" s="242">
        <v>5.3</v>
      </c>
      <c r="C3950" s="238">
        <v>6</v>
      </c>
    </row>
    <row r="3951" spans="1:3" x14ac:dyDescent="0.2">
      <c r="A3951" s="241">
        <v>40957</v>
      </c>
      <c r="B3951" s="242">
        <v>5.6</v>
      </c>
      <c r="C3951" s="238">
        <v>0.8</v>
      </c>
    </row>
    <row r="3952" spans="1:3" x14ac:dyDescent="0.2">
      <c r="A3952" s="241">
        <v>40958</v>
      </c>
      <c r="B3952" s="242">
        <v>3.6</v>
      </c>
      <c r="C3952" s="238">
        <v>7.1</v>
      </c>
    </row>
    <row r="3953" spans="1:3" x14ac:dyDescent="0.2">
      <c r="A3953" s="241">
        <v>40959</v>
      </c>
      <c r="B3953" s="242">
        <v>3.9</v>
      </c>
      <c r="C3953" s="238">
        <v>7.7</v>
      </c>
    </row>
    <row r="3954" spans="1:3" x14ac:dyDescent="0.2">
      <c r="A3954" s="241">
        <v>40960</v>
      </c>
      <c r="B3954" s="242">
        <v>5.4</v>
      </c>
      <c r="C3954" s="238">
        <v>7.8</v>
      </c>
    </row>
    <row r="3955" spans="1:3" x14ac:dyDescent="0.2">
      <c r="A3955" s="241">
        <v>40961</v>
      </c>
      <c r="B3955" s="242">
        <v>5.8</v>
      </c>
      <c r="C3955" s="238">
        <v>2.8</v>
      </c>
    </row>
    <row r="3956" spans="1:3" x14ac:dyDescent="0.2">
      <c r="A3956" s="241">
        <v>40962</v>
      </c>
      <c r="B3956" s="242">
        <v>6.6</v>
      </c>
      <c r="C3956" s="238">
        <v>2.1</v>
      </c>
    </row>
    <row r="3957" spans="1:3" x14ac:dyDescent="0.2">
      <c r="A3957" s="241">
        <v>40963</v>
      </c>
      <c r="B3957" s="242">
        <v>6.3</v>
      </c>
      <c r="C3957" s="238">
        <v>0.6</v>
      </c>
    </row>
    <row r="3958" spans="1:3" x14ac:dyDescent="0.2">
      <c r="A3958" s="241">
        <v>40964</v>
      </c>
      <c r="B3958" s="242">
        <v>5.6</v>
      </c>
      <c r="C3958" s="238">
        <v>7.7</v>
      </c>
    </row>
    <row r="3959" spans="1:3" x14ac:dyDescent="0.2">
      <c r="A3959" s="241">
        <v>40965</v>
      </c>
      <c r="B3959" s="242">
        <v>5.5</v>
      </c>
      <c r="C3959" s="238">
        <v>0.7</v>
      </c>
    </row>
    <row r="3960" spans="1:3" x14ac:dyDescent="0.2">
      <c r="A3960" s="241">
        <v>40966</v>
      </c>
      <c r="B3960" s="242">
        <v>5.6</v>
      </c>
      <c r="C3960" s="238">
        <v>0.4</v>
      </c>
    </row>
    <row r="3961" spans="1:3" x14ac:dyDescent="0.2">
      <c r="A3961" s="241">
        <v>40967</v>
      </c>
      <c r="B3961" s="242">
        <v>6.5</v>
      </c>
      <c r="C3961" s="238">
        <v>0</v>
      </c>
    </row>
    <row r="3962" spans="1:3" x14ac:dyDescent="0.2">
      <c r="A3962" s="241">
        <v>40968</v>
      </c>
      <c r="B3962" s="242">
        <v>6.4</v>
      </c>
      <c r="C3962" s="238">
        <v>0</v>
      </c>
    </row>
    <row r="3963" spans="1:3" x14ac:dyDescent="0.2">
      <c r="A3963" s="241">
        <v>40969</v>
      </c>
      <c r="B3963" s="242">
        <v>6.8</v>
      </c>
      <c r="C3963" s="238">
        <v>0</v>
      </c>
    </row>
    <row r="3964" spans="1:3" x14ac:dyDescent="0.2">
      <c r="A3964" s="241">
        <v>40970</v>
      </c>
      <c r="B3964" s="242">
        <v>5.3</v>
      </c>
      <c r="C3964" s="238">
        <v>3.1</v>
      </c>
    </row>
    <row r="3965" spans="1:3" x14ac:dyDescent="0.2">
      <c r="A3965" s="241">
        <v>40971</v>
      </c>
      <c r="B3965" s="242">
        <v>8.6</v>
      </c>
      <c r="C3965" s="238">
        <v>0.9</v>
      </c>
    </row>
    <row r="3966" spans="1:3" x14ac:dyDescent="0.2">
      <c r="A3966" s="241">
        <v>40972</v>
      </c>
      <c r="B3966" s="242">
        <v>7.9</v>
      </c>
      <c r="C3966" s="238">
        <v>0.2</v>
      </c>
    </row>
    <row r="3967" spans="1:3" x14ac:dyDescent="0.2">
      <c r="A3967" s="241">
        <v>40973</v>
      </c>
      <c r="B3967" s="242">
        <v>6.2</v>
      </c>
      <c r="C3967" s="238">
        <v>0.1</v>
      </c>
    </row>
    <row r="3968" spans="1:3" x14ac:dyDescent="0.2">
      <c r="A3968" s="241">
        <v>40974</v>
      </c>
      <c r="B3968" s="242">
        <v>5.8</v>
      </c>
      <c r="C3968" s="238">
        <v>3.3</v>
      </c>
    </row>
    <row r="3969" spans="1:3" x14ac:dyDescent="0.2">
      <c r="A3969" s="241">
        <v>40975</v>
      </c>
      <c r="B3969" s="242">
        <v>5.0999999999999996</v>
      </c>
      <c r="C3969" s="238">
        <v>0</v>
      </c>
    </row>
    <row r="3970" spans="1:3" x14ac:dyDescent="0.2">
      <c r="A3970" s="241">
        <v>40976</v>
      </c>
      <c r="B3970" s="242">
        <v>6</v>
      </c>
      <c r="C3970" s="238">
        <v>7.9</v>
      </c>
    </row>
    <row r="3971" spans="1:3" x14ac:dyDescent="0.2">
      <c r="A3971" s="241">
        <v>40977</v>
      </c>
      <c r="B3971" s="242">
        <v>6.7</v>
      </c>
      <c r="C3971" s="238">
        <v>3</v>
      </c>
    </row>
    <row r="3972" spans="1:3" x14ac:dyDescent="0.2">
      <c r="A3972" s="241">
        <v>40978</v>
      </c>
      <c r="B3972" s="242">
        <v>7.3</v>
      </c>
      <c r="C3972" s="238">
        <v>3.4</v>
      </c>
    </row>
    <row r="3973" spans="1:3" x14ac:dyDescent="0.2">
      <c r="A3973" s="241">
        <v>40979</v>
      </c>
      <c r="B3973" s="242">
        <v>6.9</v>
      </c>
      <c r="C3973" s="238">
        <v>10.3</v>
      </c>
    </row>
    <row r="3974" spans="1:3" x14ac:dyDescent="0.2">
      <c r="A3974" s="241">
        <v>40980</v>
      </c>
      <c r="B3974" s="242">
        <v>6.4</v>
      </c>
      <c r="C3974" s="238">
        <v>6.5</v>
      </c>
    </row>
    <row r="3975" spans="1:3" x14ac:dyDescent="0.2">
      <c r="A3975" s="241">
        <v>40981</v>
      </c>
      <c r="B3975" s="242">
        <v>6.6</v>
      </c>
      <c r="C3975" s="238">
        <v>0</v>
      </c>
    </row>
    <row r="3976" spans="1:3" x14ac:dyDescent="0.2">
      <c r="A3976" s="241">
        <v>40982</v>
      </c>
      <c r="B3976" s="242">
        <v>5.2</v>
      </c>
      <c r="C3976" s="238">
        <v>0</v>
      </c>
    </row>
    <row r="3977" spans="1:3" x14ac:dyDescent="0.2">
      <c r="A3977" s="241">
        <v>40983</v>
      </c>
      <c r="B3977" s="242">
        <v>9.3000000000000007</v>
      </c>
      <c r="C3977" s="238">
        <v>10.7</v>
      </c>
    </row>
    <row r="3978" spans="1:3" x14ac:dyDescent="0.2">
      <c r="A3978" s="241">
        <v>40984</v>
      </c>
      <c r="B3978" s="242">
        <v>7.3</v>
      </c>
      <c r="C3978" s="238">
        <v>0</v>
      </c>
    </row>
    <row r="3979" spans="1:3" x14ac:dyDescent="0.2">
      <c r="A3979" s="241">
        <v>40985</v>
      </c>
      <c r="B3979" s="242">
        <v>8.6999999999999993</v>
      </c>
      <c r="C3979" s="238">
        <v>2.7</v>
      </c>
    </row>
    <row r="3980" spans="1:3" x14ac:dyDescent="0.2">
      <c r="A3980" s="241">
        <v>40986</v>
      </c>
      <c r="B3980" s="242">
        <v>5.9</v>
      </c>
      <c r="C3980" s="238">
        <v>0</v>
      </c>
    </row>
    <row r="3981" spans="1:3" x14ac:dyDescent="0.2">
      <c r="A3981" s="241">
        <v>40987</v>
      </c>
      <c r="B3981" s="242">
        <v>6.4</v>
      </c>
      <c r="C3981" s="238">
        <v>10.9</v>
      </c>
    </row>
    <row r="3982" spans="1:3" x14ac:dyDescent="0.2">
      <c r="A3982" s="241">
        <v>40988</v>
      </c>
      <c r="B3982" s="242">
        <v>7.4</v>
      </c>
      <c r="C3982" s="238">
        <v>9.9</v>
      </c>
    </row>
    <row r="3983" spans="1:3" x14ac:dyDescent="0.2">
      <c r="A3983" s="241">
        <v>40989</v>
      </c>
      <c r="B3983" s="242">
        <v>8.6999999999999993</v>
      </c>
      <c r="C3983" s="238">
        <v>11.1</v>
      </c>
    </row>
    <row r="3984" spans="1:3" x14ac:dyDescent="0.2">
      <c r="A3984" s="241">
        <v>40990</v>
      </c>
      <c r="B3984" s="242">
        <v>11</v>
      </c>
      <c r="C3984" s="238">
        <v>10.3</v>
      </c>
    </row>
    <row r="3985" spans="1:3" x14ac:dyDescent="0.2">
      <c r="A3985" s="241">
        <v>40991</v>
      </c>
      <c r="B3985" s="242">
        <v>11.2</v>
      </c>
      <c r="C3985" s="238">
        <v>11.1</v>
      </c>
    </row>
    <row r="3986" spans="1:3" x14ac:dyDescent="0.2">
      <c r="A3986" s="241">
        <v>40992</v>
      </c>
      <c r="B3986" s="242">
        <v>9.4</v>
      </c>
      <c r="C3986" s="238">
        <v>10.7</v>
      </c>
    </row>
    <row r="3987" spans="1:3" x14ac:dyDescent="0.2">
      <c r="A3987" s="241">
        <v>40993</v>
      </c>
      <c r="B3987" s="242">
        <v>8.3000000000000007</v>
      </c>
      <c r="C3987" s="238">
        <v>9.1999999999999993</v>
      </c>
    </row>
    <row r="3988" spans="1:3" x14ac:dyDescent="0.2">
      <c r="A3988" s="241">
        <v>40994</v>
      </c>
      <c r="B3988" s="242">
        <v>6.8</v>
      </c>
      <c r="C3988" s="238">
        <v>11.3</v>
      </c>
    </row>
    <row r="3989" spans="1:3" x14ac:dyDescent="0.2">
      <c r="A3989" s="241">
        <v>40995</v>
      </c>
      <c r="B3989" s="242">
        <v>6</v>
      </c>
      <c r="C3989" s="238">
        <v>10.5</v>
      </c>
    </row>
    <row r="3990" spans="1:3" x14ac:dyDescent="0.2">
      <c r="A3990" s="241">
        <v>40996</v>
      </c>
      <c r="B3990" s="242">
        <v>7</v>
      </c>
      <c r="C3990" s="238">
        <v>11.5</v>
      </c>
    </row>
    <row r="3991" spans="1:3" x14ac:dyDescent="0.2">
      <c r="A3991" s="241">
        <v>40997</v>
      </c>
      <c r="B3991" s="242">
        <v>8.3000000000000007</v>
      </c>
      <c r="C3991" s="238">
        <v>4.5</v>
      </c>
    </row>
    <row r="3992" spans="1:3" x14ac:dyDescent="0.2">
      <c r="A3992" s="241">
        <v>40998</v>
      </c>
      <c r="B3992" s="242">
        <v>8.1</v>
      </c>
      <c r="C3992" s="238">
        <v>0.7</v>
      </c>
    </row>
    <row r="3993" spans="1:3" x14ac:dyDescent="0.2">
      <c r="A3993" s="241">
        <v>40999</v>
      </c>
      <c r="B3993" s="242">
        <v>6.1</v>
      </c>
      <c r="C3993" s="238">
        <v>6.7</v>
      </c>
    </row>
    <row r="3994" spans="1:3" x14ac:dyDescent="0.2">
      <c r="A3994" s="241">
        <v>41000</v>
      </c>
      <c r="B3994" s="242">
        <v>6.3</v>
      </c>
      <c r="C3994" s="238">
        <v>9.1</v>
      </c>
    </row>
    <row r="3995" spans="1:3" x14ac:dyDescent="0.2">
      <c r="A3995" s="241">
        <v>41001</v>
      </c>
      <c r="B3995" s="242">
        <v>7.4</v>
      </c>
      <c r="C3995" s="238">
        <v>4.3</v>
      </c>
    </row>
    <row r="3996" spans="1:3" x14ac:dyDescent="0.2">
      <c r="A3996" s="241">
        <v>41002</v>
      </c>
      <c r="B3996" s="242">
        <v>7.6</v>
      </c>
      <c r="C3996" s="238">
        <v>3.2</v>
      </c>
    </row>
    <row r="3997" spans="1:3" x14ac:dyDescent="0.2">
      <c r="A3997" s="241">
        <v>41003</v>
      </c>
      <c r="B3997" s="242">
        <v>6.5</v>
      </c>
      <c r="C3997" s="238">
        <v>0</v>
      </c>
    </row>
    <row r="3998" spans="1:3" x14ac:dyDescent="0.2">
      <c r="A3998" s="241">
        <v>41004</v>
      </c>
      <c r="B3998" s="242">
        <v>5.2</v>
      </c>
      <c r="C3998" s="238">
        <v>5.7</v>
      </c>
    </row>
    <row r="3999" spans="1:3" x14ac:dyDescent="0.2">
      <c r="A3999" s="241">
        <v>41005</v>
      </c>
      <c r="B3999" s="242">
        <v>4.5</v>
      </c>
      <c r="C3999" s="238">
        <v>7.3</v>
      </c>
    </row>
    <row r="4000" spans="1:3" x14ac:dyDescent="0.2">
      <c r="A4000" s="241">
        <v>41006</v>
      </c>
      <c r="B4000" s="242">
        <v>4.9000000000000004</v>
      </c>
      <c r="C4000" s="238">
        <v>3.7</v>
      </c>
    </row>
    <row r="4001" spans="1:3" x14ac:dyDescent="0.2">
      <c r="A4001" s="241">
        <v>41007</v>
      </c>
      <c r="B4001" s="242">
        <v>6.1</v>
      </c>
      <c r="C4001" s="238">
        <v>4.9000000000000004</v>
      </c>
    </row>
    <row r="4002" spans="1:3" x14ac:dyDescent="0.2">
      <c r="A4002" s="241">
        <v>41008</v>
      </c>
      <c r="B4002" s="242">
        <v>8.6</v>
      </c>
      <c r="C4002" s="238">
        <v>0</v>
      </c>
    </row>
    <row r="4003" spans="1:3" x14ac:dyDescent="0.2">
      <c r="A4003" s="241">
        <v>41009</v>
      </c>
      <c r="B4003" s="242">
        <v>9.3000000000000007</v>
      </c>
      <c r="C4003" s="238">
        <v>4</v>
      </c>
    </row>
    <row r="4004" spans="1:3" x14ac:dyDescent="0.2">
      <c r="A4004" s="241">
        <v>41010</v>
      </c>
      <c r="B4004" s="242">
        <v>7.8</v>
      </c>
      <c r="C4004" s="238">
        <v>10.5</v>
      </c>
    </row>
    <row r="4005" spans="1:3" x14ac:dyDescent="0.2">
      <c r="A4005" s="241">
        <v>41011</v>
      </c>
      <c r="B4005" s="242">
        <v>6.2</v>
      </c>
      <c r="C4005" s="238">
        <v>11.5</v>
      </c>
    </row>
    <row r="4006" spans="1:3" x14ac:dyDescent="0.2">
      <c r="A4006" s="241">
        <v>41012</v>
      </c>
      <c r="B4006" s="242">
        <v>5.5</v>
      </c>
      <c r="C4006" s="238">
        <v>11.8</v>
      </c>
    </row>
    <row r="4007" spans="1:3" x14ac:dyDescent="0.2">
      <c r="A4007" s="241">
        <v>41013</v>
      </c>
      <c r="B4007" s="242">
        <v>5.8</v>
      </c>
      <c r="C4007" s="238">
        <v>12.1</v>
      </c>
    </row>
    <row r="4008" spans="1:3" x14ac:dyDescent="0.2">
      <c r="A4008" s="241">
        <v>41014</v>
      </c>
      <c r="B4008" s="242">
        <v>6.8</v>
      </c>
      <c r="C4008" s="238">
        <v>5.6</v>
      </c>
    </row>
    <row r="4009" spans="1:3" x14ac:dyDescent="0.2">
      <c r="A4009" s="241">
        <v>41015</v>
      </c>
      <c r="B4009" s="242">
        <v>5.4</v>
      </c>
      <c r="C4009" s="238">
        <v>9.6999999999999993</v>
      </c>
    </row>
    <row r="4010" spans="1:3" x14ac:dyDescent="0.2">
      <c r="A4010" s="241">
        <v>41016</v>
      </c>
      <c r="B4010" s="242">
        <v>5.6</v>
      </c>
      <c r="C4010" s="238">
        <v>0.4</v>
      </c>
    </row>
    <row r="4011" spans="1:3" x14ac:dyDescent="0.2">
      <c r="A4011" s="241">
        <v>41017</v>
      </c>
      <c r="B4011" s="242">
        <v>8.5</v>
      </c>
      <c r="C4011" s="238">
        <v>4.2</v>
      </c>
    </row>
    <row r="4012" spans="1:3" x14ac:dyDescent="0.2">
      <c r="A4012" s="241">
        <v>41018</v>
      </c>
      <c r="B4012" s="242">
        <v>9</v>
      </c>
      <c r="C4012" s="238">
        <v>2.2999999999999998</v>
      </c>
    </row>
    <row r="4013" spans="1:3" x14ac:dyDescent="0.2">
      <c r="A4013" s="241">
        <v>41019</v>
      </c>
      <c r="B4013" s="242">
        <v>8.5</v>
      </c>
      <c r="C4013" s="238">
        <v>6.4</v>
      </c>
    </row>
    <row r="4014" spans="1:3" x14ac:dyDescent="0.2">
      <c r="A4014" s="241">
        <v>41020</v>
      </c>
      <c r="B4014" s="242">
        <v>7.8</v>
      </c>
      <c r="C4014" s="238">
        <v>6</v>
      </c>
    </row>
    <row r="4015" spans="1:3" x14ac:dyDescent="0.2">
      <c r="A4015" s="241">
        <v>41021</v>
      </c>
      <c r="B4015" s="242">
        <v>9.1999999999999993</v>
      </c>
      <c r="C4015" s="238">
        <v>9.8000000000000007</v>
      </c>
    </row>
    <row r="4016" spans="1:3" x14ac:dyDescent="0.2">
      <c r="A4016" s="241">
        <v>41022</v>
      </c>
      <c r="B4016" s="242">
        <v>9.4</v>
      </c>
      <c r="C4016" s="238">
        <v>4.0999999999999996</v>
      </c>
    </row>
    <row r="4017" spans="1:3" x14ac:dyDescent="0.2">
      <c r="A4017" s="241">
        <v>41023</v>
      </c>
      <c r="B4017" s="242">
        <v>8.9</v>
      </c>
      <c r="C4017" s="238">
        <v>6.8</v>
      </c>
    </row>
    <row r="4018" spans="1:3" x14ac:dyDescent="0.2">
      <c r="A4018" s="241">
        <v>41024</v>
      </c>
      <c r="B4018" s="242">
        <v>10.3</v>
      </c>
      <c r="C4018" s="238">
        <v>5.2</v>
      </c>
    </row>
    <row r="4019" spans="1:3" x14ac:dyDescent="0.2">
      <c r="A4019" s="241">
        <v>41025</v>
      </c>
      <c r="B4019" s="242">
        <v>12</v>
      </c>
      <c r="C4019" s="238">
        <v>7.1</v>
      </c>
    </row>
    <row r="4020" spans="1:3" x14ac:dyDescent="0.2">
      <c r="A4020" s="241">
        <v>41026</v>
      </c>
      <c r="B4020" s="242">
        <v>11.4</v>
      </c>
      <c r="C4020" s="238">
        <v>12.3</v>
      </c>
    </row>
    <row r="4021" spans="1:3" x14ac:dyDescent="0.2">
      <c r="A4021" s="241">
        <v>41027</v>
      </c>
      <c r="B4021" s="242">
        <v>8.6999999999999993</v>
      </c>
      <c r="C4021" s="238">
        <v>0</v>
      </c>
    </row>
    <row r="4022" spans="1:3" x14ac:dyDescent="0.2">
      <c r="A4022" s="241">
        <v>41028</v>
      </c>
      <c r="B4022" s="242">
        <v>11.2</v>
      </c>
      <c r="C4022" s="238">
        <v>2.5</v>
      </c>
    </row>
    <row r="4023" spans="1:3" x14ac:dyDescent="0.2">
      <c r="A4023" s="241">
        <v>41029</v>
      </c>
      <c r="B4023" s="242">
        <v>15.8</v>
      </c>
      <c r="C4023" s="238">
        <v>12.4</v>
      </c>
    </row>
    <row r="4024" spans="1:3" x14ac:dyDescent="0.2">
      <c r="A4024" s="241">
        <v>41030</v>
      </c>
      <c r="B4024" s="242">
        <v>13.1</v>
      </c>
      <c r="C4024" s="238">
        <v>1.7</v>
      </c>
    </row>
    <row r="4025" spans="1:3" x14ac:dyDescent="0.2">
      <c r="A4025" s="241">
        <v>41031</v>
      </c>
      <c r="B4025" s="242">
        <v>13</v>
      </c>
      <c r="C4025" s="238">
        <v>7.4</v>
      </c>
    </row>
    <row r="4026" spans="1:3" x14ac:dyDescent="0.2">
      <c r="A4026" s="241">
        <v>41032</v>
      </c>
      <c r="B4026" s="242">
        <v>10.9</v>
      </c>
      <c r="C4026" s="238">
        <v>0.3</v>
      </c>
    </row>
    <row r="4027" spans="1:3" x14ac:dyDescent="0.2">
      <c r="A4027" s="241">
        <v>41033</v>
      </c>
      <c r="B4027" s="242">
        <v>8.8000000000000007</v>
      </c>
      <c r="C4027" s="238">
        <v>0.2</v>
      </c>
    </row>
    <row r="4028" spans="1:3" x14ac:dyDescent="0.2">
      <c r="A4028" s="241">
        <v>41034</v>
      </c>
      <c r="B4028" s="242">
        <v>8.3000000000000007</v>
      </c>
      <c r="C4028" s="238">
        <v>0.3</v>
      </c>
    </row>
    <row r="4029" spans="1:3" x14ac:dyDescent="0.2">
      <c r="A4029" s="241">
        <v>41035</v>
      </c>
      <c r="B4029" s="242">
        <v>7.9</v>
      </c>
      <c r="C4029" s="238">
        <v>5.6</v>
      </c>
    </row>
    <row r="4030" spans="1:3" x14ac:dyDescent="0.2">
      <c r="A4030" s="241">
        <v>41036</v>
      </c>
      <c r="B4030" s="242">
        <v>10.4</v>
      </c>
      <c r="C4030" s="238">
        <v>3.1</v>
      </c>
    </row>
    <row r="4031" spans="1:3" x14ac:dyDescent="0.2">
      <c r="A4031" s="241">
        <v>41037</v>
      </c>
      <c r="B4031" s="242">
        <v>12.2</v>
      </c>
      <c r="C4031" s="238">
        <v>0.4</v>
      </c>
    </row>
    <row r="4032" spans="1:3" x14ac:dyDescent="0.2">
      <c r="A4032" s="241">
        <v>41038</v>
      </c>
      <c r="B4032" s="242">
        <v>13.9</v>
      </c>
      <c r="C4032" s="238">
        <v>4.7</v>
      </c>
    </row>
    <row r="4033" spans="1:3" x14ac:dyDescent="0.2">
      <c r="A4033" s="241">
        <v>41039</v>
      </c>
      <c r="B4033" s="242">
        <v>15.7</v>
      </c>
      <c r="C4033" s="238">
        <v>0.7</v>
      </c>
    </row>
    <row r="4034" spans="1:3" x14ac:dyDescent="0.2">
      <c r="A4034" s="241">
        <v>41040</v>
      </c>
      <c r="B4034" s="242">
        <v>11.7</v>
      </c>
      <c r="C4034" s="238">
        <v>8.1999999999999993</v>
      </c>
    </row>
    <row r="4035" spans="1:3" x14ac:dyDescent="0.2">
      <c r="A4035" s="241">
        <v>41041</v>
      </c>
      <c r="B4035" s="242">
        <v>9</v>
      </c>
      <c r="C4035" s="238">
        <v>11.9</v>
      </c>
    </row>
    <row r="4036" spans="1:3" x14ac:dyDescent="0.2">
      <c r="A4036" s="241">
        <v>41042</v>
      </c>
      <c r="B4036" s="242">
        <v>10.199999999999999</v>
      </c>
      <c r="C4036" s="238">
        <v>13.7</v>
      </c>
    </row>
    <row r="4037" spans="1:3" x14ac:dyDescent="0.2">
      <c r="A4037" s="241">
        <v>41043</v>
      </c>
      <c r="B4037" s="242">
        <v>10.7</v>
      </c>
      <c r="C4037" s="238">
        <v>3.5</v>
      </c>
    </row>
    <row r="4038" spans="1:3" x14ac:dyDescent="0.2">
      <c r="A4038" s="241">
        <v>41044</v>
      </c>
      <c r="B4038" s="242">
        <v>9.4</v>
      </c>
      <c r="C4038" s="238">
        <v>9.6</v>
      </c>
    </row>
    <row r="4039" spans="1:3" x14ac:dyDescent="0.2">
      <c r="A4039" s="241">
        <v>41045</v>
      </c>
      <c r="B4039" s="242">
        <v>8.6</v>
      </c>
      <c r="C4039" s="238">
        <v>11.2</v>
      </c>
    </row>
    <row r="4040" spans="1:3" x14ac:dyDescent="0.2">
      <c r="A4040" s="241">
        <v>41046</v>
      </c>
      <c r="B4040" s="242">
        <v>11</v>
      </c>
      <c r="C4040" s="238">
        <v>10.8</v>
      </c>
    </row>
    <row r="4041" spans="1:3" x14ac:dyDescent="0.2">
      <c r="A4041" s="241">
        <v>41047</v>
      </c>
      <c r="B4041" s="242">
        <v>13.1</v>
      </c>
      <c r="C4041" s="238">
        <v>3.9</v>
      </c>
    </row>
    <row r="4042" spans="1:3" x14ac:dyDescent="0.2">
      <c r="A4042" s="241">
        <v>41048</v>
      </c>
      <c r="B4042" s="242">
        <v>12.8</v>
      </c>
      <c r="C4042" s="238">
        <v>8.8000000000000007</v>
      </c>
    </row>
    <row r="4043" spans="1:3" x14ac:dyDescent="0.2">
      <c r="A4043" s="241">
        <v>41049</v>
      </c>
      <c r="B4043" s="242">
        <v>13.1</v>
      </c>
      <c r="C4043" s="238">
        <v>5</v>
      </c>
    </row>
    <row r="4044" spans="1:3" x14ac:dyDescent="0.2">
      <c r="A4044" s="241">
        <v>41050</v>
      </c>
      <c r="B4044" s="242">
        <v>14.4</v>
      </c>
      <c r="C4044" s="238">
        <v>9.6999999999999993</v>
      </c>
    </row>
    <row r="4045" spans="1:3" x14ac:dyDescent="0.2">
      <c r="A4045" s="241">
        <v>41051</v>
      </c>
      <c r="B4045" s="242">
        <v>15.4</v>
      </c>
      <c r="C4045" s="238">
        <v>11</v>
      </c>
    </row>
    <row r="4046" spans="1:3" x14ac:dyDescent="0.2">
      <c r="A4046" s="241">
        <v>41052</v>
      </c>
      <c r="B4046" s="242">
        <v>19</v>
      </c>
      <c r="C4046" s="238">
        <v>13.2</v>
      </c>
    </row>
    <row r="4047" spans="1:3" x14ac:dyDescent="0.2">
      <c r="A4047" s="241">
        <v>41053</v>
      </c>
      <c r="B4047" s="242">
        <v>21</v>
      </c>
      <c r="C4047" s="238">
        <v>14.2</v>
      </c>
    </row>
    <row r="4048" spans="1:3" x14ac:dyDescent="0.2">
      <c r="A4048" s="241">
        <v>41054</v>
      </c>
      <c r="B4048" s="242">
        <v>19.8</v>
      </c>
      <c r="C4048" s="238">
        <v>14.8</v>
      </c>
    </row>
    <row r="4049" spans="1:3" x14ac:dyDescent="0.2">
      <c r="A4049" s="241">
        <v>41055</v>
      </c>
      <c r="B4049" s="242">
        <v>19.7</v>
      </c>
      <c r="C4049" s="238">
        <v>15</v>
      </c>
    </row>
    <row r="4050" spans="1:3" x14ac:dyDescent="0.2">
      <c r="A4050" s="241">
        <v>41056</v>
      </c>
      <c r="B4050" s="242">
        <v>18.5</v>
      </c>
      <c r="C4050" s="238">
        <v>14.9</v>
      </c>
    </row>
    <row r="4051" spans="1:3" x14ac:dyDescent="0.2">
      <c r="A4051" s="241">
        <v>41057</v>
      </c>
      <c r="B4051" s="242">
        <v>12.5</v>
      </c>
      <c r="C4051" s="238">
        <v>2.7</v>
      </c>
    </row>
    <row r="4052" spans="1:3" x14ac:dyDescent="0.2">
      <c r="A4052" s="241">
        <v>41058</v>
      </c>
      <c r="B4052" s="242">
        <v>12</v>
      </c>
      <c r="C4052" s="238">
        <v>5</v>
      </c>
    </row>
    <row r="4053" spans="1:3" x14ac:dyDescent="0.2">
      <c r="A4053" s="241">
        <v>41059</v>
      </c>
      <c r="B4053" s="242">
        <v>12.2</v>
      </c>
      <c r="C4053" s="238">
        <v>9.5</v>
      </c>
    </row>
    <row r="4054" spans="1:3" x14ac:dyDescent="0.2">
      <c r="A4054" s="241">
        <v>41060</v>
      </c>
      <c r="B4054" s="242">
        <v>13</v>
      </c>
      <c r="C4054" s="238">
        <v>0.7</v>
      </c>
    </row>
    <row r="4055" spans="1:3" x14ac:dyDescent="0.2">
      <c r="A4055" s="241">
        <v>41061</v>
      </c>
      <c r="B4055" s="242">
        <v>11.9</v>
      </c>
      <c r="C4055" s="238">
        <v>6.3</v>
      </c>
    </row>
    <row r="4056" spans="1:3" x14ac:dyDescent="0.2">
      <c r="A4056" s="241">
        <v>41062</v>
      </c>
      <c r="B4056" s="242">
        <v>11.5</v>
      </c>
      <c r="C4056" s="238">
        <v>13.5</v>
      </c>
    </row>
    <row r="4057" spans="1:3" x14ac:dyDescent="0.2">
      <c r="A4057" s="241">
        <v>41063</v>
      </c>
      <c r="B4057" s="242">
        <v>9.1999999999999993</v>
      </c>
      <c r="C4057" s="238">
        <v>0</v>
      </c>
    </row>
    <row r="4058" spans="1:3" x14ac:dyDescent="0.2">
      <c r="A4058" s="241">
        <v>41064</v>
      </c>
      <c r="B4058" s="242">
        <v>9.4</v>
      </c>
      <c r="C4058" s="238">
        <v>3.8</v>
      </c>
    </row>
    <row r="4059" spans="1:3" x14ac:dyDescent="0.2">
      <c r="A4059" s="241">
        <v>41065</v>
      </c>
      <c r="B4059" s="242">
        <v>12.3</v>
      </c>
      <c r="C4059" s="238">
        <v>10.6</v>
      </c>
    </row>
    <row r="4060" spans="1:3" x14ac:dyDescent="0.2">
      <c r="A4060" s="241">
        <v>41066</v>
      </c>
      <c r="B4060" s="242">
        <v>13.3</v>
      </c>
      <c r="C4060" s="238">
        <v>6.2</v>
      </c>
    </row>
    <row r="4061" spans="1:3" x14ac:dyDescent="0.2">
      <c r="A4061" s="241">
        <v>41067</v>
      </c>
      <c r="B4061" s="242">
        <v>15.9</v>
      </c>
      <c r="C4061" s="238">
        <v>1.2</v>
      </c>
    </row>
    <row r="4062" spans="1:3" x14ac:dyDescent="0.2">
      <c r="A4062" s="241">
        <v>41068</v>
      </c>
      <c r="B4062" s="242">
        <v>15.4</v>
      </c>
      <c r="C4062" s="238">
        <v>11.5</v>
      </c>
    </row>
    <row r="4063" spans="1:3" x14ac:dyDescent="0.2">
      <c r="A4063" s="241">
        <v>41069</v>
      </c>
      <c r="B4063" s="242">
        <v>13.4</v>
      </c>
      <c r="C4063" s="238">
        <v>0.9</v>
      </c>
    </row>
    <row r="4064" spans="1:3" x14ac:dyDescent="0.2">
      <c r="A4064" s="241">
        <v>41070</v>
      </c>
      <c r="B4064" s="242">
        <v>14.3</v>
      </c>
      <c r="C4064" s="238">
        <v>13.4</v>
      </c>
    </row>
    <row r="4065" spans="1:3" x14ac:dyDescent="0.2">
      <c r="A4065" s="241">
        <v>41071</v>
      </c>
      <c r="B4065" s="242">
        <v>14.9</v>
      </c>
      <c r="C4065" s="238">
        <v>4.3</v>
      </c>
    </row>
    <row r="4066" spans="1:3" x14ac:dyDescent="0.2">
      <c r="A4066" s="241">
        <v>41072</v>
      </c>
      <c r="B4066" s="242">
        <v>12.5</v>
      </c>
      <c r="C4066" s="238">
        <v>2.5</v>
      </c>
    </row>
    <row r="4067" spans="1:3" x14ac:dyDescent="0.2">
      <c r="A4067" s="241">
        <v>41073</v>
      </c>
      <c r="B4067" s="242">
        <v>11.9</v>
      </c>
      <c r="C4067" s="238">
        <v>11.4</v>
      </c>
    </row>
    <row r="4068" spans="1:3" x14ac:dyDescent="0.2">
      <c r="A4068" s="241">
        <v>41074</v>
      </c>
      <c r="B4068" s="242">
        <v>11.8</v>
      </c>
      <c r="C4068" s="238">
        <v>13.8</v>
      </c>
    </row>
    <row r="4069" spans="1:3" x14ac:dyDescent="0.2">
      <c r="A4069" s="241">
        <v>41075</v>
      </c>
      <c r="B4069" s="242">
        <v>14.7</v>
      </c>
      <c r="C4069" s="238">
        <v>1.3</v>
      </c>
    </row>
    <row r="4070" spans="1:3" x14ac:dyDescent="0.2">
      <c r="A4070" s="241">
        <v>41076</v>
      </c>
      <c r="B4070" s="242">
        <v>15.6</v>
      </c>
      <c r="C4070" s="238">
        <v>11.7</v>
      </c>
    </row>
    <row r="4071" spans="1:3" x14ac:dyDescent="0.2">
      <c r="A4071" s="241">
        <v>41077</v>
      </c>
      <c r="B4071" s="242">
        <v>15.4</v>
      </c>
      <c r="C4071" s="238">
        <v>11.5</v>
      </c>
    </row>
    <row r="4072" spans="1:3" x14ac:dyDescent="0.2">
      <c r="A4072" s="241">
        <v>41078</v>
      </c>
      <c r="B4072" s="242">
        <v>14</v>
      </c>
      <c r="C4072" s="238">
        <v>3.9</v>
      </c>
    </row>
    <row r="4073" spans="1:3" x14ac:dyDescent="0.2">
      <c r="A4073" s="241">
        <v>41079</v>
      </c>
      <c r="B4073" s="242">
        <v>13.8</v>
      </c>
      <c r="C4073" s="238">
        <v>10.3</v>
      </c>
    </row>
    <row r="4074" spans="1:3" x14ac:dyDescent="0.2">
      <c r="A4074" s="241">
        <v>41080</v>
      </c>
      <c r="B4074" s="242">
        <v>17</v>
      </c>
      <c r="C4074" s="238">
        <v>14.4</v>
      </c>
    </row>
    <row r="4075" spans="1:3" x14ac:dyDescent="0.2">
      <c r="A4075" s="241">
        <v>41081</v>
      </c>
      <c r="B4075" s="242">
        <v>17.5</v>
      </c>
      <c r="C4075" s="238">
        <v>2.2000000000000002</v>
      </c>
    </row>
    <row r="4076" spans="1:3" x14ac:dyDescent="0.2">
      <c r="A4076" s="241">
        <v>41082</v>
      </c>
      <c r="B4076" s="242">
        <v>15.4</v>
      </c>
      <c r="C4076" s="238">
        <v>7.9</v>
      </c>
    </row>
    <row r="4077" spans="1:3" x14ac:dyDescent="0.2">
      <c r="A4077" s="241">
        <v>41083</v>
      </c>
      <c r="B4077" s="242">
        <v>15.4</v>
      </c>
      <c r="C4077" s="238">
        <v>9.1999999999999993</v>
      </c>
    </row>
    <row r="4078" spans="1:3" x14ac:dyDescent="0.2">
      <c r="A4078" s="241">
        <v>41084</v>
      </c>
      <c r="B4078" s="242">
        <v>13.8</v>
      </c>
      <c r="C4078" s="238">
        <v>4.5</v>
      </c>
    </row>
    <row r="4079" spans="1:3" x14ac:dyDescent="0.2">
      <c r="A4079" s="241">
        <v>41085</v>
      </c>
      <c r="B4079" s="242">
        <v>14.1</v>
      </c>
      <c r="C4079" s="238">
        <v>5.0999999999999996</v>
      </c>
    </row>
    <row r="4080" spans="1:3" x14ac:dyDescent="0.2">
      <c r="A4080" s="241">
        <v>41086</v>
      </c>
      <c r="B4080" s="242">
        <v>15.7</v>
      </c>
      <c r="C4080" s="238">
        <v>14.1</v>
      </c>
    </row>
    <row r="4081" spans="1:3" x14ac:dyDescent="0.2">
      <c r="A4081" s="241">
        <v>41087</v>
      </c>
      <c r="B4081" s="242">
        <v>16.8</v>
      </c>
      <c r="C4081" s="238">
        <v>3.1</v>
      </c>
    </row>
    <row r="4082" spans="1:3" x14ac:dyDescent="0.2">
      <c r="A4082" s="241">
        <v>41088</v>
      </c>
      <c r="B4082" s="242">
        <v>21.9</v>
      </c>
      <c r="C4082" s="238">
        <v>7.5</v>
      </c>
    </row>
    <row r="4083" spans="1:3" x14ac:dyDescent="0.2">
      <c r="A4083" s="241">
        <v>41089</v>
      </c>
      <c r="B4083" s="242">
        <v>18.2</v>
      </c>
      <c r="C4083" s="238">
        <v>7.7</v>
      </c>
    </row>
    <row r="4084" spans="1:3" x14ac:dyDescent="0.2">
      <c r="A4084" s="241">
        <v>41090</v>
      </c>
      <c r="B4084" s="242">
        <v>18.2</v>
      </c>
      <c r="C4084" s="238">
        <v>10.6</v>
      </c>
    </row>
    <row r="4085" spans="1:3" x14ac:dyDescent="0.2">
      <c r="A4085" s="241">
        <v>41091</v>
      </c>
      <c r="B4085" s="242">
        <v>15.7</v>
      </c>
      <c r="C4085" s="238">
        <v>11</v>
      </c>
    </row>
    <row r="4086" spans="1:3" x14ac:dyDescent="0.2">
      <c r="A4086" s="241">
        <v>41092</v>
      </c>
      <c r="B4086" s="242">
        <v>17.7</v>
      </c>
      <c r="C4086" s="238">
        <v>12</v>
      </c>
    </row>
    <row r="4087" spans="1:3" x14ac:dyDescent="0.2">
      <c r="A4087" s="241">
        <v>41093</v>
      </c>
      <c r="B4087" s="242">
        <v>18.5</v>
      </c>
      <c r="C4087" s="238">
        <v>2</v>
      </c>
    </row>
    <row r="4088" spans="1:3" x14ac:dyDescent="0.2">
      <c r="A4088" s="241">
        <v>41094</v>
      </c>
      <c r="B4088" s="242">
        <v>21.9</v>
      </c>
      <c r="C4088" s="238">
        <v>5</v>
      </c>
    </row>
    <row r="4089" spans="1:3" x14ac:dyDescent="0.2">
      <c r="A4089" s="241">
        <v>41095</v>
      </c>
      <c r="B4089" s="242">
        <v>20.5</v>
      </c>
      <c r="C4089" s="238">
        <v>4.8</v>
      </c>
    </row>
    <row r="4090" spans="1:3" x14ac:dyDescent="0.2">
      <c r="A4090" s="241">
        <v>41096</v>
      </c>
      <c r="B4090" s="242">
        <v>18.100000000000001</v>
      </c>
      <c r="C4090" s="238">
        <v>5.3</v>
      </c>
    </row>
    <row r="4091" spans="1:3" x14ac:dyDescent="0.2">
      <c r="A4091" s="241">
        <v>41097</v>
      </c>
      <c r="B4091" s="242">
        <v>18.100000000000001</v>
      </c>
      <c r="C4091" s="238">
        <v>7.2</v>
      </c>
    </row>
    <row r="4092" spans="1:3" x14ac:dyDescent="0.2">
      <c r="A4092" s="241">
        <v>41098</v>
      </c>
      <c r="B4092" s="242">
        <v>16.7</v>
      </c>
      <c r="C4092" s="238">
        <v>0.7</v>
      </c>
    </row>
    <row r="4093" spans="1:3" x14ac:dyDescent="0.2">
      <c r="A4093" s="241">
        <v>41099</v>
      </c>
      <c r="B4093" s="242">
        <v>16.7</v>
      </c>
      <c r="C4093" s="238">
        <v>2.9</v>
      </c>
    </row>
    <row r="4094" spans="1:3" x14ac:dyDescent="0.2">
      <c r="A4094" s="241">
        <v>41100</v>
      </c>
      <c r="B4094" s="242">
        <v>16.8</v>
      </c>
      <c r="C4094" s="238">
        <v>8.1999999999999993</v>
      </c>
    </row>
    <row r="4095" spans="1:3" x14ac:dyDescent="0.2">
      <c r="A4095" s="241">
        <v>41101</v>
      </c>
      <c r="B4095" s="242">
        <v>15.4</v>
      </c>
      <c r="C4095" s="238">
        <v>5.2</v>
      </c>
    </row>
    <row r="4096" spans="1:3" x14ac:dyDescent="0.2">
      <c r="A4096" s="241">
        <v>41102</v>
      </c>
      <c r="B4096" s="242">
        <v>14.9</v>
      </c>
      <c r="C4096" s="238">
        <v>8.3000000000000007</v>
      </c>
    </row>
    <row r="4097" spans="1:3" x14ac:dyDescent="0.2">
      <c r="A4097" s="241">
        <v>41103</v>
      </c>
      <c r="B4097" s="242">
        <v>15.5</v>
      </c>
      <c r="C4097" s="238">
        <v>5.3</v>
      </c>
    </row>
    <row r="4098" spans="1:3" x14ac:dyDescent="0.2">
      <c r="A4098" s="241">
        <v>41104</v>
      </c>
      <c r="B4098" s="242">
        <v>15.2</v>
      </c>
      <c r="C4098" s="238">
        <v>3.9</v>
      </c>
    </row>
    <row r="4099" spans="1:3" x14ac:dyDescent="0.2">
      <c r="A4099" s="241">
        <v>41105</v>
      </c>
      <c r="B4099" s="242">
        <v>15.4</v>
      </c>
      <c r="C4099" s="238">
        <v>7.9</v>
      </c>
    </row>
    <row r="4100" spans="1:3" x14ac:dyDescent="0.2">
      <c r="A4100" s="241">
        <v>41106</v>
      </c>
      <c r="B4100" s="242">
        <v>15.8</v>
      </c>
      <c r="C4100" s="238">
        <v>4.5999999999999996</v>
      </c>
    </row>
    <row r="4101" spans="1:3" x14ac:dyDescent="0.2">
      <c r="A4101" s="241">
        <v>41107</v>
      </c>
      <c r="B4101" s="242">
        <v>16.899999999999999</v>
      </c>
      <c r="C4101" s="238">
        <v>1.5</v>
      </c>
    </row>
    <row r="4102" spans="1:3" x14ac:dyDescent="0.2">
      <c r="A4102" s="241">
        <v>41108</v>
      </c>
      <c r="B4102" s="242">
        <v>16.3</v>
      </c>
      <c r="C4102" s="238">
        <v>0.3</v>
      </c>
    </row>
    <row r="4103" spans="1:3" x14ac:dyDescent="0.2">
      <c r="A4103" s="241">
        <v>41109</v>
      </c>
      <c r="B4103" s="242">
        <v>15.2</v>
      </c>
      <c r="C4103" s="238">
        <v>3.7</v>
      </c>
    </row>
    <row r="4104" spans="1:3" x14ac:dyDescent="0.2">
      <c r="A4104" s="241">
        <v>41110</v>
      </c>
      <c r="B4104" s="242">
        <v>14.1</v>
      </c>
      <c r="C4104" s="238">
        <v>9</v>
      </c>
    </row>
    <row r="4105" spans="1:3" x14ac:dyDescent="0.2">
      <c r="A4105" s="241">
        <v>41111</v>
      </c>
      <c r="B4105" s="242">
        <v>13.3</v>
      </c>
      <c r="C4105" s="238">
        <v>6.8</v>
      </c>
    </row>
    <row r="4106" spans="1:3" x14ac:dyDescent="0.2">
      <c r="A4106" s="241">
        <v>41112</v>
      </c>
      <c r="B4106" s="242">
        <v>15</v>
      </c>
      <c r="C4106" s="238">
        <v>13.8</v>
      </c>
    </row>
    <row r="4107" spans="1:3" x14ac:dyDescent="0.2">
      <c r="A4107" s="241">
        <v>41113</v>
      </c>
      <c r="B4107" s="242">
        <v>19</v>
      </c>
      <c r="C4107" s="238">
        <v>14.4</v>
      </c>
    </row>
    <row r="4108" spans="1:3" x14ac:dyDescent="0.2">
      <c r="A4108" s="241">
        <v>41114</v>
      </c>
      <c r="B4108" s="242">
        <v>20.9</v>
      </c>
      <c r="C4108" s="238">
        <v>14.5</v>
      </c>
    </row>
    <row r="4109" spans="1:3" x14ac:dyDescent="0.2">
      <c r="A4109" s="241">
        <v>41115</v>
      </c>
      <c r="B4109" s="242">
        <v>19.399999999999999</v>
      </c>
      <c r="C4109" s="238">
        <v>14.4</v>
      </c>
    </row>
    <row r="4110" spans="1:3" x14ac:dyDescent="0.2">
      <c r="A4110" s="241">
        <v>41116</v>
      </c>
      <c r="B4110" s="242">
        <v>19.399999999999999</v>
      </c>
      <c r="C4110" s="238">
        <v>12.4</v>
      </c>
    </row>
    <row r="4111" spans="1:3" x14ac:dyDescent="0.2">
      <c r="A4111" s="241">
        <v>41117</v>
      </c>
      <c r="B4111" s="242">
        <v>18.8</v>
      </c>
      <c r="C4111" s="238">
        <v>6</v>
      </c>
    </row>
    <row r="4112" spans="1:3" x14ac:dyDescent="0.2">
      <c r="A4112" s="241">
        <v>41118</v>
      </c>
      <c r="B4112" s="242">
        <v>16.399999999999999</v>
      </c>
      <c r="C4112" s="238">
        <v>2</v>
      </c>
    </row>
    <row r="4113" spans="1:3" x14ac:dyDescent="0.2">
      <c r="A4113" s="241">
        <v>41119</v>
      </c>
      <c r="B4113" s="242">
        <v>16.2</v>
      </c>
      <c r="C4113" s="238">
        <v>12.3</v>
      </c>
    </row>
    <row r="4114" spans="1:3" x14ac:dyDescent="0.2">
      <c r="A4114" s="241">
        <v>41120</v>
      </c>
      <c r="B4114" s="242">
        <v>16.100000000000001</v>
      </c>
      <c r="C4114" s="238">
        <v>11.5</v>
      </c>
    </row>
    <row r="4115" spans="1:3" x14ac:dyDescent="0.2">
      <c r="A4115" s="241">
        <v>41121</v>
      </c>
      <c r="B4115" s="242">
        <v>15.8</v>
      </c>
      <c r="C4115" s="238">
        <v>0.5</v>
      </c>
    </row>
    <row r="4116" spans="1:3" x14ac:dyDescent="0.2">
      <c r="A4116" s="241">
        <v>41122</v>
      </c>
      <c r="B4116" s="242">
        <v>20.2</v>
      </c>
      <c r="C4116" s="238">
        <v>7.3</v>
      </c>
    </row>
    <row r="4117" spans="1:3" x14ac:dyDescent="0.2">
      <c r="A4117" s="241">
        <v>41123</v>
      </c>
      <c r="B4117" s="242">
        <v>18.3</v>
      </c>
      <c r="C4117" s="238">
        <v>7.2</v>
      </c>
    </row>
    <row r="4118" spans="1:3" x14ac:dyDescent="0.2">
      <c r="A4118" s="241">
        <v>41124</v>
      </c>
      <c r="B4118" s="242">
        <v>17.600000000000001</v>
      </c>
      <c r="C4118" s="238">
        <v>9.5</v>
      </c>
    </row>
    <row r="4119" spans="1:3" x14ac:dyDescent="0.2">
      <c r="A4119" s="241">
        <v>41125</v>
      </c>
      <c r="B4119" s="242">
        <v>17.600000000000001</v>
      </c>
      <c r="C4119" s="238">
        <v>6.9</v>
      </c>
    </row>
    <row r="4120" spans="1:3" x14ac:dyDescent="0.2">
      <c r="A4120" s="241">
        <v>41126</v>
      </c>
      <c r="B4120" s="242">
        <v>17.5</v>
      </c>
      <c r="C4120" s="238">
        <v>2.9</v>
      </c>
    </row>
    <row r="4121" spans="1:3" x14ac:dyDescent="0.2">
      <c r="A4121" s="241">
        <v>41127</v>
      </c>
      <c r="B4121" s="242">
        <v>17.5</v>
      </c>
      <c r="C4121" s="238">
        <v>6.4</v>
      </c>
    </row>
    <row r="4122" spans="1:3" x14ac:dyDescent="0.2">
      <c r="A4122" s="241">
        <v>41128</v>
      </c>
      <c r="B4122" s="242">
        <v>17.399999999999999</v>
      </c>
      <c r="C4122" s="238">
        <v>5.3</v>
      </c>
    </row>
    <row r="4123" spans="1:3" x14ac:dyDescent="0.2">
      <c r="A4123" s="241">
        <v>41129</v>
      </c>
      <c r="B4123" s="242">
        <v>17.2</v>
      </c>
      <c r="C4123" s="238">
        <v>8.5</v>
      </c>
    </row>
    <row r="4124" spans="1:3" x14ac:dyDescent="0.2">
      <c r="A4124" s="241">
        <v>41130</v>
      </c>
      <c r="B4124" s="242">
        <v>15.5</v>
      </c>
      <c r="C4124" s="238">
        <v>9</v>
      </c>
    </row>
    <row r="4125" spans="1:3" x14ac:dyDescent="0.2">
      <c r="A4125" s="241">
        <v>41131</v>
      </c>
      <c r="B4125" s="242">
        <v>14.8</v>
      </c>
      <c r="C4125" s="238">
        <v>13.5</v>
      </c>
    </row>
    <row r="4126" spans="1:3" x14ac:dyDescent="0.2">
      <c r="A4126" s="241">
        <v>41132</v>
      </c>
      <c r="B4126" s="242">
        <v>15.7</v>
      </c>
      <c r="C4126" s="238">
        <v>7.1</v>
      </c>
    </row>
    <row r="4127" spans="1:3" x14ac:dyDescent="0.2">
      <c r="A4127" s="241">
        <v>41133</v>
      </c>
      <c r="B4127" s="242">
        <v>19.100000000000001</v>
      </c>
      <c r="C4127" s="238">
        <v>12.9</v>
      </c>
    </row>
    <row r="4128" spans="1:3" x14ac:dyDescent="0.2">
      <c r="A4128" s="241">
        <v>41134</v>
      </c>
      <c r="B4128" s="242">
        <v>18.2</v>
      </c>
      <c r="C4128" s="238">
        <v>6.5</v>
      </c>
    </row>
    <row r="4129" spans="1:3" x14ac:dyDescent="0.2">
      <c r="A4129" s="241">
        <v>41135</v>
      </c>
      <c r="B4129" s="242">
        <v>20.3</v>
      </c>
      <c r="C4129" s="238">
        <v>4.5999999999999996</v>
      </c>
    </row>
    <row r="4130" spans="1:3" x14ac:dyDescent="0.2">
      <c r="A4130" s="241">
        <v>41136</v>
      </c>
      <c r="B4130" s="242">
        <v>21.8</v>
      </c>
      <c r="C4130" s="238">
        <v>7.9</v>
      </c>
    </row>
    <row r="4131" spans="1:3" x14ac:dyDescent="0.2">
      <c r="A4131" s="241">
        <v>41137</v>
      </c>
      <c r="B4131" s="242">
        <v>18.8</v>
      </c>
      <c r="C4131" s="238">
        <v>11.4</v>
      </c>
    </row>
    <row r="4132" spans="1:3" x14ac:dyDescent="0.2">
      <c r="A4132" s="241">
        <v>41138</v>
      </c>
      <c r="B4132" s="242">
        <v>22</v>
      </c>
      <c r="C4132" s="238">
        <v>6.3</v>
      </c>
    </row>
    <row r="4133" spans="1:3" x14ac:dyDescent="0.2">
      <c r="A4133" s="241">
        <v>41139</v>
      </c>
      <c r="B4133" s="242">
        <v>24.3</v>
      </c>
      <c r="C4133" s="238">
        <v>12.3</v>
      </c>
    </row>
    <row r="4134" spans="1:3" x14ac:dyDescent="0.2">
      <c r="A4134" s="241">
        <v>41140</v>
      </c>
      <c r="B4134" s="242">
        <v>23.7</v>
      </c>
      <c r="C4134" s="238">
        <v>9.4</v>
      </c>
    </row>
    <row r="4135" spans="1:3" x14ac:dyDescent="0.2">
      <c r="A4135" s="241">
        <v>41141</v>
      </c>
      <c r="B4135" s="242">
        <v>18.899999999999999</v>
      </c>
      <c r="C4135" s="238">
        <v>4.8</v>
      </c>
    </row>
    <row r="4136" spans="1:3" x14ac:dyDescent="0.2">
      <c r="A4136" s="241">
        <v>41142</v>
      </c>
      <c r="B4136" s="242">
        <v>19.7</v>
      </c>
      <c r="C4136" s="238">
        <v>4.5999999999999996</v>
      </c>
    </row>
    <row r="4137" spans="1:3" x14ac:dyDescent="0.2">
      <c r="A4137" s="241">
        <v>41143</v>
      </c>
      <c r="B4137" s="242">
        <v>18.600000000000001</v>
      </c>
      <c r="C4137" s="238">
        <v>7.3</v>
      </c>
    </row>
    <row r="4138" spans="1:3" x14ac:dyDescent="0.2">
      <c r="A4138" s="241">
        <v>41144</v>
      </c>
      <c r="B4138" s="242">
        <v>17.600000000000001</v>
      </c>
      <c r="C4138" s="238">
        <v>9.1999999999999993</v>
      </c>
    </row>
    <row r="4139" spans="1:3" x14ac:dyDescent="0.2">
      <c r="A4139" s="241">
        <v>41145</v>
      </c>
      <c r="B4139" s="242">
        <v>18.3</v>
      </c>
      <c r="C4139" s="238">
        <v>5.0999999999999996</v>
      </c>
    </row>
    <row r="4140" spans="1:3" x14ac:dyDescent="0.2">
      <c r="A4140" s="241">
        <v>41146</v>
      </c>
      <c r="B4140" s="242">
        <v>17.600000000000001</v>
      </c>
      <c r="C4140" s="238">
        <v>4.4000000000000004</v>
      </c>
    </row>
    <row r="4141" spans="1:3" x14ac:dyDescent="0.2">
      <c r="A4141" s="241">
        <v>41147</v>
      </c>
      <c r="B4141" s="242">
        <v>16.7</v>
      </c>
      <c r="C4141" s="238">
        <v>4.8</v>
      </c>
    </row>
    <row r="4142" spans="1:3" x14ac:dyDescent="0.2">
      <c r="A4142" s="241">
        <v>41148</v>
      </c>
      <c r="B4142" s="242">
        <v>18.2</v>
      </c>
      <c r="C4142" s="238">
        <v>7.3</v>
      </c>
    </row>
    <row r="4143" spans="1:3" x14ac:dyDescent="0.2">
      <c r="A4143" s="241">
        <v>41149</v>
      </c>
      <c r="B4143" s="242">
        <v>18.399999999999999</v>
      </c>
      <c r="C4143" s="238">
        <v>6.9</v>
      </c>
    </row>
    <row r="4144" spans="1:3" x14ac:dyDescent="0.2">
      <c r="A4144" s="241">
        <v>41150</v>
      </c>
      <c r="B4144" s="242">
        <v>18.5</v>
      </c>
      <c r="C4144" s="238">
        <v>8.6</v>
      </c>
    </row>
    <row r="4145" spans="1:3" x14ac:dyDescent="0.2">
      <c r="A4145" s="241">
        <v>41151</v>
      </c>
      <c r="B4145" s="242">
        <v>16.7</v>
      </c>
      <c r="C4145" s="238">
        <v>6.7</v>
      </c>
    </row>
    <row r="4146" spans="1:3" x14ac:dyDescent="0.2">
      <c r="A4146" s="241">
        <v>41152</v>
      </c>
      <c r="B4146" s="242">
        <v>14.3</v>
      </c>
      <c r="C4146" s="238">
        <v>3.5</v>
      </c>
    </row>
    <row r="4147" spans="1:3" x14ac:dyDescent="0.2">
      <c r="A4147" s="241">
        <v>41153</v>
      </c>
      <c r="B4147" s="242">
        <v>15.9</v>
      </c>
      <c r="C4147" s="238">
        <v>10.7</v>
      </c>
    </row>
    <row r="4148" spans="1:3" x14ac:dyDescent="0.2">
      <c r="A4148" s="241">
        <v>41154</v>
      </c>
      <c r="B4148" s="242">
        <v>17</v>
      </c>
      <c r="C4148" s="238">
        <v>2.2999999999999998</v>
      </c>
    </row>
    <row r="4149" spans="1:3" x14ac:dyDescent="0.2">
      <c r="A4149" s="241">
        <v>41155</v>
      </c>
      <c r="B4149" s="242">
        <v>16.2</v>
      </c>
      <c r="C4149" s="238">
        <v>9.1999999999999993</v>
      </c>
    </row>
    <row r="4150" spans="1:3" x14ac:dyDescent="0.2">
      <c r="A4150" s="241">
        <v>41156</v>
      </c>
      <c r="B4150" s="242">
        <v>17.899999999999999</v>
      </c>
      <c r="C4150" s="238">
        <v>11.3</v>
      </c>
    </row>
    <row r="4151" spans="1:3" x14ac:dyDescent="0.2">
      <c r="A4151" s="241">
        <v>41157</v>
      </c>
      <c r="B4151" s="242">
        <v>15.4</v>
      </c>
      <c r="C4151" s="238">
        <v>7</v>
      </c>
    </row>
    <row r="4152" spans="1:3" x14ac:dyDescent="0.2">
      <c r="A4152" s="241">
        <v>41158</v>
      </c>
      <c r="B4152" s="242">
        <v>15.9</v>
      </c>
      <c r="C4152" s="238">
        <v>8.8000000000000007</v>
      </c>
    </row>
    <row r="4153" spans="1:3" x14ac:dyDescent="0.2">
      <c r="A4153" s="241">
        <v>41159</v>
      </c>
      <c r="B4153" s="242">
        <v>18.100000000000001</v>
      </c>
      <c r="C4153" s="238">
        <v>7.2</v>
      </c>
    </row>
    <row r="4154" spans="1:3" x14ac:dyDescent="0.2">
      <c r="A4154" s="241">
        <v>41160</v>
      </c>
      <c r="B4154" s="242">
        <v>17.8</v>
      </c>
      <c r="C4154" s="238">
        <v>11.4</v>
      </c>
    </row>
    <row r="4155" spans="1:3" x14ac:dyDescent="0.2">
      <c r="A4155" s="241">
        <v>41161</v>
      </c>
      <c r="B4155" s="242">
        <v>20.5</v>
      </c>
      <c r="C4155" s="238">
        <v>11.5</v>
      </c>
    </row>
    <row r="4156" spans="1:3" x14ac:dyDescent="0.2">
      <c r="A4156" s="241">
        <v>41162</v>
      </c>
      <c r="B4156" s="242">
        <v>19.3</v>
      </c>
      <c r="C4156" s="238">
        <v>5</v>
      </c>
    </row>
    <row r="4157" spans="1:3" x14ac:dyDescent="0.2">
      <c r="A4157" s="241">
        <v>41163</v>
      </c>
      <c r="B4157" s="242">
        <v>16.7</v>
      </c>
      <c r="C4157" s="238">
        <v>5.4</v>
      </c>
    </row>
    <row r="4158" spans="1:3" x14ac:dyDescent="0.2">
      <c r="A4158" s="241">
        <v>41164</v>
      </c>
      <c r="B4158" s="242">
        <v>13.9</v>
      </c>
      <c r="C4158" s="238">
        <v>5</v>
      </c>
    </row>
    <row r="4159" spans="1:3" x14ac:dyDescent="0.2">
      <c r="A4159" s="241">
        <v>41165</v>
      </c>
      <c r="B4159" s="242">
        <v>14.1</v>
      </c>
      <c r="C4159" s="238">
        <v>5</v>
      </c>
    </row>
    <row r="4160" spans="1:3" x14ac:dyDescent="0.2">
      <c r="A4160" s="241">
        <v>41166</v>
      </c>
      <c r="B4160" s="242">
        <v>16.399999999999999</v>
      </c>
      <c r="C4160" s="238">
        <v>2.9</v>
      </c>
    </row>
    <row r="4161" spans="1:3" x14ac:dyDescent="0.2">
      <c r="A4161" s="241">
        <v>41167</v>
      </c>
      <c r="B4161" s="242">
        <v>15.8</v>
      </c>
      <c r="C4161" s="238">
        <v>7.1</v>
      </c>
    </row>
    <row r="4162" spans="1:3" x14ac:dyDescent="0.2">
      <c r="A4162" s="241">
        <v>41168</v>
      </c>
      <c r="B4162" s="242">
        <v>16.399999999999999</v>
      </c>
      <c r="C4162" s="238">
        <v>2</v>
      </c>
    </row>
    <row r="4163" spans="1:3" x14ac:dyDescent="0.2">
      <c r="A4163" s="241">
        <v>41169</v>
      </c>
      <c r="B4163" s="242">
        <v>17.3</v>
      </c>
      <c r="C4163" s="238">
        <v>6.5</v>
      </c>
    </row>
    <row r="4164" spans="1:3" x14ac:dyDescent="0.2">
      <c r="A4164" s="241">
        <v>41170</v>
      </c>
      <c r="B4164" s="242">
        <v>14.7</v>
      </c>
      <c r="C4164" s="238">
        <v>5.2</v>
      </c>
    </row>
    <row r="4165" spans="1:3" x14ac:dyDescent="0.2">
      <c r="A4165" s="241">
        <v>41171</v>
      </c>
      <c r="B4165" s="242">
        <v>12.6</v>
      </c>
      <c r="C4165" s="238">
        <v>8</v>
      </c>
    </row>
    <row r="4166" spans="1:3" x14ac:dyDescent="0.2">
      <c r="A4166" s="241">
        <v>41172</v>
      </c>
      <c r="B4166" s="242">
        <v>14</v>
      </c>
      <c r="C4166" s="238">
        <v>1.8</v>
      </c>
    </row>
    <row r="4167" spans="1:3" x14ac:dyDescent="0.2">
      <c r="A4167" s="241">
        <v>41173</v>
      </c>
      <c r="B4167" s="242">
        <v>14</v>
      </c>
      <c r="C4167" s="238">
        <v>0</v>
      </c>
    </row>
    <row r="4168" spans="1:3" x14ac:dyDescent="0.2">
      <c r="A4168" s="241">
        <v>41174</v>
      </c>
      <c r="B4168" s="242">
        <v>10.9</v>
      </c>
      <c r="C4168" s="238">
        <v>9.1999999999999993</v>
      </c>
    </row>
    <row r="4169" spans="1:3" x14ac:dyDescent="0.2">
      <c r="A4169" s="241">
        <v>41175</v>
      </c>
      <c r="B4169" s="242">
        <v>9.4</v>
      </c>
      <c r="C4169" s="238">
        <v>2.2000000000000002</v>
      </c>
    </row>
    <row r="4170" spans="1:3" x14ac:dyDescent="0.2">
      <c r="A4170" s="241">
        <v>41176</v>
      </c>
      <c r="B4170" s="242">
        <v>14</v>
      </c>
      <c r="C4170" s="238">
        <v>0.8</v>
      </c>
    </row>
    <row r="4171" spans="1:3" x14ac:dyDescent="0.2">
      <c r="A4171" s="241">
        <v>41177</v>
      </c>
      <c r="B4171" s="242">
        <v>13.6</v>
      </c>
      <c r="C4171" s="238">
        <v>4.8</v>
      </c>
    </row>
    <row r="4172" spans="1:3" x14ac:dyDescent="0.2">
      <c r="A4172" s="241">
        <v>41178</v>
      </c>
      <c r="B4172" s="242">
        <v>14</v>
      </c>
      <c r="C4172" s="238">
        <v>7.8</v>
      </c>
    </row>
    <row r="4173" spans="1:3" x14ac:dyDescent="0.2">
      <c r="A4173" s="241">
        <v>41179</v>
      </c>
      <c r="B4173" s="242">
        <v>13.3</v>
      </c>
      <c r="C4173" s="238">
        <v>2.1</v>
      </c>
    </row>
    <row r="4174" spans="1:3" x14ac:dyDescent="0.2">
      <c r="A4174" s="241">
        <v>41180</v>
      </c>
      <c r="B4174" s="242">
        <v>14.7</v>
      </c>
      <c r="C4174" s="238">
        <v>5.9</v>
      </c>
    </row>
    <row r="4175" spans="1:3" x14ac:dyDescent="0.2">
      <c r="A4175" s="241">
        <v>41181</v>
      </c>
      <c r="B4175" s="242">
        <v>14.1</v>
      </c>
      <c r="C4175" s="238">
        <v>8.8000000000000007</v>
      </c>
    </row>
    <row r="4176" spans="1:3" x14ac:dyDescent="0.2">
      <c r="A4176" s="241">
        <v>41182</v>
      </c>
      <c r="B4176" s="242">
        <v>14.5</v>
      </c>
      <c r="C4176" s="238">
        <v>4.8</v>
      </c>
    </row>
    <row r="4177" spans="1:3" x14ac:dyDescent="0.2">
      <c r="A4177" s="241">
        <v>41183</v>
      </c>
      <c r="B4177" s="242">
        <v>14.4</v>
      </c>
      <c r="C4177" s="238">
        <v>0</v>
      </c>
    </row>
    <row r="4178" spans="1:3" x14ac:dyDescent="0.2">
      <c r="A4178" s="241">
        <v>41184</v>
      </c>
      <c r="B4178" s="242">
        <v>14.9</v>
      </c>
      <c r="C4178" s="238">
        <v>4.3</v>
      </c>
    </row>
    <row r="4179" spans="1:3" x14ac:dyDescent="0.2">
      <c r="A4179" s="241">
        <v>41185</v>
      </c>
      <c r="B4179" s="242">
        <v>13.5</v>
      </c>
      <c r="C4179" s="238">
        <v>1.6</v>
      </c>
    </row>
    <row r="4180" spans="1:3" x14ac:dyDescent="0.2">
      <c r="A4180" s="241">
        <v>41186</v>
      </c>
      <c r="B4180" s="242">
        <v>12.9</v>
      </c>
      <c r="C4180" s="238">
        <v>6.7</v>
      </c>
    </row>
    <row r="4181" spans="1:3" x14ac:dyDescent="0.2">
      <c r="A4181" s="241">
        <v>41187</v>
      </c>
      <c r="B4181" s="242">
        <v>12.9</v>
      </c>
      <c r="C4181" s="238">
        <v>2.7</v>
      </c>
    </row>
    <row r="4182" spans="1:3" x14ac:dyDescent="0.2">
      <c r="A4182" s="241">
        <v>41188</v>
      </c>
      <c r="B4182" s="242">
        <v>11.6</v>
      </c>
      <c r="C4182" s="238">
        <v>5.8</v>
      </c>
    </row>
    <row r="4183" spans="1:3" x14ac:dyDescent="0.2">
      <c r="A4183" s="241">
        <v>41189</v>
      </c>
      <c r="B4183" s="242">
        <v>11.5</v>
      </c>
      <c r="C4183" s="238">
        <v>8.6</v>
      </c>
    </row>
    <row r="4184" spans="1:3" x14ac:dyDescent="0.2">
      <c r="A4184" s="241">
        <v>41190</v>
      </c>
      <c r="B4184" s="242">
        <v>9.4</v>
      </c>
      <c r="C4184" s="238">
        <v>3.8</v>
      </c>
    </row>
    <row r="4185" spans="1:3" x14ac:dyDescent="0.2">
      <c r="A4185" s="241">
        <v>41191</v>
      </c>
      <c r="B4185" s="242">
        <v>9.5</v>
      </c>
      <c r="C4185" s="238">
        <v>4</v>
      </c>
    </row>
    <row r="4186" spans="1:3" x14ac:dyDescent="0.2">
      <c r="A4186" s="241">
        <v>41192</v>
      </c>
      <c r="B4186" s="242">
        <v>9.4</v>
      </c>
      <c r="C4186" s="238">
        <v>2.9</v>
      </c>
    </row>
    <row r="4187" spans="1:3" x14ac:dyDescent="0.2">
      <c r="A4187" s="241">
        <v>41193</v>
      </c>
      <c r="B4187" s="242">
        <v>9.6999999999999993</v>
      </c>
      <c r="C4187" s="238">
        <v>9.5</v>
      </c>
    </row>
    <row r="4188" spans="1:3" x14ac:dyDescent="0.2">
      <c r="A4188" s="241">
        <v>41194</v>
      </c>
      <c r="B4188" s="242">
        <v>12.3</v>
      </c>
      <c r="C4188" s="238">
        <v>0.3</v>
      </c>
    </row>
    <row r="4189" spans="1:3" x14ac:dyDescent="0.2">
      <c r="A4189" s="241">
        <v>41195</v>
      </c>
      <c r="B4189" s="242">
        <v>9.9</v>
      </c>
      <c r="C4189" s="238">
        <v>0.4</v>
      </c>
    </row>
    <row r="4190" spans="1:3" x14ac:dyDescent="0.2">
      <c r="A4190" s="241">
        <v>41196</v>
      </c>
      <c r="B4190" s="242">
        <v>10.3</v>
      </c>
      <c r="C4190" s="238">
        <v>2.8</v>
      </c>
    </row>
    <row r="4191" spans="1:3" x14ac:dyDescent="0.2">
      <c r="A4191" s="241">
        <v>41197</v>
      </c>
      <c r="B4191" s="242">
        <v>11.4</v>
      </c>
      <c r="C4191" s="238">
        <v>5.8</v>
      </c>
    </row>
    <row r="4192" spans="1:3" x14ac:dyDescent="0.2">
      <c r="A4192" s="241">
        <v>41198</v>
      </c>
      <c r="B4192" s="242">
        <v>12.2</v>
      </c>
      <c r="C4192" s="238">
        <v>5.5</v>
      </c>
    </row>
    <row r="4193" spans="1:3" x14ac:dyDescent="0.2">
      <c r="A4193" s="241">
        <v>41199</v>
      </c>
      <c r="B4193" s="242">
        <v>12.3</v>
      </c>
      <c r="C4193" s="238">
        <v>0.6</v>
      </c>
    </row>
    <row r="4194" spans="1:3" x14ac:dyDescent="0.2">
      <c r="A4194" s="241">
        <v>41200</v>
      </c>
      <c r="B4194" s="242">
        <v>14.1</v>
      </c>
      <c r="C4194" s="238">
        <v>0</v>
      </c>
    </row>
    <row r="4195" spans="1:3" x14ac:dyDescent="0.2">
      <c r="A4195" s="241">
        <v>41201</v>
      </c>
      <c r="B4195" s="242">
        <v>16</v>
      </c>
      <c r="C4195" s="238">
        <v>3.4</v>
      </c>
    </row>
    <row r="4196" spans="1:3" x14ac:dyDescent="0.2">
      <c r="A4196" s="241">
        <v>41202</v>
      </c>
      <c r="B4196" s="242">
        <v>14.2</v>
      </c>
      <c r="C4196" s="238">
        <v>0.5</v>
      </c>
    </row>
    <row r="4197" spans="1:3" x14ac:dyDescent="0.2">
      <c r="A4197" s="241">
        <v>41203</v>
      </c>
      <c r="B4197" s="242">
        <v>12.1</v>
      </c>
      <c r="C4197" s="238">
        <v>0.1</v>
      </c>
    </row>
    <row r="4198" spans="1:3" x14ac:dyDescent="0.2">
      <c r="A4198" s="241">
        <v>41204</v>
      </c>
      <c r="B4198" s="242">
        <v>14.7</v>
      </c>
      <c r="C4198" s="238">
        <v>4.5999999999999996</v>
      </c>
    </row>
    <row r="4199" spans="1:3" x14ac:dyDescent="0.2">
      <c r="A4199" s="241">
        <v>41205</v>
      </c>
      <c r="B4199" s="242">
        <v>13.5</v>
      </c>
      <c r="C4199" s="238">
        <v>2.1</v>
      </c>
    </row>
    <row r="4200" spans="1:3" x14ac:dyDescent="0.2">
      <c r="A4200" s="241">
        <v>41206</v>
      </c>
      <c r="B4200" s="242">
        <v>12</v>
      </c>
      <c r="C4200" s="238">
        <v>0.2</v>
      </c>
    </row>
    <row r="4201" spans="1:3" x14ac:dyDescent="0.2">
      <c r="A4201" s="241">
        <v>41207</v>
      </c>
      <c r="B4201" s="242">
        <v>10.3</v>
      </c>
      <c r="C4201" s="238">
        <v>1</v>
      </c>
    </row>
    <row r="4202" spans="1:3" x14ac:dyDescent="0.2">
      <c r="A4202" s="241">
        <v>41208</v>
      </c>
      <c r="B4202" s="242">
        <v>5</v>
      </c>
      <c r="C4202" s="238">
        <v>6.2</v>
      </c>
    </row>
    <row r="4203" spans="1:3" x14ac:dyDescent="0.2">
      <c r="A4203" s="241">
        <v>41209</v>
      </c>
      <c r="B4203" s="242">
        <v>4.0999999999999996</v>
      </c>
      <c r="C4203" s="238">
        <v>7.6</v>
      </c>
    </row>
    <row r="4204" spans="1:3" x14ac:dyDescent="0.2">
      <c r="A4204" s="241">
        <v>41210</v>
      </c>
      <c r="B4204" s="242">
        <v>6.8</v>
      </c>
      <c r="C4204" s="238">
        <v>4.3</v>
      </c>
    </row>
    <row r="4205" spans="1:3" x14ac:dyDescent="0.2">
      <c r="A4205" s="241">
        <v>41211</v>
      </c>
      <c r="B4205" s="242">
        <v>9.3000000000000007</v>
      </c>
      <c r="C4205" s="238">
        <v>0.5</v>
      </c>
    </row>
    <row r="4206" spans="1:3" x14ac:dyDescent="0.2">
      <c r="A4206" s="241">
        <v>41212</v>
      </c>
      <c r="B4206" s="242">
        <v>7.5</v>
      </c>
      <c r="C4206" s="238">
        <v>1.1000000000000001</v>
      </c>
    </row>
    <row r="4207" spans="1:3" x14ac:dyDescent="0.2">
      <c r="A4207" s="241">
        <v>41213</v>
      </c>
      <c r="B4207" s="242">
        <v>8.9</v>
      </c>
      <c r="C4207" s="238">
        <v>4.3</v>
      </c>
    </row>
    <row r="4208" spans="1:3" x14ac:dyDescent="0.2">
      <c r="A4208" s="241">
        <v>41214</v>
      </c>
      <c r="B4208" s="242">
        <v>8.8000000000000007</v>
      </c>
      <c r="C4208" s="238">
        <v>1.3</v>
      </c>
    </row>
    <row r="4209" spans="1:3" x14ac:dyDescent="0.2">
      <c r="A4209" s="241">
        <v>41215</v>
      </c>
      <c r="B4209" s="242">
        <v>8.1999999999999993</v>
      </c>
      <c r="C4209" s="238">
        <v>1.6</v>
      </c>
    </row>
    <row r="4210" spans="1:3" x14ac:dyDescent="0.2">
      <c r="A4210" s="241">
        <v>41216</v>
      </c>
      <c r="B4210" s="242">
        <v>8.1999999999999993</v>
      </c>
      <c r="C4210" s="238">
        <v>0.9</v>
      </c>
    </row>
    <row r="4211" spans="1:3" x14ac:dyDescent="0.2">
      <c r="A4211" s="241">
        <v>41217</v>
      </c>
      <c r="B4211" s="242">
        <v>6.8</v>
      </c>
      <c r="C4211" s="238">
        <v>1.5</v>
      </c>
    </row>
    <row r="4212" spans="1:3" x14ac:dyDescent="0.2">
      <c r="A4212" s="241">
        <v>41218</v>
      </c>
      <c r="B4212" s="242">
        <v>7.9</v>
      </c>
      <c r="C4212" s="238">
        <v>4.2</v>
      </c>
    </row>
    <row r="4213" spans="1:3" x14ac:dyDescent="0.2">
      <c r="A4213" s="241">
        <v>41219</v>
      </c>
      <c r="B4213" s="242">
        <v>9.5</v>
      </c>
      <c r="C4213" s="238">
        <v>3.2</v>
      </c>
    </row>
    <row r="4214" spans="1:3" x14ac:dyDescent="0.2">
      <c r="A4214" s="241">
        <v>41220</v>
      </c>
      <c r="B4214" s="242">
        <v>10.7</v>
      </c>
      <c r="C4214" s="238">
        <v>0.2</v>
      </c>
    </row>
    <row r="4215" spans="1:3" x14ac:dyDescent="0.2">
      <c r="A4215" s="241">
        <v>41221</v>
      </c>
      <c r="B4215" s="242">
        <v>11.1</v>
      </c>
      <c r="C4215" s="238">
        <v>1.7</v>
      </c>
    </row>
    <row r="4216" spans="1:3" x14ac:dyDescent="0.2">
      <c r="A4216" s="241">
        <v>41222</v>
      </c>
      <c r="B4216" s="242">
        <v>10</v>
      </c>
      <c r="C4216" s="238">
        <v>0.6</v>
      </c>
    </row>
    <row r="4217" spans="1:3" x14ac:dyDescent="0.2">
      <c r="A4217" s="241">
        <v>41223</v>
      </c>
      <c r="B4217" s="242">
        <v>10</v>
      </c>
      <c r="C4217" s="238">
        <v>0.4</v>
      </c>
    </row>
    <row r="4218" spans="1:3" x14ac:dyDescent="0.2">
      <c r="A4218" s="241">
        <v>41224</v>
      </c>
      <c r="B4218" s="242">
        <v>10.1</v>
      </c>
      <c r="C4218" s="238">
        <v>6.7</v>
      </c>
    </row>
    <row r="4219" spans="1:3" x14ac:dyDescent="0.2">
      <c r="A4219" s="241">
        <v>41225</v>
      </c>
      <c r="B4219" s="242">
        <v>8.6999999999999993</v>
      </c>
      <c r="C4219" s="238">
        <v>5.2</v>
      </c>
    </row>
    <row r="4220" spans="1:3" x14ac:dyDescent="0.2">
      <c r="A4220" s="241">
        <v>41226</v>
      </c>
      <c r="B4220" s="242">
        <v>9.9</v>
      </c>
      <c r="C4220" s="238">
        <v>0.4</v>
      </c>
    </row>
    <row r="4221" spans="1:3" x14ac:dyDescent="0.2">
      <c r="A4221" s="241">
        <v>41227</v>
      </c>
      <c r="B4221" s="242">
        <v>8.9</v>
      </c>
      <c r="C4221" s="238">
        <v>3.6</v>
      </c>
    </row>
    <row r="4222" spans="1:3" x14ac:dyDescent="0.2">
      <c r="A4222" s="241">
        <v>41228</v>
      </c>
      <c r="B4222" s="242">
        <v>3.2</v>
      </c>
      <c r="C4222" s="238">
        <v>0.9</v>
      </c>
    </row>
    <row r="4223" spans="1:3" x14ac:dyDescent="0.2">
      <c r="A4223" s="241">
        <v>41229</v>
      </c>
      <c r="B4223" s="242">
        <v>4.2</v>
      </c>
      <c r="C4223" s="238">
        <v>0</v>
      </c>
    </row>
    <row r="4224" spans="1:3" x14ac:dyDescent="0.2">
      <c r="A4224" s="241">
        <v>41230</v>
      </c>
      <c r="B4224" s="242">
        <v>6.2</v>
      </c>
      <c r="C4224" s="238">
        <v>0.3</v>
      </c>
    </row>
    <row r="4225" spans="1:3" x14ac:dyDescent="0.2">
      <c r="A4225" s="241">
        <v>41231</v>
      </c>
      <c r="B4225" s="242">
        <v>6.8</v>
      </c>
      <c r="C4225" s="238">
        <v>3.8</v>
      </c>
    </row>
    <row r="4226" spans="1:3" x14ac:dyDescent="0.2">
      <c r="A4226" s="241">
        <v>41232</v>
      </c>
      <c r="B4226" s="242">
        <v>5.9</v>
      </c>
      <c r="C4226" s="238">
        <v>1.2</v>
      </c>
    </row>
    <row r="4227" spans="1:3" x14ac:dyDescent="0.2">
      <c r="A4227" s="241">
        <v>41233</v>
      </c>
      <c r="B4227" s="242">
        <v>10.199999999999999</v>
      </c>
      <c r="C4227" s="238">
        <v>3.9</v>
      </c>
    </row>
    <row r="4228" spans="1:3" x14ac:dyDescent="0.2">
      <c r="A4228" s="241">
        <v>41234</v>
      </c>
      <c r="B4228" s="242">
        <v>7.4</v>
      </c>
      <c r="C4228" s="238">
        <v>0.9</v>
      </c>
    </row>
    <row r="4229" spans="1:3" x14ac:dyDescent="0.2">
      <c r="A4229" s="241">
        <v>41235</v>
      </c>
      <c r="B4229" s="242">
        <v>9.1999999999999993</v>
      </c>
      <c r="C4229" s="238">
        <v>7.2</v>
      </c>
    </row>
    <row r="4230" spans="1:3" x14ac:dyDescent="0.2">
      <c r="A4230" s="241">
        <v>41236</v>
      </c>
      <c r="B4230" s="242">
        <v>7.5</v>
      </c>
      <c r="C4230" s="238">
        <v>0.7</v>
      </c>
    </row>
    <row r="4231" spans="1:3" x14ac:dyDescent="0.2">
      <c r="A4231" s="241">
        <v>41237</v>
      </c>
      <c r="B4231" s="242">
        <v>4.5</v>
      </c>
      <c r="C4231" s="238">
        <v>2.5</v>
      </c>
    </row>
    <row r="4232" spans="1:3" x14ac:dyDescent="0.2">
      <c r="A4232" s="241">
        <v>41238</v>
      </c>
      <c r="B4232" s="242">
        <v>10.199999999999999</v>
      </c>
      <c r="C4232" s="238">
        <v>2.2999999999999998</v>
      </c>
    </row>
    <row r="4233" spans="1:3" x14ac:dyDescent="0.2">
      <c r="A4233" s="241">
        <v>41239</v>
      </c>
      <c r="B4233" s="242">
        <v>8.6</v>
      </c>
      <c r="C4233" s="238">
        <v>1.2</v>
      </c>
    </row>
    <row r="4234" spans="1:3" x14ac:dyDescent="0.2">
      <c r="A4234" s="241">
        <v>41240</v>
      </c>
      <c r="B4234" s="242">
        <v>7.1</v>
      </c>
      <c r="C4234" s="238">
        <v>0.3</v>
      </c>
    </row>
    <row r="4235" spans="1:3" x14ac:dyDescent="0.2">
      <c r="A4235" s="241">
        <v>41241</v>
      </c>
      <c r="B4235" s="242">
        <v>6.3</v>
      </c>
      <c r="C4235" s="238">
        <v>1.9</v>
      </c>
    </row>
    <row r="4236" spans="1:3" x14ac:dyDescent="0.2">
      <c r="A4236" s="241">
        <v>41242</v>
      </c>
      <c r="B4236" s="242">
        <v>3.6</v>
      </c>
      <c r="C4236" s="238">
        <v>4.9000000000000004</v>
      </c>
    </row>
    <row r="4237" spans="1:3" x14ac:dyDescent="0.2">
      <c r="A4237" s="241">
        <v>41243</v>
      </c>
      <c r="B4237" s="242">
        <v>2.6</v>
      </c>
      <c r="C4237" s="238">
        <v>1.8</v>
      </c>
    </row>
    <row r="4238" spans="1:3" x14ac:dyDescent="0.2">
      <c r="A4238" s="241">
        <v>41244</v>
      </c>
      <c r="B4238" s="242">
        <v>5.4</v>
      </c>
      <c r="C4238" s="238">
        <v>0.4</v>
      </c>
    </row>
    <row r="4239" spans="1:3" x14ac:dyDescent="0.2">
      <c r="A4239" s="241">
        <v>41245</v>
      </c>
      <c r="B4239" s="242">
        <v>4.3</v>
      </c>
      <c r="C4239" s="238">
        <v>1.9</v>
      </c>
    </row>
    <row r="4240" spans="1:3" x14ac:dyDescent="0.2">
      <c r="A4240" s="241">
        <v>41246</v>
      </c>
      <c r="B4240" s="242">
        <v>5</v>
      </c>
      <c r="C4240" s="238">
        <v>0</v>
      </c>
    </row>
    <row r="4241" spans="1:3" x14ac:dyDescent="0.2">
      <c r="A4241" s="241">
        <v>41247</v>
      </c>
      <c r="B4241" s="242">
        <v>5.9</v>
      </c>
      <c r="C4241" s="238">
        <v>1.9</v>
      </c>
    </row>
    <row r="4242" spans="1:3" x14ac:dyDescent="0.2">
      <c r="A4242" s="241">
        <v>41248</v>
      </c>
      <c r="B4242" s="242">
        <v>2.2999999999999998</v>
      </c>
      <c r="C4242" s="238">
        <v>1.9</v>
      </c>
    </row>
    <row r="4243" spans="1:3" x14ac:dyDescent="0.2">
      <c r="A4243" s="241">
        <v>41249</v>
      </c>
      <c r="B4243" s="242">
        <v>3.2</v>
      </c>
      <c r="C4243" s="238">
        <v>4</v>
      </c>
    </row>
    <row r="4244" spans="1:3" x14ac:dyDescent="0.2">
      <c r="A4244" s="241">
        <v>41250</v>
      </c>
      <c r="B4244" s="242">
        <v>0.6</v>
      </c>
      <c r="C4244" s="238">
        <v>0</v>
      </c>
    </row>
    <row r="4245" spans="1:3" x14ac:dyDescent="0.2">
      <c r="A4245" s="241">
        <v>41251</v>
      </c>
      <c r="B4245" s="242">
        <v>1.3</v>
      </c>
      <c r="C4245" s="238">
        <v>6.8</v>
      </c>
    </row>
    <row r="4246" spans="1:3" x14ac:dyDescent="0.2">
      <c r="A4246" s="241">
        <v>41252</v>
      </c>
      <c r="B4246" s="242">
        <v>7.3</v>
      </c>
      <c r="C4246" s="238">
        <v>1.9</v>
      </c>
    </row>
    <row r="4247" spans="1:3" x14ac:dyDescent="0.2">
      <c r="A4247" s="241">
        <v>41253</v>
      </c>
      <c r="B4247" s="242">
        <v>3.5</v>
      </c>
      <c r="C4247" s="238">
        <v>0.2</v>
      </c>
    </row>
    <row r="4248" spans="1:3" x14ac:dyDescent="0.2">
      <c r="A4248" s="241">
        <v>41254</v>
      </c>
      <c r="B4248" s="242">
        <v>1.4</v>
      </c>
      <c r="C4248" s="238">
        <v>5.4</v>
      </c>
    </row>
    <row r="4249" spans="1:3" x14ac:dyDescent="0.2">
      <c r="A4249" s="241">
        <v>41255</v>
      </c>
      <c r="B4249" s="242">
        <v>3.9</v>
      </c>
      <c r="C4249" s="238">
        <v>2.7</v>
      </c>
    </row>
    <row r="4250" spans="1:3" x14ac:dyDescent="0.2">
      <c r="A4250" s="241">
        <v>41256</v>
      </c>
      <c r="B4250" s="242">
        <v>-0.4</v>
      </c>
      <c r="C4250" s="238">
        <v>2</v>
      </c>
    </row>
    <row r="4251" spans="1:3" x14ac:dyDescent="0.2">
      <c r="A4251" s="241">
        <v>41257</v>
      </c>
      <c r="B4251" s="242">
        <v>5.3</v>
      </c>
      <c r="C4251" s="238">
        <v>0</v>
      </c>
    </row>
    <row r="4252" spans="1:3" x14ac:dyDescent="0.2">
      <c r="A4252" s="241">
        <v>41258</v>
      </c>
      <c r="B4252" s="242">
        <v>8.8000000000000007</v>
      </c>
      <c r="C4252" s="238">
        <v>1.6</v>
      </c>
    </row>
    <row r="4253" spans="1:3" x14ac:dyDescent="0.2">
      <c r="A4253" s="241">
        <v>41259</v>
      </c>
      <c r="B4253" s="242">
        <v>7.2</v>
      </c>
      <c r="C4253" s="238">
        <v>0</v>
      </c>
    </row>
    <row r="4254" spans="1:3" x14ac:dyDescent="0.2">
      <c r="A4254" s="241">
        <v>41260</v>
      </c>
      <c r="B4254" s="242">
        <v>6.8</v>
      </c>
      <c r="C4254" s="238">
        <v>0</v>
      </c>
    </row>
    <row r="4255" spans="1:3" x14ac:dyDescent="0.2">
      <c r="A4255" s="241">
        <v>41261</v>
      </c>
      <c r="B4255" s="242">
        <v>5.8</v>
      </c>
      <c r="C4255" s="238">
        <v>0.8</v>
      </c>
    </row>
    <row r="4256" spans="1:3" x14ac:dyDescent="0.2">
      <c r="A4256" s="241">
        <v>41262</v>
      </c>
      <c r="B4256" s="242">
        <v>5.2</v>
      </c>
      <c r="C4256" s="238">
        <v>0</v>
      </c>
    </row>
    <row r="4257" spans="1:3" x14ac:dyDescent="0.2">
      <c r="A4257" s="241">
        <v>41263</v>
      </c>
      <c r="B4257" s="242">
        <v>3.4</v>
      </c>
      <c r="C4257" s="238">
        <v>0</v>
      </c>
    </row>
    <row r="4258" spans="1:3" x14ac:dyDescent="0.2">
      <c r="A4258" s="241">
        <v>41264</v>
      </c>
      <c r="B4258" s="242">
        <v>5.3</v>
      </c>
      <c r="C4258" s="238">
        <v>0</v>
      </c>
    </row>
    <row r="4259" spans="1:3" x14ac:dyDescent="0.2">
      <c r="A4259" s="241">
        <v>41265</v>
      </c>
      <c r="B4259" s="242">
        <v>7.4</v>
      </c>
      <c r="C4259" s="238">
        <v>0</v>
      </c>
    </row>
    <row r="4260" spans="1:3" x14ac:dyDescent="0.2">
      <c r="A4260" s="241">
        <v>41266</v>
      </c>
      <c r="B4260" s="242">
        <v>9.1999999999999993</v>
      </c>
      <c r="C4260" s="238">
        <v>0</v>
      </c>
    </row>
    <row r="4261" spans="1:3" x14ac:dyDescent="0.2">
      <c r="A4261" s="241">
        <v>41267</v>
      </c>
      <c r="B4261" s="242">
        <v>9.3000000000000007</v>
      </c>
      <c r="C4261" s="238">
        <v>0</v>
      </c>
    </row>
    <row r="4262" spans="1:3" x14ac:dyDescent="0.2">
      <c r="A4262" s="241">
        <v>41268</v>
      </c>
      <c r="B4262" s="242">
        <v>8.4</v>
      </c>
      <c r="C4262" s="238">
        <v>1.8</v>
      </c>
    </row>
    <row r="4263" spans="1:3" x14ac:dyDescent="0.2">
      <c r="A4263" s="241">
        <v>41269</v>
      </c>
      <c r="B4263" s="242">
        <v>8</v>
      </c>
      <c r="C4263" s="238">
        <v>3</v>
      </c>
    </row>
    <row r="4264" spans="1:3" x14ac:dyDescent="0.2">
      <c r="A4264" s="241">
        <v>41270</v>
      </c>
      <c r="B4264" s="242">
        <v>7</v>
      </c>
      <c r="C4264" s="238">
        <v>1</v>
      </c>
    </row>
    <row r="4265" spans="1:3" x14ac:dyDescent="0.2">
      <c r="A4265" s="241">
        <v>41271</v>
      </c>
      <c r="B4265" s="242">
        <v>6.9</v>
      </c>
      <c r="C4265" s="238">
        <v>0</v>
      </c>
    </row>
    <row r="4266" spans="1:3" x14ac:dyDescent="0.2">
      <c r="A4266" s="241">
        <v>41272</v>
      </c>
      <c r="B4266" s="242">
        <v>11</v>
      </c>
      <c r="C4266" s="238">
        <v>3.7</v>
      </c>
    </row>
    <row r="4267" spans="1:3" x14ac:dyDescent="0.2">
      <c r="A4267" s="241">
        <v>41273</v>
      </c>
      <c r="B4267" s="242">
        <v>8.1999999999999993</v>
      </c>
      <c r="C4267" s="238">
        <v>2.4</v>
      </c>
    </row>
    <row r="4268" spans="1:3" x14ac:dyDescent="0.2">
      <c r="A4268" s="241">
        <v>41274</v>
      </c>
      <c r="B4268" s="242">
        <v>9.4</v>
      </c>
      <c r="C4268" s="238">
        <v>0</v>
      </c>
    </row>
    <row r="4269" spans="1:3" x14ac:dyDescent="0.2">
      <c r="A4269" s="241">
        <v>41275</v>
      </c>
      <c r="B4269" s="242">
        <v>7.3</v>
      </c>
      <c r="C4269" s="238">
        <v>2.8</v>
      </c>
    </row>
    <row r="4270" spans="1:3" x14ac:dyDescent="0.2">
      <c r="A4270" s="241">
        <v>41276</v>
      </c>
      <c r="B4270" s="242">
        <v>7.4</v>
      </c>
      <c r="C4270" s="238">
        <v>2</v>
      </c>
    </row>
    <row r="4271" spans="1:3" x14ac:dyDescent="0.2">
      <c r="A4271" s="241">
        <v>41277</v>
      </c>
      <c r="B4271" s="242">
        <v>8.8000000000000007</v>
      </c>
      <c r="C4271" s="238">
        <v>4.5</v>
      </c>
    </row>
    <row r="4272" spans="1:3" x14ac:dyDescent="0.2">
      <c r="A4272" s="241">
        <v>41278</v>
      </c>
      <c r="B4272" s="242">
        <v>8.5</v>
      </c>
      <c r="C4272" s="238">
        <v>0.6</v>
      </c>
    </row>
    <row r="4273" spans="1:3" x14ac:dyDescent="0.2">
      <c r="A4273" s="241">
        <v>41279</v>
      </c>
      <c r="B4273" s="242">
        <v>7.9</v>
      </c>
      <c r="C4273" s="238">
        <v>0</v>
      </c>
    </row>
    <row r="4274" spans="1:3" x14ac:dyDescent="0.2">
      <c r="A4274" s="241">
        <v>41280</v>
      </c>
      <c r="B4274" s="242">
        <v>7.9</v>
      </c>
      <c r="C4274" s="238">
        <v>6.1</v>
      </c>
    </row>
    <row r="4275" spans="1:3" x14ac:dyDescent="0.2">
      <c r="A4275" s="241">
        <v>41281</v>
      </c>
      <c r="B4275" s="242">
        <v>7.3</v>
      </c>
      <c r="C4275" s="238">
        <v>0</v>
      </c>
    </row>
    <row r="4276" spans="1:3" x14ac:dyDescent="0.2">
      <c r="A4276" s="241">
        <v>41282</v>
      </c>
      <c r="B4276" s="242">
        <v>7.9</v>
      </c>
      <c r="C4276" s="238">
        <v>0</v>
      </c>
    </row>
    <row r="4277" spans="1:3" x14ac:dyDescent="0.2">
      <c r="A4277" s="241">
        <v>41283</v>
      </c>
      <c r="B4277" s="242">
        <v>7.4</v>
      </c>
      <c r="C4277" s="238">
        <v>0</v>
      </c>
    </row>
    <row r="4278" spans="1:3" x14ac:dyDescent="0.2">
      <c r="A4278" s="241">
        <v>41284</v>
      </c>
      <c r="B4278" s="242">
        <v>5.7</v>
      </c>
      <c r="C4278" s="238">
        <v>3.2</v>
      </c>
    </row>
    <row r="4279" spans="1:3" x14ac:dyDescent="0.2">
      <c r="A4279" s="241">
        <v>41285</v>
      </c>
      <c r="B4279" s="242">
        <v>0.7</v>
      </c>
      <c r="C4279" s="238">
        <v>0</v>
      </c>
    </row>
    <row r="4280" spans="1:3" x14ac:dyDescent="0.2">
      <c r="A4280" s="241">
        <v>41286</v>
      </c>
      <c r="B4280" s="242">
        <v>0.8</v>
      </c>
      <c r="C4280" s="238">
        <v>4.2</v>
      </c>
    </row>
    <row r="4281" spans="1:3" x14ac:dyDescent="0.2">
      <c r="A4281" s="241">
        <v>41287</v>
      </c>
      <c r="B4281" s="242">
        <v>-1.8</v>
      </c>
      <c r="C4281" s="238">
        <v>6.8</v>
      </c>
    </row>
    <row r="4282" spans="1:3" x14ac:dyDescent="0.2">
      <c r="A4282" s="241">
        <v>41288</v>
      </c>
      <c r="B4282" s="242">
        <v>-3.1</v>
      </c>
      <c r="C4282" s="238">
        <v>2.4</v>
      </c>
    </row>
    <row r="4283" spans="1:3" x14ac:dyDescent="0.2">
      <c r="A4283" s="241">
        <v>41289</v>
      </c>
      <c r="B4283" s="242">
        <v>-2.7</v>
      </c>
      <c r="C4283" s="238">
        <v>3.6</v>
      </c>
    </row>
    <row r="4284" spans="1:3" x14ac:dyDescent="0.2">
      <c r="A4284" s="241">
        <v>41290</v>
      </c>
      <c r="B4284" s="242">
        <v>-5.3</v>
      </c>
      <c r="C4284" s="238">
        <v>7</v>
      </c>
    </row>
    <row r="4285" spans="1:3" x14ac:dyDescent="0.2">
      <c r="A4285" s="241">
        <v>41291</v>
      </c>
      <c r="B4285" s="242">
        <v>-4</v>
      </c>
      <c r="C4285" s="238">
        <v>2.8</v>
      </c>
    </row>
    <row r="4286" spans="1:3" x14ac:dyDescent="0.2">
      <c r="A4286" s="241">
        <v>41292</v>
      </c>
      <c r="B4286" s="242">
        <v>-1.5</v>
      </c>
      <c r="C4286" s="238">
        <v>2.1</v>
      </c>
    </row>
    <row r="4287" spans="1:3" x14ac:dyDescent="0.2">
      <c r="A4287" s="241">
        <v>41293</v>
      </c>
      <c r="B4287" s="242">
        <v>-3.8</v>
      </c>
      <c r="C4287" s="238">
        <v>0</v>
      </c>
    </row>
    <row r="4288" spans="1:3" x14ac:dyDescent="0.2">
      <c r="A4288" s="241">
        <v>41294</v>
      </c>
      <c r="B4288" s="242">
        <v>-4.5</v>
      </c>
      <c r="C4288" s="238">
        <v>0</v>
      </c>
    </row>
    <row r="4289" spans="1:3" x14ac:dyDescent="0.2">
      <c r="A4289" s="241">
        <v>41295</v>
      </c>
      <c r="B4289" s="242">
        <v>-2.4</v>
      </c>
      <c r="C4289" s="238">
        <v>0</v>
      </c>
    </row>
    <row r="4290" spans="1:3" x14ac:dyDescent="0.2">
      <c r="A4290" s="241">
        <v>41296</v>
      </c>
      <c r="B4290" s="242">
        <v>-3.5</v>
      </c>
      <c r="C4290" s="238">
        <v>5</v>
      </c>
    </row>
    <row r="4291" spans="1:3" x14ac:dyDescent="0.2">
      <c r="A4291" s="241">
        <v>41297</v>
      </c>
      <c r="B4291" s="242">
        <v>-4.4000000000000004</v>
      </c>
      <c r="C4291" s="238">
        <v>0</v>
      </c>
    </row>
    <row r="4292" spans="1:3" x14ac:dyDescent="0.2">
      <c r="A4292" s="241">
        <v>41298</v>
      </c>
      <c r="B4292" s="242">
        <v>-4.0999999999999996</v>
      </c>
      <c r="C4292" s="238">
        <v>2.2000000000000002</v>
      </c>
    </row>
    <row r="4293" spans="1:3" x14ac:dyDescent="0.2">
      <c r="A4293" s="241">
        <v>41299</v>
      </c>
      <c r="B4293" s="242">
        <v>-4.3</v>
      </c>
      <c r="C4293" s="238">
        <v>7.2</v>
      </c>
    </row>
    <row r="4294" spans="1:3" x14ac:dyDescent="0.2">
      <c r="A4294" s="241">
        <v>41300</v>
      </c>
      <c r="B4294" s="242">
        <v>0.1</v>
      </c>
      <c r="C4294" s="238">
        <v>0</v>
      </c>
    </row>
    <row r="4295" spans="1:3" x14ac:dyDescent="0.2">
      <c r="A4295" s="241">
        <v>41301</v>
      </c>
      <c r="B4295" s="242">
        <v>4.7</v>
      </c>
      <c r="C4295" s="238">
        <v>2</v>
      </c>
    </row>
    <row r="4296" spans="1:3" x14ac:dyDescent="0.2">
      <c r="A4296" s="241">
        <v>41302</v>
      </c>
      <c r="B4296" s="242">
        <v>5.8</v>
      </c>
      <c r="C4296" s="238">
        <v>5.2</v>
      </c>
    </row>
    <row r="4297" spans="1:3" x14ac:dyDescent="0.2">
      <c r="A4297" s="241">
        <v>41303</v>
      </c>
      <c r="B4297" s="242">
        <v>7.6</v>
      </c>
      <c r="C4297" s="238">
        <v>0.3</v>
      </c>
    </row>
    <row r="4298" spans="1:3" x14ac:dyDescent="0.2">
      <c r="A4298" s="241">
        <v>41304</v>
      </c>
      <c r="B4298" s="242">
        <v>8.1</v>
      </c>
      <c r="C4298" s="238">
        <v>3.9</v>
      </c>
    </row>
    <row r="4299" spans="1:3" x14ac:dyDescent="0.2">
      <c r="A4299" s="241">
        <v>41305</v>
      </c>
      <c r="B4299" s="242">
        <v>7.1</v>
      </c>
      <c r="C4299" s="238">
        <v>4</v>
      </c>
    </row>
    <row r="4300" spans="1:3" x14ac:dyDescent="0.2">
      <c r="A4300" s="241">
        <v>41306</v>
      </c>
      <c r="B4300" s="242">
        <v>5.0999999999999996</v>
      </c>
      <c r="C4300" s="238">
        <v>0</v>
      </c>
    </row>
    <row r="4301" spans="1:3" x14ac:dyDescent="0.2">
      <c r="A4301" s="241">
        <v>41307</v>
      </c>
      <c r="B4301" s="242">
        <v>4.5</v>
      </c>
      <c r="C4301" s="238">
        <v>6.5</v>
      </c>
    </row>
    <row r="4302" spans="1:3" x14ac:dyDescent="0.2">
      <c r="A4302" s="241">
        <v>41308</v>
      </c>
      <c r="B4302" s="242">
        <v>5.3</v>
      </c>
      <c r="C4302" s="238">
        <v>1</v>
      </c>
    </row>
    <row r="4303" spans="1:3" x14ac:dyDescent="0.2">
      <c r="A4303" s="241">
        <v>41309</v>
      </c>
      <c r="B4303" s="242">
        <v>7</v>
      </c>
      <c r="C4303" s="238">
        <v>5.2</v>
      </c>
    </row>
    <row r="4304" spans="1:3" x14ac:dyDescent="0.2">
      <c r="A4304" s="241">
        <v>41310</v>
      </c>
      <c r="B4304" s="242">
        <v>3.8</v>
      </c>
      <c r="C4304" s="238">
        <v>3.6</v>
      </c>
    </row>
    <row r="4305" spans="1:3" x14ac:dyDescent="0.2">
      <c r="A4305" s="241">
        <v>41311</v>
      </c>
      <c r="B4305" s="242">
        <v>2.7</v>
      </c>
      <c r="C4305" s="238">
        <v>4.4000000000000004</v>
      </c>
    </row>
    <row r="4306" spans="1:3" x14ac:dyDescent="0.2">
      <c r="A4306" s="241">
        <v>41312</v>
      </c>
      <c r="B4306" s="242">
        <v>3.5</v>
      </c>
      <c r="C4306" s="238">
        <v>4.5</v>
      </c>
    </row>
    <row r="4307" spans="1:3" x14ac:dyDescent="0.2">
      <c r="A4307" s="241">
        <v>41313</v>
      </c>
      <c r="B4307" s="242">
        <v>1.1000000000000001</v>
      </c>
      <c r="C4307" s="238">
        <v>5.6</v>
      </c>
    </row>
    <row r="4308" spans="1:3" x14ac:dyDescent="0.2">
      <c r="A4308" s="241">
        <v>41314</v>
      </c>
      <c r="B4308" s="242">
        <v>0.5</v>
      </c>
      <c r="C4308" s="238">
        <v>1.1000000000000001</v>
      </c>
    </row>
    <row r="4309" spans="1:3" x14ac:dyDescent="0.2">
      <c r="A4309" s="241">
        <v>41315</v>
      </c>
      <c r="B4309" s="242">
        <v>0.3</v>
      </c>
      <c r="C4309" s="238">
        <v>6.6</v>
      </c>
    </row>
    <row r="4310" spans="1:3" x14ac:dyDescent="0.2">
      <c r="A4310" s="241">
        <v>41316</v>
      </c>
      <c r="B4310" s="242">
        <v>-1.3</v>
      </c>
      <c r="C4310" s="238">
        <v>5.4</v>
      </c>
    </row>
    <row r="4311" spans="1:3" x14ac:dyDescent="0.2">
      <c r="A4311" s="241">
        <v>41317</v>
      </c>
      <c r="B4311" s="242">
        <v>-0.5</v>
      </c>
      <c r="C4311" s="238">
        <v>7</v>
      </c>
    </row>
    <row r="4312" spans="1:3" x14ac:dyDescent="0.2">
      <c r="A4312" s="241">
        <v>41318</v>
      </c>
      <c r="B4312" s="242">
        <v>-0.9</v>
      </c>
      <c r="C4312" s="238">
        <v>4</v>
      </c>
    </row>
    <row r="4313" spans="1:3" x14ac:dyDescent="0.2">
      <c r="A4313" s="241">
        <v>41319</v>
      </c>
      <c r="B4313" s="242">
        <v>0.3</v>
      </c>
      <c r="C4313" s="238">
        <v>0</v>
      </c>
    </row>
    <row r="4314" spans="1:3" x14ac:dyDescent="0.2">
      <c r="A4314" s="241">
        <v>41320</v>
      </c>
      <c r="B4314" s="242">
        <v>5</v>
      </c>
      <c r="C4314" s="238">
        <v>3.8</v>
      </c>
    </row>
    <row r="4315" spans="1:3" x14ac:dyDescent="0.2">
      <c r="A4315" s="241">
        <v>41321</v>
      </c>
      <c r="B4315" s="242">
        <v>5</v>
      </c>
      <c r="C4315" s="238">
        <v>1.6</v>
      </c>
    </row>
    <row r="4316" spans="1:3" x14ac:dyDescent="0.2">
      <c r="A4316" s="241">
        <v>41322</v>
      </c>
      <c r="B4316" s="242">
        <v>3.1</v>
      </c>
      <c r="C4316" s="238">
        <v>6.8</v>
      </c>
    </row>
    <row r="4317" spans="1:3" x14ac:dyDescent="0.2">
      <c r="A4317" s="241">
        <v>41323</v>
      </c>
      <c r="B4317" s="242">
        <v>1.3</v>
      </c>
      <c r="C4317" s="238">
        <v>6.4</v>
      </c>
    </row>
    <row r="4318" spans="1:3" x14ac:dyDescent="0.2">
      <c r="A4318" s="241">
        <v>41324</v>
      </c>
      <c r="B4318" s="242">
        <v>3.7</v>
      </c>
      <c r="C4318" s="238">
        <v>0</v>
      </c>
    </row>
    <row r="4319" spans="1:3" x14ac:dyDescent="0.2">
      <c r="A4319" s="241">
        <v>41325</v>
      </c>
      <c r="B4319" s="242">
        <v>0.2</v>
      </c>
      <c r="C4319" s="238">
        <v>5.6</v>
      </c>
    </row>
    <row r="4320" spans="1:3" x14ac:dyDescent="0.2">
      <c r="A4320" s="241">
        <v>41326</v>
      </c>
      <c r="B4320" s="242">
        <v>-0.9</v>
      </c>
      <c r="C4320" s="238">
        <v>5.0999999999999996</v>
      </c>
    </row>
    <row r="4321" spans="1:3" x14ac:dyDescent="0.2">
      <c r="A4321" s="241">
        <v>41327</v>
      </c>
      <c r="B4321" s="242">
        <v>-1.4</v>
      </c>
      <c r="C4321" s="238">
        <v>6.4</v>
      </c>
    </row>
    <row r="4322" spans="1:3" x14ac:dyDescent="0.2">
      <c r="A4322" s="241">
        <v>41328</v>
      </c>
      <c r="B4322" s="242">
        <v>-1.2</v>
      </c>
      <c r="C4322" s="238">
        <v>1.1000000000000001</v>
      </c>
    </row>
    <row r="4323" spans="1:3" x14ac:dyDescent="0.2">
      <c r="A4323" s="241">
        <v>41329</v>
      </c>
      <c r="B4323" s="242">
        <v>0.6</v>
      </c>
      <c r="C4323" s="238">
        <v>0</v>
      </c>
    </row>
    <row r="4324" spans="1:3" x14ac:dyDescent="0.2">
      <c r="A4324" s="241">
        <v>41330</v>
      </c>
      <c r="B4324" s="242">
        <v>2</v>
      </c>
      <c r="C4324" s="238">
        <v>0</v>
      </c>
    </row>
    <row r="4325" spans="1:3" x14ac:dyDescent="0.2">
      <c r="A4325" s="241">
        <v>41331</v>
      </c>
      <c r="B4325" s="242">
        <v>2.4</v>
      </c>
      <c r="C4325" s="238">
        <v>0.1</v>
      </c>
    </row>
    <row r="4326" spans="1:3" x14ac:dyDescent="0.2">
      <c r="A4326" s="241">
        <v>41332</v>
      </c>
      <c r="B4326" s="242">
        <v>1.4</v>
      </c>
      <c r="C4326" s="238">
        <v>6.3</v>
      </c>
    </row>
    <row r="4327" spans="1:3" x14ac:dyDescent="0.2">
      <c r="A4327" s="241">
        <v>41333</v>
      </c>
      <c r="B4327" s="242">
        <v>2.4</v>
      </c>
      <c r="C4327" s="238">
        <v>2.7</v>
      </c>
    </row>
    <row r="4328" spans="1:3" x14ac:dyDescent="0.2">
      <c r="A4328" s="241">
        <v>41334</v>
      </c>
      <c r="B4328" s="242">
        <v>3.7</v>
      </c>
      <c r="C4328" s="238">
        <v>0</v>
      </c>
    </row>
    <row r="4329" spans="1:3" x14ac:dyDescent="0.2">
      <c r="A4329" s="241">
        <v>41335</v>
      </c>
      <c r="B4329" s="242">
        <v>3.3</v>
      </c>
      <c r="C4329" s="238">
        <v>0.9</v>
      </c>
    </row>
    <row r="4330" spans="1:3" x14ac:dyDescent="0.2">
      <c r="A4330" s="241">
        <v>41336</v>
      </c>
      <c r="B4330" s="242">
        <v>4.2</v>
      </c>
      <c r="C4330" s="238">
        <v>0.3</v>
      </c>
    </row>
    <row r="4331" spans="1:3" x14ac:dyDescent="0.2">
      <c r="A4331" s="241">
        <v>41337</v>
      </c>
      <c r="B4331" s="242">
        <v>4.7</v>
      </c>
      <c r="C4331" s="238">
        <v>10</v>
      </c>
    </row>
    <row r="4332" spans="1:3" x14ac:dyDescent="0.2">
      <c r="A4332" s="241">
        <v>41338</v>
      </c>
      <c r="B4332" s="242">
        <v>9.4</v>
      </c>
      <c r="C4332" s="238">
        <v>9.9</v>
      </c>
    </row>
    <row r="4333" spans="1:3" x14ac:dyDescent="0.2">
      <c r="A4333" s="241">
        <v>41339</v>
      </c>
      <c r="B4333" s="242">
        <v>10.9</v>
      </c>
      <c r="C4333" s="238">
        <v>0.3</v>
      </c>
    </row>
    <row r="4334" spans="1:3" x14ac:dyDescent="0.2">
      <c r="A4334" s="241">
        <v>41340</v>
      </c>
      <c r="B4334" s="242">
        <v>7.3</v>
      </c>
      <c r="C4334" s="238">
        <v>1.4</v>
      </c>
    </row>
    <row r="4335" spans="1:3" x14ac:dyDescent="0.2">
      <c r="A4335" s="241">
        <v>41341</v>
      </c>
      <c r="B4335" s="242">
        <v>6.7</v>
      </c>
      <c r="C4335" s="238">
        <v>4.4000000000000004</v>
      </c>
    </row>
    <row r="4336" spans="1:3" x14ac:dyDescent="0.2">
      <c r="A4336" s="241">
        <v>41342</v>
      </c>
      <c r="B4336" s="242">
        <v>2.6</v>
      </c>
      <c r="C4336" s="238">
        <v>0</v>
      </c>
    </row>
    <row r="4337" spans="1:3" x14ac:dyDescent="0.2">
      <c r="A4337" s="241">
        <v>41343</v>
      </c>
      <c r="B4337" s="242">
        <v>-0.3</v>
      </c>
      <c r="C4337" s="238">
        <v>0</v>
      </c>
    </row>
    <row r="4338" spans="1:3" x14ac:dyDescent="0.2">
      <c r="A4338" s="241">
        <v>41344</v>
      </c>
      <c r="B4338" s="242">
        <v>-2.1</v>
      </c>
      <c r="C4338" s="238">
        <v>0.7</v>
      </c>
    </row>
    <row r="4339" spans="1:3" x14ac:dyDescent="0.2">
      <c r="A4339" s="241">
        <v>41345</v>
      </c>
      <c r="B4339" s="242">
        <v>-2.6</v>
      </c>
      <c r="C4339" s="238">
        <v>7.8</v>
      </c>
    </row>
    <row r="4340" spans="1:3" x14ac:dyDescent="0.2">
      <c r="A4340" s="241">
        <v>41346</v>
      </c>
      <c r="B4340" s="242">
        <v>1.7</v>
      </c>
      <c r="C4340" s="238">
        <v>7.8</v>
      </c>
    </row>
    <row r="4341" spans="1:3" x14ac:dyDescent="0.2">
      <c r="A4341" s="241">
        <v>41347</v>
      </c>
      <c r="B4341" s="242">
        <v>-0.6</v>
      </c>
      <c r="C4341" s="238">
        <v>8.1</v>
      </c>
    </row>
    <row r="4342" spans="1:3" x14ac:dyDescent="0.2">
      <c r="A4342" s="241">
        <v>41348</v>
      </c>
      <c r="B4342" s="242">
        <v>1.6</v>
      </c>
      <c r="C4342" s="238">
        <v>0.9</v>
      </c>
    </row>
    <row r="4343" spans="1:3" x14ac:dyDescent="0.2">
      <c r="A4343" s="241">
        <v>41349</v>
      </c>
      <c r="B4343" s="242">
        <v>5.2</v>
      </c>
      <c r="C4343" s="238">
        <v>2.4</v>
      </c>
    </row>
    <row r="4344" spans="1:3" x14ac:dyDescent="0.2">
      <c r="A4344" s="241">
        <v>41350</v>
      </c>
      <c r="B4344" s="242">
        <v>5.7</v>
      </c>
      <c r="C4344" s="238">
        <v>1.8</v>
      </c>
    </row>
    <row r="4345" spans="1:3" x14ac:dyDescent="0.2">
      <c r="A4345" s="241">
        <v>41351</v>
      </c>
      <c r="B4345" s="242">
        <v>4.5</v>
      </c>
      <c r="C4345" s="238">
        <v>3.4</v>
      </c>
    </row>
    <row r="4346" spans="1:3" x14ac:dyDescent="0.2">
      <c r="A4346" s="241">
        <v>41352</v>
      </c>
      <c r="B4346" s="242">
        <v>2.4</v>
      </c>
      <c r="C4346" s="238">
        <v>1.5</v>
      </c>
    </row>
    <row r="4347" spans="1:3" x14ac:dyDescent="0.2">
      <c r="A4347" s="241">
        <v>41353</v>
      </c>
      <c r="B4347" s="242">
        <v>0.7</v>
      </c>
      <c r="C4347" s="238">
        <v>0.8</v>
      </c>
    </row>
    <row r="4348" spans="1:3" x14ac:dyDescent="0.2">
      <c r="A4348" s="241">
        <v>41354</v>
      </c>
      <c r="B4348" s="242">
        <v>0.6</v>
      </c>
      <c r="C4348" s="238">
        <v>9.3000000000000007</v>
      </c>
    </row>
    <row r="4349" spans="1:3" x14ac:dyDescent="0.2">
      <c r="A4349" s="241">
        <v>41355</v>
      </c>
      <c r="B4349" s="242">
        <v>0.3</v>
      </c>
      <c r="C4349" s="238">
        <v>3.2</v>
      </c>
    </row>
    <row r="4350" spans="1:3" x14ac:dyDescent="0.2">
      <c r="A4350" s="241">
        <v>41356</v>
      </c>
      <c r="B4350" s="242">
        <v>-0.3</v>
      </c>
      <c r="C4350" s="238">
        <v>6.6</v>
      </c>
    </row>
    <row r="4351" spans="1:3" x14ac:dyDescent="0.2">
      <c r="A4351" s="241">
        <v>41357</v>
      </c>
      <c r="B4351" s="242">
        <v>-0.7</v>
      </c>
      <c r="C4351" s="238">
        <v>4.5</v>
      </c>
    </row>
    <row r="4352" spans="1:3" x14ac:dyDescent="0.2">
      <c r="A4352" s="241">
        <v>41358</v>
      </c>
      <c r="B4352" s="242">
        <v>0.2</v>
      </c>
      <c r="C4352" s="238">
        <v>9.9</v>
      </c>
    </row>
    <row r="4353" spans="1:3" x14ac:dyDescent="0.2">
      <c r="A4353" s="241">
        <v>41359</v>
      </c>
      <c r="B4353" s="242">
        <v>0.5</v>
      </c>
      <c r="C4353" s="238">
        <v>10.199999999999999</v>
      </c>
    </row>
    <row r="4354" spans="1:3" x14ac:dyDescent="0.2">
      <c r="A4354" s="241">
        <v>41360</v>
      </c>
      <c r="B4354" s="242">
        <v>0.9</v>
      </c>
      <c r="C4354" s="238">
        <v>11.5</v>
      </c>
    </row>
    <row r="4355" spans="1:3" x14ac:dyDescent="0.2">
      <c r="A4355" s="241">
        <v>41361</v>
      </c>
      <c r="B4355" s="242">
        <v>-0.5</v>
      </c>
      <c r="C4355" s="238">
        <v>5.2</v>
      </c>
    </row>
    <row r="4356" spans="1:3" x14ac:dyDescent="0.2">
      <c r="A4356" s="241">
        <v>41362</v>
      </c>
      <c r="B4356" s="242">
        <v>-0.9</v>
      </c>
      <c r="C4356" s="238">
        <v>2.7</v>
      </c>
    </row>
    <row r="4357" spans="1:3" x14ac:dyDescent="0.2">
      <c r="A4357" s="241">
        <v>41363</v>
      </c>
      <c r="B4357" s="242">
        <v>0.1</v>
      </c>
      <c r="C4357" s="238">
        <v>5.8</v>
      </c>
    </row>
    <row r="4358" spans="1:3" x14ac:dyDescent="0.2">
      <c r="A4358" s="241">
        <v>41364</v>
      </c>
      <c r="B4358" s="242">
        <v>1.3</v>
      </c>
      <c r="C4358" s="238">
        <v>2.2999999999999998</v>
      </c>
    </row>
    <row r="4359" spans="1:3" x14ac:dyDescent="0.2">
      <c r="A4359" s="241">
        <v>41365</v>
      </c>
      <c r="B4359" s="242">
        <v>2.2000000000000002</v>
      </c>
      <c r="C4359" s="238">
        <v>11.9</v>
      </c>
    </row>
    <row r="4360" spans="1:3" x14ac:dyDescent="0.2">
      <c r="A4360" s="241">
        <v>41366</v>
      </c>
      <c r="B4360" s="242">
        <v>3.3</v>
      </c>
      <c r="C4360" s="238">
        <v>11.8</v>
      </c>
    </row>
    <row r="4361" spans="1:3" x14ac:dyDescent="0.2">
      <c r="A4361" s="241">
        <v>41367</v>
      </c>
      <c r="B4361" s="242">
        <v>3.1</v>
      </c>
      <c r="C4361" s="238">
        <v>12</v>
      </c>
    </row>
    <row r="4362" spans="1:3" x14ac:dyDescent="0.2">
      <c r="A4362" s="241">
        <v>41368</v>
      </c>
      <c r="B4362" s="242">
        <v>2.8</v>
      </c>
      <c r="C4362" s="238">
        <v>0</v>
      </c>
    </row>
    <row r="4363" spans="1:3" x14ac:dyDescent="0.2">
      <c r="A4363" s="241">
        <v>41369</v>
      </c>
      <c r="B4363" s="242">
        <v>3.8</v>
      </c>
      <c r="C4363" s="238">
        <v>9.8000000000000007</v>
      </c>
    </row>
    <row r="4364" spans="1:3" x14ac:dyDescent="0.2">
      <c r="A4364" s="241">
        <v>41370</v>
      </c>
      <c r="B4364" s="242">
        <v>2.9</v>
      </c>
      <c r="C4364" s="238">
        <v>9</v>
      </c>
    </row>
    <row r="4365" spans="1:3" x14ac:dyDescent="0.2">
      <c r="A4365" s="241">
        <v>41371</v>
      </c>
      <c r="B4365" s="242">
        <v>1</v>
      </c>
      <c r="C4365" s="238">
        <v>7.6</v>
      </c>
    </row>
    <row r="4366" spans="1:3" x14ac:dyDescent="0.2">
      <c r="A4366" s="241">
        <v>41372</v>
      </c>
      <c r="B4366" s="242">
        <v>5</v>
      </c>
      <c r="C4366" s="238">
        <v>8.4</v>
      </c>
    </row>
    <row r="4367" spans="1:3" x14ac:dyDescent="0.2">
      <c r="A4367" s="241">
        <v>41373</v>
      </c>
      <c r="B4367" s="242">
        <v>6.8</v>
      </c>
      <c r="C4367" s="238">
        <v>4.5999999999999996</v>
      </c>
    </row>
    <row r="4368" spans="1:3" x14ac:dyDescent="0.2">
      <c r="A4368" s="241">
        <v>41374</v>
      </c>
      <c r="B4368" s="242">
        <v>4.4000000000000004</v>
      </c>
      <c r="C4368" s="238">
        <v>0</v>
      </c>
    </row>
    <row r="4369" spans="1:3" x14ac:dyDescent="0.2">
      <c r="A4369" s="241">
        <v>41375</v>
      </c>
      <c r="B4369" s="242">
        <v>4.7</v>
      </c>
      <c r="C4369" s="238">
        <v>0</v>
      </c>
    </row>
    <row r="4370" spans="1:3" x14ac:dyDescent="0.2">
      <c r="A4370" s="241">
        <v>41376</v>
      </c>
      <c r="B4370" s="242">
        <v>7</v>
      </c>
      <c r="C4370" s="238">
        <v>1.7</v>
      </c>
    </row>
    <row r="4371" spans="1:3" x14ac:dyDescent="0.2">
      <c r="A4371" s="241">
        <v>41377</v>
      </c>
      <c r="B4371" s="242">
        <v>8.1999999999999993</v>
      </c>
      <c r="C4371" s="238">
        <v>4.8</v>
      </c>
    </row>
    <row r="4372" spans="1:3" x14ac:dyDescent="0.2">
      <c r="A4372" s="241">
        <v>41378</v>
      </c>
      <c r="B4372" s="242">
        <v>16.3</v>
      </c>
      <c r="C4372" s="238">
        <v>5.5</v>
      </c>
    </row>
    <row r="4373" spans="1:3" x14ac:dyDescent="0.2">
      <c r="A4373" s="241">
        <v>41379</v>
      </c>
      <c r="B4373" s="242">
        <v>10.9</v>
      </c>
      <c r="C4373" s="238">
        <v>5.8</v>
      </c>
    </row>
    <row r="4374" spans="1:3" x14ac:dyDescent="0.2">
      <c r="A4374" s="241">
        <v>41380</v>
      </c>
      <c r="B4374" s="242">
        <v>9.8000000000000007</v>
      </c>
      <c r="C4374" s="238">
        <v>4.8</v>
      </c>
    </row>
    <row r="4375" spans="1:3" x14ac:dyDescent="0.2">
      <c r="A4375" s="241">
        <v>41381</v>
      </c>
      <c r="B4375" s="242">
        <v>13.6</v>
      </c>
      <c r="C4375" s="238">
        <v>1.5</v>
      </c>
    </row>
    <row r="4376" spans="1:3" x14ac:dyDescent="0.2">
      <c r="A4376" s="241">
        <v>41382</v>
      </c>
      <c r="B4376" s="242">
        <v>8.9</v>
      </c>
      <c r="C4376" s="238">
        <v>12.6</v>
      </c>
    </row>
    <row r="4377" spans="1:3" x14ac:dyDescent="0.2">
      <c r="A4377" s="241">
        <v>41383</v>
      </c>
      <c r="B4377" s="242">
        <v>6.4</v>
      </c>
      <c r="C4377" s="238">
        <v>7.9</v>
      </c>
    </row>
    <row r="4378" spans="1:3" x14ac:dyDescent="0.2">
      <c r="A4378" s="241">
        <v>41384</v>
      </c>
      <c r="B4378" s="242">
        <v>5.9</v>
      </c>
      <c r="C4378" s="238">
        <v>10.9</v>
      </c>
    </row>
    <row r="4379" spans="1:3" x14ac:dyDescent="0.2">
      <c r="A4379" s="241">
        <v>41385</v>
      </c>
      <c r="B4379" s="242">
        <v>5</v>
      </c>
      <c r="C4379" s="238">
        <v>11.5</v>
      </c>
    </row>
    <row r="4380" spans="1:3" x14ac:dyDescent="0.2">
      <c r="A4380" s="241">
        <v>41386</v>
      </c>
      <c r="B4380" s="242">
        <v>8</v>
      </c>
      <c r="C4380" s="238">
        <v>11.3</v>
      </c>
    </row>
    <row r="4381" spans="1:3" x14ac:dyDescent="0.2">
      <c r="A4381" s="241">
        <v>41387</v>
      </c>
      <c r="B4381" s="242">
        <v>9.3000000000000007</v>
      </c>
      <c r="C4381" s="238">
        <v>6.2</v>
      </c>
    </row>
    <row r="4382" spans="1:3" x14ac:dyDescent="0.2">
      <c r="A4382" s="241">
        <v>41388</v>
      </c>
      <c r="B4382" s="242">
        <v>9.4</v>
      </c>
      <c r="C4382" s="238">
        <v>7.6</v>
      </c>
    </row>
    <row r="4383" spans="1:3" x14ac:dyDescent="0.2">
      <c r="A4383" s="241">
        <v>41389</v>
      </c>
      <c r="B4383" s="242">
        <v>12.6</v>
      </c>
      <c r="C4383" s="238">
        <v>6</v>
      </c>
    </row>
    <row r="4384" spans="1:3" x14ac:dyDescent="0.2">
      <c r="A4384" s="241">
        <v>41390</v>
      </c>
      <c r="B4384" s="242">
        <v>6.6</v>
      </c>
      <c r="C4384" s="238">
        <v>0.5</v>
      </c>
    </row>
    <row r="4385" spans="1:3" x14ac:dyDescent="0.2">
      <c r="A4385" s="241">
        <v>41391</v>
      </c>
      <c r="B4385" s="242">
        <v>5.8</v>
      </c>
      <c r="C4385" s="238">
        <v>12.6</v>
      </c>
    </row>
    <row r="4386" spans="1:3" x14ac:dyDescent="0.2">
      <c r="A4386" s="241">
        <v>41392</v>
      </c>
      <c r="B4386" s="242">
        <v>6.1</v>
      </c>
      <c r="C4386" s="238">
        <v>13.5</v>
      </c>
    </row>
    <row r="4387" spans="1:3" x14ac:dyDescent="0.2">
      <c r="A4387" s="241">
        <v>41393</v>
      </c>
      <c r="B4387" s="242">
        <v>8.4</v>
      </c>
      <c r="C4387" s="238">
        <v>9.6999999999999993</v>
      </c>
    </row>
    <row r="4388" spans="1:3" x14ac:dyDescent="0.2">
      <c r="A4388" s="241">
        <v>41394</v>
      </c>
      <c r="B4388" s="242">
        <v>7.9</v>
      </c>
      <c r="C4388" s="238">
        <v>7.7</v>
      </c>
    </row>
    <row r="4389" spans="1:3" x14ac:dyDescent="0.2">
      <c r="A4389" s="241">
        <v>41395</v>
      </c>
      <c r="B4389" s="242">
        <v>9.1</v>
      </c>
      <c r="C4389" s="238">
        <v>13.8</v>
      </c>
    </row>
    <row r="4390" spans="1:3" x14ac:dyDescent="0.2">
      <c r="A4390" s="241">
        <v>41396</v>
      </c>
      <c r="B4390" s="242">
        <v>10.8</v>
      </c>
      <c r="C4390" s="238">
        <v>4</v>
      </c>
    </row>
    <row r="4391" spans="1:3" x14ac:dyDescent="0.2">
      <c r="A4391" s="241">
        <v>41397</v>
      </c>
      <c r="B4391" s="242">
        <v>9.3000000000000007</v>
      </c>
      <c r="C4391" s="238">
        <v>13.7</v>
      </c>
    </row>
    <row r="4392" spans="1:3" x14ac:dyDescent="0.2">
      <c r="A4392" s="241">
        <v>41398</v>
      </c>
      <c r="B4392" s="242">
        <v>10.3</v>
      </c>
      <c r="C4392" s="238">
        <v>12.4</v>
      </c>
    </row>
    <row r="4393" spans="1:3" x14ac:dyDescent="0.2">
      <c r="A4393" s="241">
        <v>41399</v>
      </c>
      <c r="B4393" s="242">
        <v>10.9</v>
      </c>
      <c r="C4393" s="238">
        <v>12.9</v>
      </c>
    </row>
    <row r="4394" spans="1:3" x14ac:dyDescent="0.2">
      <c r="A4394" s="241">
        <v>41400</v>
      </c>
      <c r="B4394" s="242">
        <v>11.3</v>
      </c>
      <c r="C4394" s="238">
        <v>13.3</v>
      </c>
    </row>
    <row r="4395" spans="1:3" x14ac:dyDescent="0.2">
      <c r="A4395" s="241">
        <v>41401</v>
      </c>
      <c r="B4395" s="242">
        <v>15.9</v>
      </c>
      <c r="C4395" s="238">
        <v>7.3</v>
      </c>
    </row>
    <row r="4396" spans="1:3" x14ac:dyDescent="0.2">
      <c r="A4396" s="241">
        <v>41402</v>
      </c>
      <c r="B4396" s="242">
        <v>14.7</v>
      </c>
      <c r="C4396" s="238">
        <v>4.8</v>
      </c>
    </row>
    <row r="4397" spans="1:3" x14ac:dyDescent="0.2">
      <c r="A4397" s="241">
        <v>41403</v>
      </c>
      <c r="B4397" s="242">
        <v>11.6</v>
      </c>
      <c r="C4397" s="238">
        <v>12.4</v>
      </c>
    </row>
    <row r="4398" spans="1:3" x14ac:dyDescent="0.2">
      <c r="A4398" s="241">
        <v>41404</v>
      </c>
      <c r="B4398" s="242">
        <v>11.1</v>
      </c>
      <c r="C4398" s="238">
        <v>6.6</v>
      </c>
    </row>
    <row r="4399" spans="1:3" x14ac:dyDescent="0.2">
      <c r="A4399" s="241">
        <v>41405</v>
      </c>
      <c r="B4399" s="242">
        <v>10.1</v>
      </c>
      <c r="C4399" s="238">
        <v>4.9000000000000004</v>
      </c>
    </row>
    <row r="4400" spans="1:3" x14ac:dyDescent="0.2">
      <c r="A4400" s="241">
        <v>41406</v>
      </c>
      <c r="B4400" s="242">
        <v>9.1</v>
      </c>
      <c r="C4400" s="238">
        <v>4.2</v>
      </c>
    </row>
    <row r="4401" spans="1:3" x14ac:dyDescent="0.2">
      <c r="A4401" s="241">
        <v>41407</v>
      </c>
      <c r="B4401" s="242">
        <v>10.199999999999999</v>
      </c>
      <c r="C4401" s="238">
        <v>3.1</v>
      </c>
    </row>
    <row r="4402" spans="1:3" x14ac:dyDescent="0.2">
      <c r="A4402" s="241">
        <v>41408</v>
      </c>
      <c r="B4402" s="242">
        <v>9.6999999999999993</v>
      </c>
      <c r="C4402" s="238">
        <v>6.3</v>
      </c>
    </row>
    <row r="4403" spans="1:3" x14ac:dyDescent="0.2">
      <c r="A4403" s="241">
        <v>41409</v>
      </c>
      <c r="B4403" s="242">
        <v>10.8</v>
      </c>
      <c r="C4403" s="238">
        <v>4.7</v>
      </c>
    </row>
    <row r="4404" spans="1:3" x14ac:dyDescent="0.2">
      <c r="A4404" s="241">
        <v>41410</v>
      </c>
      <c r="B4404" s="242">
        <v>8.6999999999999993</v>
      </c>
      <c r="C4404" s="238">
        <v>0</v>
      </c>
    </row>
    <row r="4405" spans="1:3" x14ac:dyDescent="0.2">
      <c r="A4405" s="241">
        <v>41411</v>
      </c>
      <c r="B4405" s="242">
        <v>8.6999999999999993</v>
      </c>
      <c r="C4405" s="238">
        <v>0</v>
      </c>
    </row>
    <row r="4406" spans="1:3" x14ac:dyDescent="0.2">
      <c r="A4406" s="241">
        <v>41412</v>
      </c>
      <c r="B4406" s="242">
        <v>9.1</v>
      </c>
      <c r="C4406" s="238">
        <v>4.2</v>
      </c>
    </row>
    <row r="4407" spans="1:3" x14ac:dyDescent="0.2">
      <c r="A4407" s="241">
        <v>41413</v>
      </c>
      <c r="B4407" s="242">
        <v>10.4</v>
      </c>
      <c r="C4407" s="238">
        <v>1.7</v>
      </c>
    </row>
    <row r="4408" spans="1:3" x14ac:dyDescent="0.2">
      <c r="A4408" s="241">
        <v>41414</v>
      </c>
      <c r="B4408" s="242">
        <v>10.199999999999999</v>
      </c>
      <c r="C4408" s="238">
        <v>0</v>
      </c>
    </row>
    <row r="4409" spans="1:3" x14ac:dyDescent="0.2">
      <c r="A4409" s="241">
        <v>41415</v>
      </c>
      <c r="B4409" s="242">
        <v>9.3000000000000007</v>
      </c>
      <c r="C4409" s="238">
        <v>0</v>
      </c>
    </row>
    <row r="4410" spans="1:3" x14ac:dyDescent="0.2">
      <c r="A4410" s="241">
        <v>41416</v>
      </c>
      <c r="B4410" s="242">
        <v>9.1999999999999993</v>
      </c>
      <c r="C4410" s="238">
        <v>7.8</v>
      </c>
    </row>
    <row r="4411" spans="1:3" x14ac:dyDescent="0.2">
      <c r="A4411" s="241">
        <v>41417</v>
      </c>
      <c r="B4411" s="242">
        <v>7.7</v>
      </c>
      <c r="C4411" s="238">
        <v>9.3000000000000007</v>
      </c>
    </row>
    <row r="4412" spans="1:3" x14ac:dyDescent="0.2">
      <c r="A4412" s="241">
        <v>41418</v>
      </c>
      <c r="B4412" s="242">
        <v>7.3</v>
      </c>
      <c r="C4412" s="238">
        <v>5.2</v>
      </c>
    </row>
    <row r="4413" spans="1:3" x14ac:dyDescent="0.2">
      <c r="A4413" s="241">
        <v>41419</v>
      </c>
      <c r="B4413" s="242">
        <v>8</v>
      </c>
      <c r="C4413" s="238">
        <v>1.5</v>
      </c>
    </row>
    <row r="4414" spans="1:3" x14ac:dyDescent="0.2">
      <c r="A4414" s="241">
        <v>41420</v>
      </c>
      <c r="B4414" s="242">
        <v>9.3000000000000007</v>
      </c>
      <c r="C4414" s="238">
        <v>4.4000000000000004</v>
      </c>
    </row>
    <row r="4415" spans="1:3" x14ac:dyDescent="0.2">
      <c r="A4415" s="241">
        <v>41421</v>
      </c>
      <c r="B4415" s="242">
        <v>11.2</v>
      </c>
      <c r="C4415" s="238">
        <v>15.2</v>
      </c>
    </row>
    <row r="4416" spans="1:3" x14ac:dyDescent="0.2">
      <c r="A4416" s="241">
        <v>41422</v>
      </c>
      <c r="B4416" s="242">
        <v>15.5</v>
      </c>
      <c r="C4416" s="238">
        <v>14.3</v>
      </c>
    </row>
    <row r="4417" spans="1:3" x14ac:dyDescent="0.2">
      <c r="A4417" s="241">
        <v>41423</v>
      </c>
      <c r="B4417" s="242">
        <v>11.5</v>
      </c>
      <c r="C4417" s="238">
        <v>5.6</v>
      </c>
    </row>
    <row r="4418" spans="1:3" x14ac:dyDescent="0.2">
      <c r="A4418" s="241">
        <v>41424</v>
      </c>
      <c r="B4418" s="242">
        <v>12.3</v>
      </c>
      <c r="C4418" s="238">
        <v>0.6</v>
      </c>
    </row>
    <row r="4419" spans="1:3" x14ac:dyDescent="0.2">
      <c r="A4419" s="241">
        <v>41425</v>
      </c>
      <c r="B4419" s="242">
        <v>11.4</v>
      </c>
      <c r="C4419" s="238">
        <v>6.9</v>
      </c>
    </row>
    <row r="4420" spans="1:3" x14ac:dyDescent="0.2">
      <c r="A4420" s="241">
        <v>41426</v>
      </c>
      <c r="B4420" s="242">
        <v>10</v>
      </c>
      <c r="C4420" s="238">
        <v>3.5</v>
      </c>
    </row>
    <row r="4421" spans="1:3" x14ac:dyDescent="0.2">
      <c r="A4421" s="241">
        <v>41427</v>
      </c>
      <c r="B4421" s="242">
        <v>10.7</v>
      </c>
      <c r="C4421" s="238">
        <v>14.4</v>
      </c>
    </row>
    <row r="4422" spans="1:3" x14ac:dyDescent="0.2">
      <c r="A4422" s="241">
        <v>41428</v>
      </c>
      <c r="B4422" s="242">
        <v>10.1</v>
      </c>
      <c r="C4422" s="238">
        <v>5.2</v>
      </c>
    </row>
    <row r="4423" spans="1:3" x14ac:dyDescent="0.2">
      <c r="A4423" s="241">
        <v>41429</v>
      </c>
      <c r="B4423" s="242">
        <v>11.5</v>
      </c>
      <c r="C4423" s="238">
        <v>13</v>
      </c>
    </row>
    <row r="4424" spans="1:3" x14ac:dyDescent="0.2">
      <c r="A4424" s="241">
        <v>41430</v>
      </c>
      <c r="B4424" s="242">
        <v>12.3</v>
      </c>
      <c r="C4424" s="238">
        <v>14.5</v>
      </c>
    </row>
    <row r="4425" spans="1:3" x14ac:dyDescent="0.2">
      <c r="A4425" s="241">
        <v>41431</v>
      </c>
      <c r="B4425" s="242">
        <v>15</v>
      </c>
      <c r="C4425" s="238">
        <v>14.9</v>
      </c>
    </row>
    <row r="4426" spans="1:3" x14ac:dyDescent="0.2">
      <c r="A4426" s="241">
        <v>41432</v>
      </c>
      <c r="B4426" s="242">
        <v>15</v>
      </c>
      <c r="C4426" s="238">
        <v>15</v>
      </c>
    </row>
    <row r="4427" spans="1:3" x14ac:dyDescent="0.2">
      <c r="A4427" s="241">
        <v>41433</v>
      </c>
      <c r="B4427" s="242">
        <v>13.1</v>
      </c>
      <c r="C4427" s="238">
        <v>12.8</v>
      </c>
    </row>
    <row r="4428" spans="1:3" x14ac:dyDescent="0.2">
      <c r="A4428" s="241">
        <v>41434</v>
      </c>
      <c r="B4428" s="242">
        <v>11.9</v>
      </c>
      <c r="C4428" s="238">
        <v>1.2</v>
      </c>
    </row>
    <row r="4429" spans="1:3" x14ac:dyDescent="0.2">
      <c r="A4429" s="241">
        <v>41435</v>
      </c>
      <c r="B4429" s="242">
        <v>11.6</v>
      </c>
      <c r="C4429" s="238">
        <v>3</v>
      </c>
    </row>
    <row r="4430" spans="1:3" x14ac:dyDescent="0.2">
      <c r="A4430" s="241">
        <v>41436</v>
      </c>
      <c r="B4430" s="242">
        <v>14.9</v>
      </c>
      <c r="C4430" s="238">
        <v>3.8</v>
      </c>
    </row>
    <row r="4431" spans="1:3" x14ac:dyDescent="0.2">
      <c r="A4431" s="241">
        <v>41437</v>
      </c>
      <c r="B4431" s="242">
        <v>16.7</v>
      </c>
      <c r="C4431" s="238">
        <v>1.5</v>
      </c>
    </row>
    <row r="4432" spans="1:3" x14ac:dyDescent="0.2">
      <c r="A4432" s="241">
        <v>41438</v>
      </c>
      <c r="B4432" s="242">
        <v>14.4</v>
      </c>
      <c r="C4432" s="238">
        <v>4.2</v>
      </c>
    </row>
    <row r="4433" spans="1:3" x14ac:dyDescent="0.2">
      <c r="A4433" s="241">
        <v>41439</v>
      </c>
      <c r="B4433" s="242">
        <v>13.5</v>
      </c>
      <c r="C4433" s="238">
        <v>10.199999999999999</v>
      </c>
    </row>
    <row r="4434" spans="1:3" x14ac:dyDescent="0.2">
      <c r="A4434" s="241">
        <v>41440</v>
      </c>
      <c r="B4434" s="242">
        <v>13.8</v>
      </c>
      <c r="C4434" s="238">
        <v>8.1999999999999993</v>
      </c>
    </row>
    <row r="4435" spans="1:3" x14ac:dyDescent="0.2">
      <c r="A4435" s="241">
        <v>41441</v>
      </c>
      <c r="B4435" s="242">
        <v>13.1</v>
      </c>
      <c r="C4435" s="238">
        <v>7.7</v>
      </c>
    </row>
    <row r="4436" spans="1:3" x14ac:dyDescent="0.2">
      <c r="A4436" s="241">
        <v>41442</v>
      </c>
      <c r="B4436" s="242">
        <v>15.9</v>
      </c>
      <c r="C4436" s="238">
        <v>8.1</v>
      </c>
    </row>
    <row r="4437" spans="1:3" x14ac:dyDescent="0.2">
      <c r="A4437" s="241">
        <v>41443</v>
      </c>
      <c r="B4437" s="242">
        <v>19.600000000000001</v>
      </c>
      <c r="C4437" s="238">
        <v>6.5</v>
      </c>
    </row>
    <row r="4438" spans="1:3" x14ac:dyDescent="0.2">
      <c r="A4438" s="241">
        <v>41444</v>
      </c>
      <c r="B4438" s="242">
        <v>17.8</v>
      </c>
      <c r="C4438" s="238">
        <v>1.5</v>
      </c>
    </row>
    <row r="4439" spans="1:3" x14ac:dyDescent="0.2">
      <c r="A4439" s="241">
        <v>41445</v>
      </c>
      <c r="B4439" s="242">
        <v>18.3</v>
      </c>
      <c r="C4439" s="238">
        <v>0.8</v>
      </c>
    </row>
    <row r="4440" spans="1:3" x14ac:dyDescent="0.2">
      <c r="A4440" s="241">
        <v>41446</v>
      </c>
      <c r="B4440" s="242">
        <v>14.3</v>
      </c>
      <c r="C4440" s="238">
        <v>0</v>
      </c>
    </row>
    <row r="4441" spans="1:3" x14ac:dyDescent="0.2">
      <c r="A4441" s="241">
        <v>41447</v>
      </c>
      <c r="B4441" s="242">
        <v>14.6</v>
      </c>
      <c r="C4441" s="238">
        <v>2.7</v>
      </c>
    </row>
    <row r="4442" spans="1:3" x14ac:dyDescent="0.2">
      <c r="A4442" s="241">
        <v>41448</v>
      </c>
      <c r="B4442" s="242">
        <v>14.3</v>
      </c>
      <c r="C4442" s="238">
        <v>2.9</v>
      </c>
    </row>
    <row r="4443" spans="1:3" x14ac:dyDescent="0.2">
      <c r="A4443" s="241">
        <v>41449</v>
      </c>
      <c r="B4443" s="242">
        <v>13</v>
      </c>
      <c r="C4443" s="238">
        <v>1.2</v>
      </c>
    </row>
    <row r="4444" spans="1:3" x14ac:dyDescent="0.2">
      <c r="A4444" s="241">
        <v>41450</v>
      </c>
      <c r="B4444" s="242">
        <v>12.5</v>
      </c>
      <c r="C4444" s="238">
        <v>12.5</v>
      </c>
    </row>
    <row r="4445" spans="1:3" x14ac:dyDescent="0.2">
      <c r="A4445" s="241">
        <v>41451</v>
      </c>
      <c r="B4445" s="242">
        <v>12.5</v>
      </c>
      <c r="C4445" s="238">
        <v>5</v>
      </c>
    </row>
    <row r="4446" spans="1:3" x14ac:dyDescent="0.2">
      <c r="A4446" s="241">
        <v>41452</v>
      </c>
      <c r="B4446" s="242">
        <v>12.8</v>
      </c>
      <c r="C4446" s="238">
        <v>3.3</v>
      </c>
    </row>
    <row r="4447" spans="1:3" x14ac:dyDescent="0.2">
      <c r="A4447" s="241">
        <v>41453</v>
      </c>
      <c r="B4447" s="242">
        <v>13.8</v>
      </c>
      <c r="C4447" s="238">
        <v>0.5</v>
      </c>
    </row>
    <row r="4448" spans="1:3" x14ac:dyDescent="0.2">
      <c r="A4448" s="241">
        <v>41454</v>
      </c>
      <c r="B4448" s="242">
        <v>13.6</v>
      </c>
      <c r="C4448" s="238">
        <v>5.6</v>
      </c>
    </row>
    <row r="4449" spans="1:3" x14ac:dyDescent="0.2">
      <c r="A4449" s="241">
        <v>41455</v>
      </c>
      <c r="B4449" s="242">
        <v>15.7</v>
      </c>
      <c r="C4449" s="238">
        <v>9.5</v>
      </c>
    </row>
    <row r="4450" spans="1:3" x14ac:dyDescent="0.2">
      <c r="A4450" s="241">
        <v>41456</v>
      </c>
      <c r="B4450" s="242">
        <v>14.4</v>
      </c>
      <c r="C4450" s="238">
        <v>3.6</v>
      </c>
    </row>
    <row r="4451" spans="1:3" x14ac:dyDescent="0.2">
      <c r="A4451" s="241">
        <v>41457</v>
      </c>
      <c r="B4451" s="242">
        <v>14.8</v>
      </c>
      <c r="C4451" s="238">
        <v>5.7</v>
      </c>
    </row>
    <row r="4452" spans="1:3" x14ac:dyDescent="0.2">
      <c r="A4452" s="241">
        <v>41458</v>
      </c>
      <c r="B4452" s="242">
        <v>15.6</v>
      </c>
      <c r="C4452" s="238">
        <v>0.4</v>
      </c>
    </row>
    <row r="4453" spans="1:3" x14ac:dyDescent="0.2">
      <c r="A4453" s="241">
        <v>41459</v>
      </c>
      <c r="B4453" s="242">
        <v>16.399999999999999</v>
      </c>
      <c r="C4453" s="238">
        <v>6.6</v>
      </c>
    </row>
    <row r="4454" spans="1:3" x14ac:dyDescent="0.2">
      <c r="A4454" s="241">
        <v>41460</v>
      </c>
      <c r="B4454" s="242">
        <v>15.7</v>
      </c>
      <c r="C4454" s="238">
        <v>12</v>
      </c>
    </row>
    <row r="4455" spans="1:3" x14ac:dyDescent="0.2">
      <c r="A4455" s="241">
        <v>41461</v>
      </c>
      <c r="B4455" s="242">
        <v>18.7</v>
      </c>
      <c r="C4455" s="238">
        <v>14.3</v>
      </c>
    </row>
    <row r="4456" spans="1:3" x14ac:dyDescent="0.2">
      <c r="A4456" s="241">
        <v>41462</v>
      </c>
      <c r="B4456" s="242">
        <v>18.3</v>
      </c>
      <c r="C4456" s="238">
        <v>14.7</v>
      </c>
    </row>
    <row r="4457" spans="1:3" x14ac:dyDescent="0.2">
      <c r="A4457" s="241">
        <v>41463</v>
      </c>
      <c r="B4457" s="242">
        <v>18.2</v>
      </c>
      <c r="C4457" s="238">
        <v>15.3</v>
      </c>
    </row>
    <row r="4458" spans="1:3" x14ac:dyDescent="0.2">
      <c r="A4458" s="241">
        <v>41464</v>
      </c>
      <c r="B4458" s="242">
        <v>16.3</v>
      </c>
      <c r="C4458" s="238">
        <v>14.2</v>
      </c>
    </row>
    <row r="4459" spans="1:3" x14ac:dyDescent="0.2">
      <c r="A4459" s="241">
        <v>41465</v>
      </c>
      <c r="B4459" s="242">
        <v>14.5</v>
      </c>
      <c r="C4459" s="238">
        <v>2.7</v>
      </c>
    </row>
    <row r="4460" spans="1:3" x14ac:dyDescent="0.2">
      <c r="A4460" s="241">
        <v>41466</v>
      </c>
      <c r="B4460" s="242">
        <v>14.4</v>
      </c>
      <c r="C4460" s="238">
        <v>0.3</v>
      </c>
    </row>
    <row r="4461" spans="1:3" x14ac:dyDescent="0.2">
      <c r="A4461" s="241">
        <v>41467</v>
      </c>
      <c r="B4461" s="242">
        <v>14.9</v>
      </c>
      <c r="C4461" s="238">
        <v>5</v>
      </c>
    </row>
    <row r="4462" spans="1:3" x14ac:dyDescent="0.2">
      <c r="A4462" s="241">
        <v>41468</v>
      </c>
      <c r="B4462" s="242">
        <v>15.2</v>
      </c>
      <c r="C4462" s="238">
        <v>9.9</v>
      </c>
    </row>
    <row r="4463" spans="1:3" x14ac:dyDescent="0.2">
      <c r="A4463" s="241">
        <v>41469</v>
      </c>
      <c r="B4463" s="242">
        <v>15.6</v>
      </c>
      <c r="C4463" s="238">
        <v>7.4</v>
      </c>
    </row>
    <row r="4464" spans="1:3" x14ac:dyDescent="0.2">
      <c r="A4464" s="241">
        <v>41470</v>
      </c>
      <c r="B4464" s="242">
        <v>15.2</v>
      </c>
      <c r="C4464" s="238">
        <v>14.2</v>
      </c>
    </row>
    <row r="4465" spans="1:3" x14ac:dyDescent="0.2">
      <c r="A4465" s="241">
        <v>41471</v>
      </c>
      <c r="B4465" s="242">
        <v>16</v>
      </c>
      <c r="C4465" s="238">
        <v>8.6999999999999993</v>
      </c>
    </row>
    <row r="4466" spans="1:3" x14ac:dyDescent="0.2">
      <c r="A4466" s="241">
        <v>41472</v>
      </c>
      <c r="B4466" s="242">
        <v>18.5</v>
      </c>
      <c r="C4466" s="238">
        <v>11</v>
      </c>
    </row>
    <row r="4467" spans="1:3" x14ac:dyDescent="0.2">
      <c r="A4467" s="241">
        <v>41473</v>
      </c>
      <c r="B4467" s="242">
        <v>18.8</v>
      </c>
      <c r="C4467" s="238">
        <v>12.8</v>
      </c>
    </row>
    <row r="4468" spans="1:3" x14ac:dyDescent="0.2">
      <c r="A4468" s="241">
        <v>41474</v>
      </c>
      <c r="B4468" s="242">
        <v>19.3</v>
      </c>
      <c r="C4468" s="238">
        <v>14.2</v>
      </c>
    </row>
    <row r="4469" spans="1:3" x14ac:dyDescent="0.2">
      <c r="A4469" s="241">
        <v>41475</v>
      </c>
      <c r="B4469" s="242">
        <v>18.600000000000001</v>
      </c>
      <c r="C4469" s="238">
        <v>4.9000000000000004</v>
      </c>
    </row>
    <row r="4470" spans="1:3" x14ac:dyDescent="0.2">
      <c r="A4470" s="241">
        <v>41476</v>
      </c>
      <c r="B4470" s="242">
        <v>23</v>
      </c>
      <c r="C4470" s="238">
        <v>13.5</v>
      </c>
    </row>
    <row r="4471" spans="1:3" x14ac:dyDescent="0.2">
      <c r="A4471" s="241">
        <v>41477</v>
      </c>
      <c r="B4471" s="242">
        <v>23.1</v>
      </c>
      <c r="C4471" s="238">
        <v>12</v>
      </c>
    </row>
    <row r="4472" spans="1:3" x14ac:dyDescent="0.2">
      <c r="A4472" s="241">
        <v>41478</v>
      </c>
      <c r="B4472" s="242">
        <v>20.6</v>
      </c>
      <c r="C4472" s="238">
        <v>13.4</v>
      </c>
    </row>
    <row r="4473" spans="1:3" x14ac:dyDescent="0.2">
      <c r="A4473" s="241">
        <v>41479</v>
      </c>
      <c r="B4473" s="242">
        <v>18.399999999999999</v>
      </c>
      <c r="C4473" s="238">
        <v>5.0999999999999996</v>
      </c>
    </row>
    <row r="4474" spans="1:3" x14ac:dyDescent="0.2">
      <c r="A4474" s="241">
        <v>41480</v>
      </c>
      <c r="B4474" s="242">
        <v>19.100000000000001</v>
      </c>
      <c r="C4474" s="238">
        <v>8.8000000000000007</v>
      </c>
    </row>
    <row r="4475" spans="1:3" x14ac:dyDescent="0.2">
      <c r="A4475" s="241">
        <v>41481</v>
      </c>
      <c r="B4475" s="242">
        <v>19.3</v>
      </c>
      <c r="C4475" s="238">
        <v>3.1</v>
      </c>
    </row>
    <row r="4476" spans="1:3" x14ac:dyDescent="0.2">
      <c r="A4476" s="241">
        <v>41482</v>
      </c>
      <c r="B4476" s="242">
        <v>20.5</v>
      </c>
      <c r="C4476" s="238">
        <v>4.8</v>
      </c>
    </row>
    <row r="4477" spans="1:3" x14ac:dyDescent="0.2">
      <c r="A4477" s="241">
        <v>41483</v>
      </c>
      <c r="B4477" s="242">
        <v>19.100000000000001</v>
      </c>
      <c r="C4477" s="238">
        <v>8.4</v>
      </c>
    </row>
    <row r="4478" spans="1:3" x14ac:dyDescent="0.2">
      <c r="A4478" s="241">
        <v>41484</v>
      </c>
      <c r="B4478" s="242">
        <v>19.600000000000001</v>
      </c>
      <c r="C4478" s="238">
        <v>12.3</v>
      </c>
    </row>
    <row r="4479" spans="1:3" x14ac:dyDescent="0.2">
      <c r="A4479" s="241">
        <v>41485</v>
      </c>
      <c r="B4479" s="242">
        <v>17.8</v>
      </c>
      <c r="C4479" s="238">
        <v>1.8</v>
      </c>
    </row>
    <row r="4480" spans="1:3" x14ac:dyDescent="0.2">
      <c r="A4480" s="241">
        <v>41486</v>
      </c>
      <c r="B4480" s="242">
        <v>19</v>
      </c>
      <c r="C4480" s="238">
        <v>4.2</v>
      </c>
    </row>
    <row r="4481" spans="1:3" x14ac:dyDescent="0.2">
      <c r="A4481" s="241">
        <v>41487</v>
      </c>
      <c r="B4481" s="242">
        <v>25</v>
      </c>
      <c r="C4481" s="238">
        <v>12.4</v>
      </c>
    </row>
    <row r="4482" spans="1:3" x14ac:dyDescent="0.2">
      <c r="A4482" s="241">
        <v>41488</v>
      </c>
      <c r="B4482" s="242">
        <v>23.6</v>
      </c>
      <c r="C4482" s="238">
        <v>11.7</v>
      </c>
    </row>
    <row r="4483" spans="1:3" x14ac:dyDescent="0.2">
      <c r="A4483" s="241">
        <v>41489</v>
      </c>
      <c r="B4483" s="242">
        <v>19.7</v>
      </c>
      <c r="C4483" s="238">
        <v>12.8</v>
      </c>
    </row>
    <row r="4484" spans="1:3" x14ac:dyDescent="0.2">
      <c r="A4484" s="241">
        <v>41490</v>
      </c>
      <c r="B4484" s="242">
        <v>18.5</v>
      </c>
      <c r="C4484" s="238">
        <v>12.2</v>
      </c>
    </row>
    <row r="4485" spans="1:3" x14ac:dyDescent="0.2">
      <c r="A4485" s="241">
        <v>41491</v>
      </c>
      <c r="B4485" s="242">
        <v>20.8</v>
      </c>
      <c r="C4485" s="238">
        <v>8.6</v>
      </c>
    </row>
    <row r="4486" spans="1:3" x14ac:dyDescent="0.2">
      <c r="A4486" s="241">
        <v>41492</v>
      </c>
      <c r="B4486" s="242">
        <v>17.3</v>
      </c>
      <c r="C4486" s="238">
        <v>9.6</v>
      </c>
    </row>
    <row r="4487" spans="1:3" x14ac:dyDescent="0.2">
      <c r="A4487" s="241">
        <v>41493</v>
      </c>
      <c r="B4487" s="242">
        <v>15.6</v>
      </c>
      <c r="C4487" s="238">
        <v>0.3</v>
      </c>
    </row>
    <row r="4488" spans="1:3" x14ac:dyDescent="0.2">
      <c r="A4488" s="241">
        <v>41494</v>
      </c>
      <c r="B4488" s="242">
        <v>16.5</v>
      </c>
      <c r="C4488" s="238">
        <v>12.8</v>
      </c>
    </row>
    <row r="4489" spans="1:3" x14ac:dyDescent="0.2">
      <c r="A4489" s="241">
        <v>41495</v>
      </c>
      <c r="B4489" s="242">
        <v>17.8</v>
      </c>
      <c r="C4489" s="238">
        <v>3.7</v>
      </c>
    </row>
    <row r="4490" spans="1:3" x14ac:dyDescent="0.2">
      <c r="A4490" s="241">
        <v>41496</v>
      </c>
      <c r="B4490" s="242">
        <v>17</v>
      </c>
      <c r="C4490" s="238">
        <v>8.4</v>
      </c>
    </row>
    <row r="4491" spans="1:3" x14ac:dyDescent="0.2">
      <c r="A4491" s="241">
        <v>41497</v>
      </c>
      <c r="B4491" s="242">
        <v>18</v>
      </c>
      <c r="C4491" s="238">
        <v>7.5</v>
      </c>
    </row>
    <row r="4492" spans="1:3" x14ac:dyDescent="0.2">
      <c r="A4492" s="241">
        <v>41498</v>
      </c>
      <c r="B4492" s="242">
        <v>17.600000000000001</v>
      </c>
      <c r="C4492" s="238">
        <v>7.1</v>
      </c>
    </row>
    <row r="4493" spans="1:3" x14ac:dyDescent="0.2">
      <c r="A4493" s="241">
        <v>41499</v>
      </c>
      <c r="B4493" s="242">
        <v>15.9</v>
      </c>
      <c r="C4493" s="238">
        <v>10.4</v>
      </c>
    </row>
    <row r="4494" spans="1:3" x14ac:dyDescent="0.2">
      <c r="A4494" s="241">
        <v>41500</v>
      </c>
      <c r="B4494" s="242">
        <v>15.8</v>
      </c>
      <c r="C4494" s="238">
        <v>13.2</v>
      </c>
    </row>
    <row r="4495" spans="1:3" x14ac:dyDescent="0.2">
      <c r="A4495" s="241">
        <v>41501</v>
      </c>
      <c r="B4495" s="242">
        <v>18</v>
      </c>
      <c r="C4495" s="238">
        <v>4.8</v>
      </c>
    </row>
    <row r="4496" spans="1:3" x14ac:dyDescent="0.2">
      <c r="A4496" s="241">
        <v>41502</v>
      </c>
      <c r="B4496" s="242">
        <v>19.5</v>
      </c>
      <c r="C4496" s="238">
        <v>3.9</v>
      </c>
    </row>
    <row r="4497" spans="1:3" x14ac:dyDescent="0.2">
      <c r="A4497" s="241">
        <v>41503</v>
      </c>
      <c r="B4497" s="242">
        <v>19.100000000000001</v>
      </c>
      <c r="C4497" s="238">
        <v>5.8</v>
      </c>
    </row>
    <row r="4498" spans="1:3" x14ac:dyDescent="0.2">
      <c r="A4498" s="241">
        <v>41504</v>
      </c>
      <c r="B4498" s="242">
        <v>18.5</v>
      </c>
      <c r="C4498" s="238">
        <v>5.4</v>
      </c>
    </row>
    <row r="4499" spans="1:3" x14ac:dyDescent="0.2">
      <c r="A4499" s="241">
        <v>41505</v>
      </c>
      <c r="B4499" s="242">
        <v>16.8</v>
      </c>
      <c r="C4499" s="238">
        <v>7.6</v>
      </c>
    </row>
    <row r="4500" spans="1:3" x14ac:dyDescent="0.2">
      <c r="A4500" s="241">
        <v>41506</v>
      </c>
      <c r="B4500" s="242">
        <v>16.8</v>
      </c>
      <c r="C4500" s="238">
        <v>8.9</v>
      </c>
    </row>
    <row r="4501" spans="1:3" x14ac:dyDescent="0.2">
      <c r="A4501" s="241">
        <v>41507</v>
      </c>
      <c r="B4501" s="242">
        <v>16.8</v>
      </c>
      <c r="C4501" s="238">
        <v>8.6999999999999993</v>
      </c>
    </row>
    <row r="4502" spans="1:3" x14ac:dyDescent="0.2">
      <c r="A4502" s="241">
        <v>41508</v>
      </c>
      <c r="B4502" s="242">
        <v>16.899999999999999</v>
      </c>
      <c r="C4502" s="238">
        <v>3.4</v>
      </c>
    </row>
    <row r="4503" spans="1:3" x14ac:dyDescent="0.2">
      <c r="A4503" s="241">
        <v>41509</v>
      </c>
      <c r="B4503" s="242">
        <v>19.7</v>
      </c>
      <c r="C4503" s="238">
        <v>11.4</v>
      </c>
    </row>
    <row r="4504" spans="1:3" x14ac:dyDescent="0.2">
      <c r="A4504" s="241">
        <v>41510</v>
      </c>
      <c r="B4504" s="242">
        <v>19.5</v>
      </c>
      <c r="C4504" s="238">
        <v>2</v>
      </c>
    </row>
    <row r="4505" spans="1:3" x14ac:dyDescent="0.2">
      <c r="A4505" s="241">
        <v>41511</v>
      </c>
      <c r="B4505" s="242">
        <v>18.600000000000001</v>
      </c>
      <c r="C4505" s="238">
        <v>4</v>
      </c>
    </row>
    <row r="4506" spans="1:3" x14ac:dyDescent="0.2">
      <c r="A4506" s="241">
        <v>41512</v>
      </c>
      <c r="B4506" s="242">
        <v>18.2</v>
      </c>
      <c r="C4506" s="238">
        <v>12.7</v>
      </c>
    </row>
    <row r="4507" spans="1:3" x14ac:dyDescent="0.2">
      <c r="A4507" s="241">
        <v>41513</v>
      </c>
      <c r="B4507" s="242">
        <v>18.100000000000001</v>
      </c>
      <c r="C4507" s="238">
        <v>10.4</v>
      </c>
    </row>
    <row r="4508" spans="1:3" x14ac:dyDescent="0.2">
      <c r="A4508" s="241">
        <v>41514</v>
      </c>
      <c r="B4508" s="242">
        <v>17.2</v>
      </c>
      <c r="C4508" s="238">
        <v>8.4</v>
      </c>
    </row>
    <row r="4509" spans="1:3" x14ac:dyDescent="0.2">
      <c r="A4509" s="241">
        <v>41515</v>
      </c>
      <c r="B4509" s="242">
        <v>16.7</v>
      </c>
      <c r="C4509" s="238">
        <v>9.3000000000000007</v>
      </c>
    </row>
    <row r="4510" spans="1:3" x14ac:dyDescent="0.2">
      <c r="A4510" s="241">
        <v>41516</v>
      </c>
      <c r="B4510" s="242">
        <v>19.100000000000001</v>
      </c>
      <c r="C4510" s="238">
        <v>8.1999999999999993</v>
      </c>
    </row>
    <row r="4511" spans="1:3" x14ac:dyDescent="0.2">
      <c r="A4511" s="241">
        <v>41517</v>
      </c>
      <c r="B4511" s="242">
        <v>17.3</v>
      </c>
      <c r="C4511" s="238">
        <v>7.8</v>
      </c>
    </row>
    <row r="4512" spans="1:3" x14ac:dyDescent="0.2">
      <c r="A4512" s="241">
        <v>41518</v>
      </c>
      <c r="B4512" s="242">
        <v>16.2</v>
      </c>
      <c r="C4512" s="238">
        <v>0.4</v>
      </c>
    </row>
    <row r="4513" spans="1:3" x14ac:dyDescent="0.2">
      <c r="A4513" s="241">
        <v>41519</v>
      </c>
      <c r="B4513" s="242">
        <v>17.600000000000001</v>
      </c>
      <c r="C4513" s="238">
        <v>4.0999999999999996</v>
      </c>
    </row>
    <row r="4514" spans="1:3" x14ac:dyDescent="0.2">
      <c r="A4514" s="241">
        <v>41520</v>
      </c>
      <c r="B4514" s="242">
        <v>18.5</v>
      </c>
      <c r="C4514" s="238">
        <v>8.1999999999999993</v>
      </c>
    </row>
    <row r="4515" spans="1:3" x14ac:dyDescent="0.2">
      <c r="A4515" s="241">
        <v>41521</v>
      </c>
      <c r="B4515" s="242">
        <v>19.7</v>
      </c>
      <c r="C4515" s="238">
        <v>5.7</v>
      </c>
    </row>
    <row r="4516" spans="1:3" x14ac:dyDescent="0.2">
      <c r="A4516" s="241">
        <v>41522</v>
      </c>
      <c r="B4516" s="242">
        <v>23.4</v>
      </c>
      <c r="C4516" s="238">
        <v>11.6</v>
      </c>
    </row>
    <row r="4517" spans="1:3" x14ac:dyDescent="0.2">
      <c r="A4517" s="241">
        <v>41523</v>
      </c>
      <c r="B4517" s="242">
        <v>19</v>
      </c>
      <c r="C4517" s="238">
        <v>6.3</v>
      </c>
    </row>
    <row r="4518" spans="1:3" x14ac:dyDescent="0.2">
      <c r="A4518" s="241">
        <v>41524</v>
      </c>
      <c r="B4518" s="242">
        <v>16.8</v>
      </c>
      <c r="C4518" s="238">
        <v>3</v>
      </c>
    </row>
    <row r="4519" spans="1:3" x14ac:dyDescent="0.2">
      <c r="A4519" s="241">
        <v>41525</v>
      </c>
      <c r="B4519" s="242">
        <v>14.2</v>
      </c>
      <c r="C4519" s="238">
        <v>3.7</v>
      </c>
    </row>
    <row r="4520" spans="1:3" x14ac:dyDescent="0.2">
      <c r="A4520" s="241">
        <v>41526</v>
      </c>
      <c r="B4520" s="242">
        <v>13.6</v>
      </c>
      <c r="C4520" s="238">
        <v>3.9</v>
      </c>
    </row>
    <row r="4521" spans="1:3" x14ac:dyDescent="0.2">
      <c r="A4521" s="241">
        <v>41527</v>
      </c>
      <c r="B4521" s="242">
        <v>13.2</v>
      </c>
      <c r="C4521" s="238">
        <v>2</v>
      </c>
    </row>
    <row r="4522" spans="1:3" x14ac:dyDescent="0.2">
      <c r="A4522" s="241">
        <v>41528</v>
      </c>
      <c r="B4522" s="242">
        <v>15.5</v>
      </c>
      <c r="C4522" s="238">
        <v>6.9</v>
      </c>
    </row>
    <row r="4523" spans="1:3" x14ac:dyDescent="0.2">
      <c r="A4523" s="241">
        <v>41529</v>
      </c>
      <c r="B4523" s="242">
        <v>15.4</v>
      </c>
      <c r="C4523" s="238">
        <v>4</v>
      </c>
    </row>
    <row r="4524" spans="1:3" x14ac:dyDescent="0.2">
      <c r="A4524" s="241">
        <v>41530</v>
      </c>
      <c r="B4524" s="242">
        <v>15.4</v>
      </c>
      <c r="C4524" s="238">
        <v>1.2</v>
      </c>
    </row>
    <row r="4525" spans="1:3" x14ac:dyDescent="0.2">
      <c r="A4525" s="241">
        <v>41531</v>
      </c>
      <c r="B4525" s="242">
        <v>15.4</v>
      </c>
      <c r="C4525" s="238">
        <v>0.7</v>
      </c>
    </row>
    <row r="4526" spans="1:3" x14ac:dyDescent="0.2">
      <c r="A4526" s="241">
        <v>41532</v>
      </c>
      <c r="B4526" s="242">
        <v>14.3</v>
      </c>
      <c r="C4526" s="238">
        <v>4.3</v>
      </c>
    </row>
    <row r="4527" spans="1:3" x14ac:dyDescent="0.2">
      <c r="A4527" s="241">
        <v>41533</v>
      </c>
      <c r="B4527" s="242">
        <v>13.3</v>
      </c>
      <c r="C4527" s="238">
        <v>9.3000000000000007</v>
      </c>
    </row>
    <row r="4528" spans="1:3" x14ac:dyDescent="0.2">
      <c r="A4528" s="241">
        <v>41534</v>
      </c>
      <c r="B4528" s="242">
        <v>12.1</v>
      </c>
      <c r="C4528" s="238">
        <v>1.7</v>
      </c>
    </row>
    <row r="4529" spans="1:3" x14ac:dyDescent="0.2">
      <c r="A4529" s="241">
        <v>41535</v>
      </c>
      <c r="B4529" s="242">
        <v>12.4</v>
      </c>
      <c r="C4529" s="238">
        <v>4</v>
      </c>
    </row>
    <row r="4530" spans="1:3" x14ac:dyDescent="0.2">
      <c r="A4530" s="241">
        <v>41536</v>
      </c>
      <c r="B4530" s="242">
        <v>14.1</v>
      </c>
      <c r="C4530" s="238">
        <v>1</v>
      </c>
    </row>
    <row r="4531" spans="1:3" x14ac:dyDescent="0.2">
      <c r="A4531" s="241">
        <v>41537</v>
      </c>
      <c r="B4531" s="242">
        <v>14.8</v>
      </c>
      <c r="C4531" s="238">
        <v>1</v>
      </c>
    </row>
    <row r="4532" spans="1:3" x14ac:dyDescent="0.2">
      <c r="A4532" s="241">
        <v>41538</v>
      </c>
      <c r="B4532" s="242">
        <v>15.2</v>
      </c>
      <c r="C4532" s="238">
        <v>2.1</v>
      </c>
    </row>
    <row r="4533" spans="1:3" x14ac:dyDescent="0.2">
      <c r="A4533" s="241">
        <v>41539</v>
      </c>
      <c r="B4533" s="242">
        <v>16.600000000000001</v>
      </c>
      <c r="C4533" s="238">
        <v>2.2999999999999998</v>
      </c>
    </row>
    <row r="4534" spans="1:3" x14ac:dyDescent="0.2">
      <c r="A4534" s="241">
        <v>41540</v>
      </c>
      <c r="B4534" s="242">
        <v>15.5</v>
      </c>
      <c r="C4534" s="238">
        <v>0.2</v>
      </c>
    </row>
    <row r="4535" spans="1:3" x14ac:dyDescent="0.2">
      <c r="A4535" s="241">
        <v>41541</v>
      </c>
      <c r="B4535" s="242">
        <v>14.9</v>
      </c>
      <c r="C4535" s="238">
        <v>0.7</v>
      </c>
    </row>
    <row r="4536" spans="1:3" x14ac:dyDescent="0.2">
      <c r="A4536" s="241">
        <v>41542</v>
      </c>
      <c r="B4536" s="242">
        <v>14.9</v>
      </c>
      <c r="C4536" s="238">
        <v>0.3</v>
      </c>
    </row>
    <row r="4537" spans="1:3" x14ac:dyDescent="0.2">
      <c r="A4537" s="241">
        <v>41543</v>
      </c>
      <c r="B4537" s="242">
        <v>13.5</v>
      </c>
      <c r="C4537" s="238">
        <v>3.7</v>
      </c>
    </row>
    <row r="4538" spans="1:3" x14ac:dyDescent="0.2">
      <c r="A4538" s="241">
        <v>41544</v>
      </c>
      <c r="B4538" s="242">
        <v>10.199999999999999</v>
      </c>
      <c r="C4538" s="238">
        <v>9.8000000000000007</v>
      </c>
    </row>
    <row r="4539" spans="1:3" x14ac:dyDescent="0.2">
      <c r="A4539" s="241">
        <v>41545</v>
      </c>
      <c r="B4539" s="242">
        <v>12.3</v>
      </c>
      <c r="C4539" s="238">
        <v>10.8</v>
      </c>
    </row>
    <row r="4540" spans="1:3" x14ac:dyDescent="0.2">
      <c r="A4540" s="241">
        <v>41546</v>
      </c>
      <c r="B4540" s="242">
        <v>12.4</v>
      </c>
      <c r="C4540" s="238">
        <v>10.4</v>
      </c>
    </row>
    <row r="4541" spans="1:3" x14ac:dyDescent="0.2">
      <c r="A4541" s="241">
        <v>41547</v>
      </c>
      <c r="B4541" s="242">
        <v>11</v>
      </c>
      <c r="C4541" s="238">
        <v>9.6</v>
      </c>
    </row>
    <row r="4542" spans="1:3" x14ac:dyDescent="0.2">
      <c r="A4542" s="241">
        <v>41548</v>
      </c>
      <c r="B4542" s="242">
        <v>10.4</v>
      </c>
      <c r="C4542" s="238">
        <v>10.4</v>
      </c>
    </row>
    <row r="4543" spans="1:3" x14ac:dyDescent="0.2">
      <c r="A4543" s="241">
        <v>41549</v>
      </c>
      <c r="B4543" s="242">
        <v>10.9</v>
      </c>
      <c r="C4543" s="238">
        <v>8.1</v>
      </c>
    </row>
    <row r="4544" spans="1:3" x14ac:dyDescent="0.2">
      <c r="A4544" s="241">
        <v>41550</v>
      </c>
      <c r="B4544" s="242">
        <v>13.2</v>
      </c>
      <c r="C4544" s="238">
        <v>7.5</v>
      </c>
    </row>
    <row r="4545" spans="1:3" x14ac:dyDescent="0.2">
      <c r="A4545" s="241">
        <v>41551</v>
      </c>
      <c r="B4545" s="242">
        <v>16.2</v>
      </c>
      <c r="C4545" s="238">
        <v>4.2</v>
      </c>
    </row>
    <row r="4546" spans="1:3" x14ac:dyDescent="0.2">
      <c r="A4546" s="241">
        <v>41552</v>
      </c>
      <c r="B4546" s="242">
        <v>15.1</v>
      </c>
      <c r="C4546" s="238">
        <v>1.4</v>
      </c>
    </row>
    <row r="4547" spans="1:3" x14ac:dyDescent="0.2">
      <c r="A4547" s="241">
        <v>41553</v>
      </c>
      <c r="B4547" s="242">
        <v>13.2</v>
      </c>
      <c r="C4547" s="238">
        <v>7.3</v>
      </c>
    </row>
    <row r="4548" spans="1:3" x14ac:dyDescent="0.2">
      <c r="A4548" s="241">
        <v>41554</v>
      </c>
      <c r="B4548" s="242">
        <v>12.3</v>
      </c>
      <c r="C4548" s="238">
        <v>7.7</v>
      </c>
    </row>
    <row r="4549" spans="1:3" x14ac:dyDescent="0.2">
      <c r="A4549" s="241">
        <v>41555</v>
      </c>
      <c r="B4549" s="242">
        <v>15.8</v>
      </c>
      <c r="C4549" s="238">
        <v>3.8</v>
      </c>
    </row>
    <row r="4550" spans="1:3" x14ac:dyDescent="0.2">
      <c r="A4550" s="241">
        <v>41556</v>
      </c>
      <c r="B4550" s="242">
        <v>13.5</v>
      </c>
      <c r="C4550" s="238">
        <v>1.8</v>
      </c>
    </row>
    <row r="4551" spans="1:3" x14ac:dyDescent="0.2">
      <c r="A4551" s="241">
        <v>41557</v>
      </c>
      <c r="B4551" s="242">
        <v>9.3000000000000007</v>
      </c>
      <c r="C4551" s="238">
        <v>4</v>
      </c>
    </row>
    <row r="4552" spans="1:3" x14ac:dyDescent="0.2">
      <c r="A4552" s="241">
        <v>41558</v>
      </c>
      <c r="B4552" s="242">
        <v>10.8</v>
      </c>
      <c r="C4552" s="238">
        <v>0</v>
      </c>
    </row>
    <row r="4553" spans="1:3" x14ac:dyDescent="0.2">
      <c r="A4553" s="241">
        <v>41559</v>
      </c>
      <c r="B4553" s="242">
        <v>9.3000000000000007</v>
      </c>
      <c r="C4553" s="238">
        <v>0.6</v>
      </c>
    </row>
    <row r="4554" spans="1:3" x14ac:dyDescent="0.2">
      <c r="A4554" s="241">
        <v>41560</v>
      </c>
      <c r="B4554" s="242">
        <v>8.6</v>
      </c>
      <c r="C4554" s="238">
        <v>0</v>
      </c>
    </row>
    <row r="4555" spans="1:3" x14ac:dyDescent="0.2">
      <c r="A4555" s="241">
        <v>41561</v>
      </c>
      <c r="B4555" s="242">
        <v>10.3</v>
      </c>
      <c r="C4555" s="238">
        <v>0</v>
      </c>
    </row>
    <row r="4556" spans="1:3" x14ac:dyDescent="0.2">
      <c r="A4556" s="241">
        <v>41562</v>
      </c>
      <c r="B4556" s="242">
        <v>9.3000000000000007</v>
      </c>
      <c r="C4556" s="238">
        <v>0.9</v>
      </c>
    </row>
    <row r="4557" spans="1:3" x14ac:dyDescent="0.2">
      <c r="A4557" s="241">
        <v>41563</v>
      </c>
      <c r="B4557" s="242">
        <v>12.2</v>
      </c>
      <c r="C4557" s="238">
        <v>2</v>
      </c>
    </row>
    <row r="4558" spans="1:3" x14ac:dyDescent="0.2">
      <c r="A4558" s="241">
        <v>41564</v>
      </c>
      <c r="B4558" s="242">
        <v>14</v>
      </c>
      <c r="C4558" s="238">
        <v>5.4</v>
      </c>
    </row>
    <row r="4559" spans="1:3" x14ac:dyDescent="0.2">
      <c r="A4559" s="241">
        <v>41565</v>
      </c>
      <c r="B4559" s="242">
        <v>12.3</v>
      </c>
      <c r="C4559" s="238">
        <v>2.8</v>
      </c>
    </row>
    <row r="4560" spans="1:3" x14ac:dyDescent="0.2">
      <c r="A4560" s="241">
        <v>41566</v>
      </c>
      <c r="B4560" s="242">
        <v>13.1</v>
      </c>
      <c r="C4560" s="238">
        <v>0.6</v>
      </c>
    </row>
    <row r="4561" spans="1:3" x14ac:dyDescent="0.2">
      <c r="A4561" s="241">
        <v>41567</v>
      </c>
      <c r="B4561" s="242">
        <v>15.1</v>
      </c>
      <c r="C4561" s="238">
        <v>2.4</v>
      </c>
    </row>
    <row r="4562" spans="1:3" x14ac:dyDescent="0.2">
      <c r="A4562" s="241">
        <v>41568</v>
      </c>
      <c r="B4562" s="242">
        <v>15.5</v>
      </c>
      <c r="C4562" s="238">
        <v>0.6</v>
      </c>
    </row>
    <row r="4563" spans="1:3" x14ac:dyDescent="0.2">
      <c r="A4563" s="241">
        <v>41569</v>
      </c>
      <c r="B4563" s="242">
        <v>17.600000000000001</v>
      </c>
      <c r="C4563" s="238">
        <v>5.3</v>
      </c>
    </row>
    <row r="4564" spans="1:3" x14ac:dyDescent="0.2">
      <c r="A4564" s="241">
        <v>41570</v>
      </c>
      <c r="B4564" s="242">
        <v>16</v>
      </c>
      <c r="C4564" s="238">
        <v>4.0999999999999996</v>
      </c>
    </row>
    <row r="4565" spans="1:3" x14ac:dyDescent="0.2">
      <c r="A4565" s="241">
        <v>41571</v>
      </c>
      <c r="B4565" s="242">
        <v>12.5</v>
      </c>
      <c r="C4565" s="238">
        <v>8.6999999999999993</v>
      </c>
    </row>
    <row r="4566" spans="1:3" x14ac:dyDescent="0.2">
      <c r="A4566" s="241">
        <v>41572</v>
      </c>
      <c r="B4566" s="242">
        <v>14.7</v>
      </c>
      <c r="C4566" s="238">
        <v>0</v>
      </c>
    </row>
    <row r="4567" spans="1:3" x14ac:dyDescent="0.2">
      <c r="A4567" s="241">
        <v>41573</v>
      </c>
      <c r="B4567" s="242">
        <v>16.100000000000001</v>
      </c>
      <c r="C4567" s="238">
        <v>5.6</v>
      </c>
    </row>
    <row r="4568" spans="1:3" x14ac:dyDescent="0.2">
      <c r="A4568" s="241">
        <v>41574</v>
      </c>
      <c r="B4568" s="242">
        <v>14.7</v>
      </c>
      <c r="C4568" s="238">
        <v>3.4</v>
      </c>
    </row>
    <row r="4569" spans="1:3" x14ac:dyDescent="0.2">
      <c r="A4569" s="241">
        <v>41575</v>
      </c>
      <c r="B4569" s="242">
        <v>13.9</v>
      </c>
      <c r="C4569" s="238">
        <v>2.2000000000000002</v>
      </c>
    </row>
    <row r="4570" spans="1:3" x14ac:dyDescent="0.2">
      <c r="A4570" s="241">
        <v>41576</v>
      </c>
      <c r="B4570" s="242">
        <v>11.7</v>
      </c>
      <c r="C4570" s="238">
        <v>4</v>
      </c>
    </row>
    <row r="4571" spans="1:3" x14ac:dyDescent="0.2">
      <c r="A4571" s="241">
        <v>41577</v>
      </c>
      <c r="B4571" s="242">
        <v>11.7</v>
      </c>
      <c r="C4571" s="238">
        <v>6.6</v>
      </c>
    </row>
    <row r="4572" spans="1:3" x14ac:dyDescent="0.2">
      <c r="A4572" s="241">
        <v>41578</v>
      </c>
      <c r="B4572" s="242">
        <v>11.6</v>
      </c>
      <c r="C4572" s="238">
        <v>0.2</v>
      </c>
    </row>
    <row r="4573" spans="1:3" x14ac:dyDescent="0.2">
      <c r="A4573" s="241">
        <v>41579</v>
      </c>
      <c r="B4573" s="242">
        <v>11.8</v>
      </c>
      <c r="C4573" s="238">
        <v>0</v>
      </c>
    </row>
    <row r="4574" spans="1:3" x14ac:dyDescent="0.2">
      <c r="A4574" s="241">
        <v>41580</v>
      </c>
      <c r="B4574" s="242">
        <v>11.3</v>
      </c>
      <c r="C4574" s="238">
        <v>0.2</v>
      </c>
    </row>
    <row r="4575" spans="1:3" x14ac:dyDescent="0.2">
      <c r="A4575" s="241">
        <v>41581</v>
      </c>
      <c r="B4575" s="242">
        <v>10.7</v>
      </c>
      <c r="C4575" s="238">
        <v>4.9000000000000004</v>
      </c>
    </row>
    <row r="4576" spans="1:3" x14ac:dyDescent="0.2">
      <c r="A4576" s="241">
        <v>41582</v>
      </c>
      <c r="B4576" s="242">
        <v>8.9</v>
      </c>
      <c r="C4576" s="238">
        <v>1.8</v>
      </c>
    </row>
    <row r="4577" spans="1:3" x14ac:dyDescent="0.2">
      <c r="A4577" s="241">
        <v>41583</v>
      </c>
      <c r="B4577" s="242">
        <v>9.1999999999999993</v>
      </c>
      <c r="C4577" s="238">
        <v>0</v>
      </c>
    </row>
    <row r="4578" spans="1:3" x14ac:dyDescent="0.2">
      <c r="A4578" s="241">
        <v>41584</v>
      </c>
      <c r="B4578" s="242">
        <v>11.5</v>
      </c>
      <c r="C4578" s="238">
        <v>0</v>
      </c>
    </row>
    <row r="4579" spans="1:3" x14ac:dyDescent="0.2">
      <c r="A4579" s="241">
        <v>41585</v>
      </c>
      <c r="B4579" s="242">
        <v>11.7</v>
      </c>
      <c r="C4579" s="238">
        <v>0.6</v>
      </c>
    </row>
    <row r="4580" spans="1:3" x14ac:dyDescent="0.2">
      <c r="A4580" s="241">
        <v>41586</v>
      </c>
      <c r="B4580" s="242">
        <v>10</v>
      </c>
      <c r="C4580" s="238">
        <v>1.1000000000000001</v>
      </c>
    </row>
    <row r="4581" spans="1:3" x14ac:dyDescent="0.2">
      <c r="A4581" s="241">
        <v>41587</v>
      </c>
      <c r="B4581" s="242">
        <v>8.9</v>
      </c>
      <c r="C4581" s="238">
        <v>3.5</v>
      </c>
    </row>
    <row r="4582" spans="1:3" x14ac:dyDescent="0.2">
      <c r="A4582" s="241">
        <v>41588</v>
      </c>
      <c r="B4582" s="242">
        <v>8.5</v>
      </c>
      <c r="C4582" s="238">
        <v>3.2</v>
      </c>
    </row>
    <row r="4583" spans="1:3" x14ac:dyDescent="0.2">
      <c r="A4583" s="241">
        <v>41589</v>
      </c>
      <c r="B4583" s="242">
        <v>7.9</v>
      </c>
      <c r="C4583" s="238">
        <v>2.2000000000000002</v>
      </c>
    </row>
    <row r="4584" spans="1:3" x14ac:dyDescent="0.2">
      <c r="A4584" s="241">
        <v>41590</v>
      </c>
      <c r="B4584" s="242">
        <v>9.1999999999999993</v>
      </c>
      <c r="C4584" s="238">
        <v>0.3</v>
      </c>
    </row>
    <row r="4585" spans="1:3" x14ac:dyDescent="0.2">
      <c r="A4585" s="241">
        <v>41591</v>
      </c>
      <c r="B4585" s="242">
        <v>10</v>
      </c>
      <c r="C4585" s="238">
        <v>5.9</v>
      </c>
    </row>
    <row r="4586" spans="1:3" x14ac:dyDescent="0.2">
      <c r="A4586" s="241">
        <v>41592</v>
      </c>
      <c r="B4586" s="242">
        <v>9</v>
      </c>
      <c r="C4586" s="238">
        <v>0.1</v>
      </c>
    </row>
    <row r="4587" spans="1:3" x14ac:dyDescent="0.2">
      <c r="A4587" s="241">
        <v>41593</v>
      </c>
      <c r="B4587" s="242">
        <v>6.5</v>
      </c>
      <c r="C4587" s="238">
        <v>4.8</v>
      </c>
    </row>
    <row r="4588" spans="1:3" x14ac:dyDescent="0.2">
      <c r="A4588" s="241">
        <v>41594</v>
      </c>
      <c r="B4588" s="242">
        <v>7.6</v>
      </c>
      <c r="C4588" s="238">
        <v>1.2</v>
      </c>
    </row>
    <row r="4589" spans="1:3" x14ac:dyDescent="0.2">
      <c r="A4589" s="241">
        <v>41595</v>
      </c>
      <c r="B4589" s="242">
        <v>8.9</v>
      </c>
      <c r="C4589" s="238">
        <v>0</v>
      </c>
    </row>
    <row r="4590" spans="1:3" x14ac:dyDescent="0.2">
      <c r="A4590" s="241">
        <v>41596</v>
      </c>
      <c r="B4590" s="242">
        <v>7.1</v>
      </c>
      <c r="C4590" s="238">
        <v>0.5</v>
      </c>
    </row>
    <row r="4591" spans="1:3" x14ac:dyDescent="0.2">
      <c r="A4591" s="241">
        <v>41597</v>
      </c>
      <c r="B4591" s="242">
        <v>6.2</v>
      </c>
      <c r="C4591" s="238">
        <v>1</v>
      </c>
    </row>
    <row r="4592" spans="1:3" x14ac:dyDescent="0.2">
      <c r="A4592" s="241">
        <v>41598</v>
      </c>
      <c r="B4592" s="242">
        <v>4.3</v>
      </c>
      <c r="C4592" s="238">
        <v>1.6</v>
      </c>
    </row>
    <row r="4593" spans="1:3" x14ac:dyDescent="0.2">
      <c r="A4593" s="241">
        <v>41599</v>
      </c>
      <c r="B4593" s="242">
        <v>2.8</v>
      </c>
      <c r="C4593" s="238">
        <v>4.7</v>
      </c>
    </row>
    <row r="4594" spans="1:3" x14ac:dyDescent="0.2">
      <c r="A4594" s="241">
        <v>41600</v>
      </c>
      <c r="B4594" s="242">
        <v>4.7</v>
      </c>
      <c r="C4594" s="238">
        <v>1</v>
      </c>
    </row>
    <row r="4595" spans="1:3" x14ac:dyDescent="0.2">
      <c r="A4595" s="241">
        <v>41601</v>
      </c>
      <c r="B4595" s="242">
        <v>5.7</v>
      </c>
      <c r="C4595" s="238">
        <v>5.6</v>
      </c>
    </row>
    <row r="4596" spans="1:3" x14ac:dyDescent="0.2">
      <c r="A4596" s="241">
        <v>41602</v>
      </c>
      <c r="B4596" s="242">
        <v>7.1</v>
      </c>
      <c r="C4596" s="238">
        <v>0.9</v>
      </c>
    </row>
    <row r="4597" spans="1:3" x14ac:dyDescent="0.2">
      <c r="A4597" s="241">
        <v>41603</v>
      </c>
      <c r="B4597" s="242">
        <v>5.8</v>
      </c>
      <c r="C4597" s="238">
        <v>2.7</v>
      </c>
    </row>
    <row r="4598" spans="1:3" x14ac:dyDescent="0.2">
      <c r="A4598" s="241">
        <v>41604</v>
      </c>
      <c r="B4598" s="242">
        <v>7</v>
      </c>
      <c r="C4598" s="238">
        <v>0</v>
      </c>
    </row>
    <row r="4599" spans="1:3" x14ac:dyDescent="0.2">
      <c r="A4599" s="241">
        <v>41605</v>
      </c>
      <c r="B4599" s="242">
        <v>8.9</v>
      </c>
      <c r="C4599" s="238">
        <v>0</v>
      </c>
    </row>
    <row r="4600" spans="1:3" x14ac:dyDescent="0.2">
      <c r="A4600" s="241">
        <v>41606</v>
      </c>
      <c r="B4600" s="242">
        <v>9.4</v>
      </c>
      <c r="C4600" s="238">
        <v>1</v>
      </c>
    </row>
    <row r="4601" spans="1:3" x14ac:dyDescent="0.2">
      <c r="A4601" s="241">
        <v>41607</v>
      </c>
      <c r="B4601" s="242">
        <v>8.5</v>
      </c>
      <c r="C4601" s="238">
        <v>0</v>
      </c>
    </row>
    <row r="4602" spans="1:3" x14ac:dyDescent="0.2">
      <c r="A4602" s="241">
        <v>41608</v>
      </c>
      <c r="B4602" s="242">
        <v>8.3000000000000007</v>
      </c>
      <c r="C4602" s="238">
        <v>3.8</v>
      </c>
    </row>
    <row r="4603" spans="1:3" x14ac:dyDescent="0.2">
      <c r="A4603" s="241">
        <v>41609</v>
      </c>
      <c r="B4603" s="242">
        <v>8.6</v>
      </c>
      <c r="C4603" s="238">
        <v>0</v>
      </c>
    </row>
    <row r="4604" spans="1:3" x14ac:dyDescent="0.2">
      <c r="A4604" s="241">
        <v>41610</v>
      </c>
      <c r="B4604" s="242">
        <v>4.3</v>
      </c>
      <c r="C4604" s="238">
        <v>3.7</v>
      </c>
    </row>
    <row r="4605" spans="1:3" x14ac:dyDescent="0.2">
      <c r="A4605" s="241">
        <v>41611</v>
      </c>
      <c r="B4605" s="242">
        <v>4.8</v>
      </c>
      <c r="C4605" s="238">
        <v>0.7</v>
      </c>
    </row>
    <row r="4606" spans="1:3" x14ac:dyDescent="0.2">
      <c r="A4606" s="241">
        <v>41612</v>
      </c>
      <c r="B4606" s="242">
        <v>8</v>
      </c>
      <c r="C4606" s="238">
        <v>0.2</v>
      </c>
    </row>
    <row r="4607" spans="1:3" x14ac:dyDescent="0.2">
      <c r="A4607" s="241">
        <v>41613</v>
      </c>
      <c r="B4607" s="242">
        <v>7</v>
      </c>
      <c r="C4607" s="238">
        <v>0</v>
      </c>
    </row>
    <row r="4608" spans="1:3" x14ac:dyDescent="0.2">
      <c r="A4608" s="241">
        <v>41614</v>
      </c>
      <c r="B4608" s="242">
        <v>5.0999999999999996</v>
      </c>
      <c r="C4608" s="238">
        <v>1.2</v>
      </c>
    </row>
    <row r="4609" spans="1:3" x14ac:dyDescent="0.2">
      <c r="A4609" s="241">
        <v>41615</v>
      </c>
      <c r="B4609" s="242">
        <v>7.3</v>
      </c>
      <c r="C4609" s="238">
        <v>0</v>
      </c>
    </row>
    <row r="4610" spans="1:3" x14ac:dyDescent="0.2">
      <c r="A4610" s="241">
        <v>41616</v>
      </c>
      <c r="B4610" s="242">
        <v>9.1999999999999993</v>
      </c>
      <c r="C4610" s="238">
        <v>0.4</v>
      </c>
    </row>
    <row r="4611" spans="1:3" x14ac:dyDescent="0.2">
      <c r="A4611" s="241">
        <v>41617</v>
      </c>
      <c r="B4611" s="242">
        <v>9</v>
      </c>
      <c r="C4611" s="238">
        <v>4.0999999999999996</v>
      </c>
    </row>
    <row r="4612" spans="1:3" x14ac:dyDescent="0.2">
      <c r="A4612" s="241">
        <v>41618</v>
      </c>
      <c r="B4612" s="242">
        <v>6.1</v>
      </c>
      <c r="C4612" s="238">
        <v>6.5</v>
      </c>
    </row>
    <row r="4613" spans="1:3" x14ac:dyDescent="0.2">
      <c r="A4613" s="241">
        <v>41619</v>
      </c>
      <c r="B4613" s="242">
        <v>3</v>
      </c>
      <c r="C4613" s="238">
        <v>6.3</v>
      </c>
    </row>
    <row r="4614" spans="1:3" x14ac:dyDescent="0.2">
      <c r="A4614" s="241">
        <v>41620</v>
      </c>
      <c r="B4614" s="242">
        <v>2.9</v>
      </c>
      <c r="C4614" s="238">
        <v>5.5</v>
      </c>
    </row>
    <row r="4615" spans="1:3" x14ac:dyDescent="0.2">
      <c r="A4615" s="241">
        <v>41621</v>
      </c>
      <c r="B4615" s="242">
        <v>3.9</v>
      </c>
      <c r="C4615" s="238">
        <v>5.3</v>
      </c>
    </row>
    <row r="4616" spans="1:3" x14ac:dyDescent="0.2">
      <c r="A4616" s="241">
        <v>41622</v>
      </c>
      <c r="B4616" s="242">
        <v>7.8</v>
      </c>
      <c r="C4616" s="238">
        <v>5.5</v>
      </c>
    </row>
    <row r="4617" spans="1:3" x14ac:dyDescent="0.2">
      <c r="A4617" s="241">
        <v>41623</v>
      </c>
      <c r="B4617" s="242">
        <v>8.9</v>
      </c>
      <c r="C4617" s="238">
        <v>1.2</v>
      </c>
    </row>
    <row r="4618" spans="1:3" x14ac:dyDescent="0.2">
      <c r="A4618" s="241">
        <v>41624</v>
      </c>
      <c r="B4618" s="242">
        <v>10.5</v>
      </c>
      <c r="C4618" s="238">
        <v>0.7</v>
      </c>
    </row>
    <row r="4619" spans="1:3" x14ac:dyDescent="0.2">
      <c r="A4619" s="241">
        <v>41625</v>
      </c>
      <c r="B4619" s="242">
        <v>5.9</v>
      </c>
      <c r="C4619" s="238">
        <v>0</v>
      </c>
    </row>
    <row r="4620" spans="1:3" x14ac:dyDescent="0.2">
      <c r="A4620" s="241">
        <v>41626</v>
      </c>
      <c r="B4620" s="242">
        <v>8</v>
      </c>
      <c r="C4620" s="238">
        <v>2.5</v>
      </c>
    </row>
    <row r="4621" spans="1:3" x14ac:dyDescent="0.2">
      <c r="A4621" s="241">
        <v>41627</v>
      </c>
      <c r="B4621" s="242">
        <v>8</v>
      </c>
      <c r="C4621" s="238">
        <v>3.7</v>
      </c>
    </row>
    <row r="4622" spans="1:3" x14ac:dyDescent="0.2">
      <c r="A4622" s="241">
        <v>41628</v>
      </c>
      <c r="B4622" s="242">
        <v>7.6</v>
      </c>
      <c r="C4622" s="238">
        <v>6</v>
      </c>
    </row>
    <row r="4623" spans="1:3" x14ac:dyDescent="0.2">
      <c r="A4623" s="241">
        <v>41629</v>
      </c>
      <c r="B4623" s="242">
        <v>8</v>
      </c>
      <c r="C4623" s="238">
        <v>0</v>
      </c>
    </row>
    <row r="4624" spans="1:3" x14ac:dyDescent="0.2">
      <c r="A4624" s="241">
        <v>41630</v>
      </c>
      <c r="B4624" s="242">
        <v>8.5</v>
      </c>
      <c r="C4624" s="238">
        <v>0.5</v>
      </c>
    </row>
    <row r="4625" spans="1:3" x14ac:dyDescent="0.2">
      <c r="A4625" s="241">
        <v>41631</v>
      </c>
      <c r="B4625" s="242">
        <v>8.6999999999999993</v>
      </c>
      <c r="C4625" s="238">
        <v>2.6</v>
      </c>
    </row>
    <row r="4626" spans="1:3" x14ac:dyDescent="0.2">
      <c r="A4626" s="241">
        <v>41632</v>
      </c>
      <c r="B4626" s="242">
        <v>10</v>
      </c>
      <c r="C4626" s="238">
        <v>0</v>
      </c>
    </row>
    <row r="4627" spans="1:3" x14ac:dyDescent="0.2">
      <c r="A4627" s="241">
        <v>41633</v>
      </c>
      <c r="B4627" s="242">
        <v>7</v>
      </c>
      <c r="C4627" s="238">
        <v>5.4</v>
      </c>
    </row>
    <row r="4628" spans="1:3" x14ac:dyDescent="0.2">
      <c r="A4628" s="241">
        <v>41634</v>
      </c>
      <c r="B4628" s="242">
        <v>6</v>
      </c>
      <c r="C4628" s="238">
        <v>1.6</v>
      </c>
    </row>
    <row r="4629" spans="1:3" x14ac:dyDescent="0.2">
      <c r="A4629" s="241">
        <v>41635</v>
      </c>
      <c r="B4629" s="242">
        <v>8.3000000000000007</v>
      </c>
      <c r="C4629" s="238">
        <v>0</v>
      </c>
    </row>
    <row r="4630" spans="1:3" x14ac:dyDescent="0.2">
      <c r="A4630" s="241">
        <v>41636</v>
      </c>
      <c r="B4630" s="242">
        <v>7.7</v>
      </c>
      <c r="C4630" s="238">
        <v>4.0999999999999996</v>
      </c>
    </row>
    <row r="4631" spans="1:3" x14ac:dyDescent="0.2">
      <c r="A4631" s="241">
        <v>41637</v>
      </c>
      <c r="B4631" s="242">
        <v>6.7</v>
      </c>
      <c r="C4631" s="238">
        <v>4.5</v>
      </c>
    </row>
    <row r="4632" spans="1:3" x14ac:dyDescent="0.2">
      <c r="A4632" s="241">
        <v>41638</v>
      </c>
      <c r="B4632" s="242">
        <v>6.2</v>
      </c>
      <c r="C4632" s="238">
        <v>0.8</v>
      </c>
    </row>
    <row r="4633" spans="1:3" x14ac:dyDescent="0.2">
      <c r="A4633" s="241">
        <v>41639</v>
      </c>
      <c r="B4633" s="242">
        <v>7.2</v>
      </c>
      <c r="C4633" s="238">
        <v>0.2</v>
      </c>
    </row>
    <row r="4634" spans="1:3" x14ac:dyDescent="0.2">
      <c r="A4634" s="241">
        <v>41640</v>
      </c>
      <c r="B4634" s="242">
        <v>7.2</v>
      </c>
      <c r="C4634" s="238">
        <v>0.2</v>
      </c>
    </row>
    <row r="4635" spans="1:3" x14ac:dyDescent="0.2">
      <c r="A4635" s="241">
        <v>41641</v>
      </c>
      <c r="B4635" s="242">
        <v>8.9</v>
      </c>
      <c r="C4635" s="238">
        <v>2.5</v>
      </c>
    </row>
    <row r="4636" spans="1:3" x14ac:dyDescent="0.2">
      <c r="A4636" s="241">
        <v>41642</v>
      </c>
      <c r="B4636" s="242">
        <v>8.6999999999999993</v>
      </c>
      <c r="C4636" s="238">
        <v>1.9</v>
      </c>
    </row>
    <row r="4637" spans="1:3" x14ac:dyDescent="0.2">
      <c r="A4637" s="241">
        <v>41643</v>
      </c>
      <c r="B4637" s="242">
        <v>8.4</v>
      </c>
      <c r="C4637" s="238">
        <v>1</v>
      </c>
    </row>
    <row r="4638" spans="1:3" x14ac:dyDescent="0.2">
      <c r="A4638" s="241">
        <v>41644</v>
      </c>
      <c r="B4638" s="242">
        <v>6.7</v>
      </c>
      <c r="C4638" s="238">
        <v>3.5</v>
      </c>
    </row>
    <row r="4639" spans="1:3" x14ac:dyDescent="0.2">
      <c r="A4639" s="241">
        <v>41645</v>
      </c>
      <c r="B4639" s="242">
        <v>10.9</v>
      </c>
      <c r="C4639" s="238">
        <v>3</v>
      </c>
    </row>
    <row r="4640" spans="1:3" x14ac:dyDescent="0.2">
      <c r="A4640" s="241">
        <v>41646</v>
      </c>
      <c r="B4640" s="242">
        <v>10.3</v>
      </c>
      <c r="C4640" s="238">
        <v>1.5</v>
      </c>
    </row>
    <row r="4641" spans="1:3" x14ac:dyDescent="0.2">
      <c r="A4641" s="241">
        <v>41647</v>
      </c>
      <c r="B4641" s="242">
        <v>8.6</v>
      </c>
      <c r="C4641" s="238">
        <v>1.7</v>
      </c>
    </row>
    <row r="4642" spans="1:3" x14ac:dyDescent="0.2">
      <c r="A4642" s="241">
        <v>41648</v>
      </c>
      <c r="B4642" s="242">
        <v>9.1</v>
      </c>
      <c r="C4642" s="238">
        <v>0</v>
      </c>
    </row>
    <row r="4643" spans="1:3" x14ac:dyDescent="0.2">
      <c r="A4643" s="241">
        <v>41649</v>
      </c>
      <c r="B4643" s="242">
        <v>7.5</v>
      </c>
      <c r="C4643" s="238">
        <v>5</v>
      </c>
    </row>
    <row r="4644" spans="1:3" x14ac:dyDescent="0.2">
      <c r="A4644" s="241">
        <v>41650</v>
      </c>
      <c r="B4644" s="242">
        <v>6.6</v>
      </c>
      <c r="C4644" s="238">
        <v>2.5</v>
      </c>
    </row>
    <row r="4645" spans="1:3" x14ac:dyDescent="0.2">
      <c r="A4645" s="241">
        <v>41651</v>
      </c>
      <c r="B4645" s="242">
        <v>5.4</v>
      </c>
      <c r="C4645" s="238">
        <v>6.5</v>
      </c>
    </row>
    <row r="4646" spans="1:3" x14ac:dyDescent="0.2">
      <c r="A4646" s="241">
        <v>41652</v>
      </c>
      <c r="B4646" s="242">
        <v>6.8</v>
      </c>
      <c r="C4646" s="238">
        <v>4.2</v>
      </c>
    </row>
    <row r="4647" spans="1:3" x14ac:dyDescent="0.2">
      <c r="A4647" s="241">
        <v>41653</v>
      </c>
      <c r="B4647" s="242">
        <v>5.5</v>
      </c>
      <c r="C4647" s="238">
        <v>0</v>
      </c>
    </row>
    <row r="4648" spans="1:3" x14ac:dyDescent="0.2">
      <c r="A4648" s="241">
        <v>41654</v>
      </c>
      <c r="B4648" s="242">
        <v>5.5</v>
      </c>
      <c r="C4648" s="238">
        <v>0</v>
      </c>
    </row>
    <row r="4649" spans="1:3" x14ac:dyDescent="0.2">
      <c r="A4649" s="241">
        <v>41655</v>
      </c>
      <c r="B4649" s="242">
        <v>7.6</v>
      </c>
      <c r="C4649" s="238">
        <v>0.3</v>
      </c>
    </row>
    <row r="4650" spans="1:3" x14ac:dyDescent="0.2">
      <c r="A4650" s="241">
        <v>41656</v>
      </c>
      <c r="B4650" s="242">
        <v>7.9</v>
      </c>
      <c r="C4650" s="238">
        <v>0</v>
      </c>
    </row>
    <row r="4651" spans="1:3" x14ac:dyDescent="0.2">
      <c r="A4651" s="241">
        <v>41657</v>
      </c>
      <c r="B4651" s="242">
        <v>7.2</v>
      </c>
      <c r="C4651" s="238">
        <v>2.7</v>
      </c>
    </row>
    <row r="4652" spans="1:3" x14ac:dyDescent="0.2">
      <c r="A4652" s="241">
        <v>41658</v>
      </c>
      <c r="B4652" s="242">
        <v>6</v>
      </c>
      <c r="C4652" s="238">
        <v>0.7</v>
      </c>
    </row>
    <row r="4653" spans="1:3" x14ac:dyDescent="0.2">
      <c r="A4653" s="241">
        <v>41659</v>
      </c>
      <c r="B4653" s="242">
        <v>3.6</v>
      </c>
      <c r="C4653" s="238">
        <v>0</v>
      </c>
    </row>
    <row r="4654" spans="1:3" x14ac:dyDescent="0.2">
      <c r="A4654" s="241">
        <v>41660</v>
      </c>
      <c r="B4654" s="242">
        <v>3.6</v>
      </c>
      <c r="C4654" s="238">
        <v>0</v>
      </c>
    </row>
    <row r="4655" spans="1:3" x14ac:dyDescent="0.2">
      <c r="A4655" s="241">
        <v>41661</v>
      </c>
      <c r="B4655" s="242">
        <v>3.2</v>
      </c>
      <c r="C4655" s="238">
        <v>1.4</v>
      </c>
    </row>
    <row r="4656" spans="1:3" x14ac:dyDescent="0.2">
      <c r="A4656" s="241">
        <v>41662</v>
      </c>
      <c r="B4656" s="242">
        <v>4.5999999999999996</v>
      </c>
      <c r="C4656" s="238">
        <v>0</v>
      </c>
    </row>
    <row r="4657" spans="1:3" x14ac:dyDescent="0.2">
      <c r="A4657" s="241">
        <v>41663</v>
      </c>
      <c r="B4657" s="242">
        <v>5.4</v>
      </c>
      <c r="C4657" s="238">
        <v>0</v>
      </c>
    </row>
    <row r="4658" spans="1:3" x14ac:dyDescent="0.2">
      <c r="A4658" s="241">
        <v>41664</v>
      </c>
      <c r="B4658" s="242">
        <v>4.4000000000000004</v>
      </c>
      <c r="C4658" s="238">
        <v>0</v>
      </c>
    </row>
    <row r="4659" spans="1:3" x14ac:dyDescent="0.2">
      <c r="A4659" s="241">
        <v>41665</v>
      </c>
      <c r="B4659" s="242">
        <v>6</v>
      </c>
      <c r="C4659" s="238">
        <v>0.9</v>
      </c>
    </row>
    <row r="4660" spans="1:3" x14ac:dyDescent="0.2">
      <c r="A4660" s="241">
        <v>41666</v>
      </c>
      <c r="B4660" s="242">
        <v>4.8</v>
      </c>
      <c r="C4660" s="238">
        <v>0.7</v>
      </c>
    </row>
    <row r="4661" spans="1:3" x14ac:dyDescent="0.2">
      <c r="A4661" s="241">
        <v>41667</v>
      </c>
      <c r="B4661" s="242">
        <v>4.7</v>
      </c>
      <c r="C4661" s="238">
        <v>0</v>
      </c>
    </row>
    <row r="4662" spans="1:3" x14ac:dyDescent="0.2">
      <c r="A4662" s="241">
        <v>41668</v>
      </c>
      <c r="B4662" s="242">
        <v>0.2</v>
      </c>
      <c r="C4662" s="238">
        <v>1.2</v>
      </c>
    </row>
    <row r="4663" spans="1:3" x14ac:dyDescent="0.2">
      <c r="A4663" s="241">
        <v>41669</v>
      </c>
      <c r="B4663" s="242">
        <v>-0.1</v>
      </c>
      <c r="C4663" s="238">
        <v>0.5</v>
      </c>
    </row>
    <row r="4664" spans="1:3" x14ac:dyDescent="0.2">
      <c r="A4664" s="241">
        <v>41670</v>
      </c>
      <c r="B4664" s="242">
        <v>3.3</v>
      </c>
      <c r="C4664" s="238">
        <v>6.7</v>
      </c>
    </row>
    <row r="4665" spans="1:3" x14ac:dyDescent="0.2">
      <c r="A4665" s="241">
        <v>41671</v>
      </c>
      <c r="B4665" s="242">
        <v>6.8</v>
      </c>
      <c r="C4665" s="238">
        <v>2.2000000000000002</v>
      </c>
    </row>
    <row r="4666" spans="1:3" x14ac:dyDescent="0.2">
      <c r="A4666" s="241">
        <v>41672</v>
      </c>
      <c r="B4666" s="242">
        <v>6.1</v>
      </c>
      <c r="C4666" s="238">
        <v>5.7</v>
      </c>
    </row>
    <row r="4667" spans="1:3" x14ac:dyDescent="0.2">
      <c r="A4667" s="241">
        <v>41673</v>
      </c>
      <c r="B4667" s="242">
        <v>4.7</v>
      </c>
      <c r="C4667" s="238">
        <v>8</v>
      </c>
    </row>
    <row r="4668" spans="1:3" x14ac:dyDescent="0.2">
      <c r="A4668" s="241">
        <v>41674</v>
      </c>
      <c r="B4668" s="242">
        <v>6.5</v>
      </c>
      <c r="C4668" s="238">
        <v>4.8</v>
      </c>
    </row>
    <row r="4669" spans="1:3" x14ac:dyDescent="0.2">
      <c r="A4669" s="241">
        <v>41675</v>
      </c>
      <c r="B4669" s="242">
        <v>7.5</v>
      </c>
      <c r="C4669" s="238">
        <v>5.3</v>
      </c>
    </row>
    <row r="4670" spans="1:3" x14ac:dyDescent="0.2">
      <c r="A4670" s="241">
        <v>41676</v>
      </c>
      <c r="B4670" s="242">
        <v>7.5</v>
      </c>
      <c r="C4670" s="238">
        <v>3.5</v>
      </c>
    </row>
    <row r="4671" spans="1:3" x14ac:dyDescent="0.2">
      <c r="A4671" s="241">
        <v>41677</v>
      </c>
      <c r="B4671" s="242">
        <v>7.7</v>
      </c>
      <c r="C4671" s="238">
        <v>0.2</v>
      </c>
    </row>
    <row r="4672" spans="1:3" x14ac:dyDescent="0.2">
      <c r="A4672" s="241">
        <v>41678</v>
      </c>
      <c r="B4672" s="242">
        <v>7.4</v>
      </c>
      <c r="C4672" s="238">
        <v>1.3</v>
      </c>
    </row>
    <row r="4673" spans="1:3" x14ac:dyDescent="0.2">
      <c r="A4673" s="241">
        <v>41679</v>
      </c>
      <c r="B4673" s="242">
        <v>6</v>
      </c>
      <c r="C4673" s="238">
        <v>0.2</v>
      </c>
    </row>
    <row r="4674" spans="1:3" x14ac:dyDescent="0.2">
      <c r="A4674" s="241">
        <v>41680</v>
      </c>
      <c r="B4674" s="242">
        <v>5.4</v>
      </c>
      <c r="C4674" s="238">
        <v>1.3</v>
      </c>
    </row>
    <row r="4675" spans="1:3" x14ac:dyDescent="0.2">
      <c r="A4675" s="241">
        <v>41681</v>
      </c>
      <c r="B4675" s="242">
        <v>6.2</v>
      </c>
      <c r="C4675" s="238">
        <v>2.2000000000000002</v>
      </c>
    </row>
    <row r="4676" spans="1:3" x14ac:dyDescent="0.2">
      <c r="A4676" s="241">
        <v>41682</v>
      </c>
      <c r="B4676" s="242">
        <v>6.7</v>
      </c>
      <c r="C4676" s="238">
        <v>3.9</v>
      </c>
    </row>
    <row r="4677" spans="1:3" x14ac:dyDescent="0.2">
      <c r="A4677" s="241">
        <v>41683</v>
      </c>
      <c r="B4677" s="242">
        <v>6.1</v>
      </c>
      <c r="C4677" s="238">
        <v>1.1000000000000001</v>
      </c>
    </row>
    <row r="4678" spans="1:3" x14ac:dyDescent="0.2">
      <c r="A4678" s="241">
        <v>41684</v>
      </c>
      <c r="B4678" s="242">
        <v>6.2</v>
      </c>
      <c r="C4678" s="238">
        <v>2.1</v>
      </c>
    </row>
    <row r="4679" spans="1:3" x14ac:dyDescent="0.2">
      <c r="A4679" s="241">
        <v>41685</v>
      </c>
      <c r="B4679" s="242">
        <v>9.1999999999999993</v>
      </c>
      <c r="C4679" s="238">
        <v>6.1</v>
      </c>
    </row>
    <row r="4680" spans="1:3" x14ac:dyDescent="0.2">
      <c r="A4680" s="241">
        <v>41686</v>
      </c>
      <c r="B4680" s="242">
        <v>6.7</v>
      </c>
      <c r="C4680" s="238">
        <v>6.8</v>
      </c>
    </row>
    <row r="4681" spans="1:3" x14ac:dyDescent="0.2">
      <c r="A4681" s="241">
        <v>41687</v>
      </c>
      <c r="B4681" s="242">
        <v>6.7</v>
      </c>
      <c r="C4681" s="238">
        <v>2.5</v>
      </c>
    </row>
    <row r="4682" spans="1:3" x14ac:dyDescent="0.2">
      <c r="A4682" s="241">
        <v>41688</v>
      </c>
      <c r="B4682" s="242">
        <v>7.6</v>
      </c>
      <c r="C4682" s="238">
        <v>0.5</v>
      </c>
    </row>
    <row r="4683" spans="1:3" x14ac:dyDescent="0.2">
      <c r="A4683" s="241">
        <v>41689</v>
      </c>
      <c r="B4683" s="242">
        <v>7.5</v>
      </c>
      <c r="C4683" s="238">
        <v>1.8</v>
      </c>
    </row>
    <row r="4684" spans="1:3" x14ac:dyDescent="0.2">
      <c r="A4684" s="241">
        <v>41690</v>
      </c>
      <c r="B4684" s="242">
        <v>8.6</v>
      </c>
      <c r="C4684" s="238">
        <v>0.2</v>
      </c>
    </row>
    <row r="4685" spans="1:3" x14ac:dyDescent="0.2">
      <c r="A4685" s="241">
        <v>41691</v>
      </c>
      <c r="B4685" s="242">
        <v>7.1</v>
      </c>
      <c r="C4685" s="238">
        <v>6.7</v>
      </c>
    </row>
    <row r="4686" spans="1:3" x14ac:dyDescent="0.2">
      <c r="A4686" s="241">
        <v>41692</v>
      </c>
      <c r="B4686" s="242">
        <v>7.2</v>
      </c>
      <c r="C4686" s="238">
        <v>5.9</v>
      </c>
    </row>
    <row r="4687" spans="1:3" x14ac:dyDescent="0.2">
      <c r="A4687" s="241">
        <v>41693</v>
      </c>
      <c r="B4687" s="242">
        <v>8.8000000000000007</v>
      </c>
      <c r="C4687" s="238">
        <v>5.9</v>
      </c>
    </row>
    <row r="4688" spans="1:3" x14ac:dyDescent="0.2">
      <c r="A4688" s="241">
        <v>41694</v>
      </c>
      <c r="B4688" s="242">
        <v>9.1999999999999993</v>
      </c>
      <c r="C4688" s="238">
        <v>8.1999999999999993</v>
      </c>
    </row>
    <row r="4689" spans="1:3" x14ac:dyDescent="0.2">
      <c r="A4689" s="241">
        <v>41695</v>
      </c>
      <c r="B4689" s="242">
        <v>8.8000000000000007</v>
      </c>
      <c r="C4689" s="238">
        <v>2.2999999999999998</v>
      </c>
    </row>
    <row r="4690" spans="1:3" x14ac:dyDescent="0.2">
      <c r="A4690" s="241">
        <v>41696</v>
      </c>
      <c r="B4690" s="242">
        <v>7.3</v>
      </c>
      <c r="C4690" s="238">
        <v>8</v>
      </c>
    </row>
    <row r="4691" spans="1:3" x14ac:dyDescent="0.2">
      <c r="A4691" s="241">
        <v>41697</v>
      </c>
      <c r="B4691" s="242">
        <v>6.1</v>
      </c>
      <c r="C4691" s="238">
        <v>0.2</v>
      </c>
    </row>
    <row r="4692" spans="1:3" x14ac:dyDescent="0.2">
      <c r="A4692" s="241">
        <v>41698</v>
      </c>
      <c r="B4692" s="242">
        <v>5.3</v>
      </c>
      <c r="C4692" s="238">
        <v>2.2000000000000002</v>
      </c>
    </row>
    <row r="4693" spans="1:3" x14ac:dyDescent="0.2">
      <c r="A4693" s="241">
        <v>41699</v>
      </c>
      <c r="B4693" s="242">
        <v>5.6</v>
      </c>
      <c r="C4693" s="238">
        <v>0.7</v>
      </c>
    </row>
    <row r="4694" spans="1:3" x14ac:dyDescent="0.2">
      <c r="A4694" s="241">
        <v>41700</v>
      </c>
      <c r="B4694" s="242">
        <v>7</v>
      </c>
      <c r="C4694" s="238">
        <v>8.6</v>
      </c>
    </row>
    <row r="4695" spans="1:3" x14ac:dyDescent="0.2">
      <c r="A4695" s="241">
        <v>41701</v>
      </c>
      <c r="B4695" s="242">
        <v>5.5</v>
      </c>
      <c r="C4695" s="238">
        <v>2.6</v>
      </c>
    </row>
    <row r="4696" spans="1:3" x14ac:dyDescent="0.2">
      <c r="A4696" s="241">
        <v>41702</v>
      </c>
      <c r="B4696" s="242">
        <v>5.8</v>
      </c>
      <c r="C4696" s="238">
        <v>2.7</v>
      </c>
    </row>
    <row r="4697" spans="1:3" x14ac:dyDescent="0.2">
      <c r="A4697" s="241">
        <v>41703</v>
      </c>
      <c r="B4697" s="242">
        <v>4.3</v>
      </c>
      <c r="C4697" s="238">
        <v>9.4</v>
      </c>
    </row>
    <row r="4698" spans="1:3" x14ac:dyDescent="0.2">
      <c r="A4698" s="241">
        <v>41704</v>
      </c>
      <c r="B4698" s="242">
        <v>9.8000000000000007</v>
      </c>
      <c r="C4698" s="238">
        <v>3.4</v>
      </c>
    </row>
    <row r="4699" spans="1:3" x14ac:dyDescent="0.2">
      <c r="A4699" s="241">
        <v>41705</v>
      </c>
      <c r="B4699" s="242">
        <v>8.4</v>
      </c>
      <c r="C4699" s="238">
        <v>2.4</v>
      </c>
    </row>
    <row r="4700" spans="1:3" x14ac:dyDescent="0.2">
      <c r="A4700" s="241">
        <v>41706</v>
      </c>
      <c r="B4700" s="242">
        <v>9.8000000000000007</v>
      </c>
      <c r="C4700" s="238">
        <v>9.1999999999999993</v>
      </c>
    </row>
    <row r="4701" spans="1:3" x14ac:dyDescent="0.2">
      <c r="A4701" s="241">
        <v>41707</v>
      </c>
      <c r="B4701" s="242">
        <v>13.1</v>
      </c>
      <c r="C4701" s="238">
        <v>10.3</v>
      </c>
    </row>
    <row r="4702" spans="1:3" x14ac:dyDescent="0.2">
      <c r="A4702" s="241">
        <v>41708</v>
      </c>
      <c r="B4702" s="242">
        <v>9.8000000000000007</v>
      </c>
      <c r="C4702" s="238">
        <v>8.6</v>
      </c>
    </row>
    <row r="4703" spans="1:3" x14ac:dyDescent="0.2">
      <c r="A4703" s="241">
        <v>41709</v>
      </c>
      <c r="B4703" s="242">
        <v>8</v>
      </c>
      <c r="C4703" s="238">
        <v>6.4</v>
      </c>
    </row>
    <row r="4704" spans="1:3" x14ac:dyDescent="0.2">
      <c r="A4704" s="241">
        <v>41710</v>
      </c>
      <c r="B4704" s="242">
        <v>8.6999999999999993</v>
      </c>
      <c r="C4704" s="238">
        <v>10.3</v>
      </c>
    </row>
    <row r="4705" spans="1:3" x14ac:dyDescent="0.2">
      <c r="A4705" s="241">
        <v>41711</v>
      </c>
      <c r="B4705" s="242">
        <v>5.5</v>
      </c>
      <c r="C4705" s="238">
        <v>10</v>
      </c>
    </row>
    <row r="4706" spans="1:3" x14ac:dyDescent="0.2">
      <c r="A4706" s="241">
        <v>41712</v>
      </c>
      <c r="B4706" s="242">
        <v>5.8</v>
      </c>
      <c r="C4706" s="238">
        <v>0.1</v>
      </c>
    </row>
    <row r="4707" spans="1:3" x14ac:dyDescent="0.2">
      <c r="A4707" s="241">
        <v>41713</v>
      </c>
      <c r="B4707" s="242">
        <v>9.1999999999999993</v>
      </c>
      <c r="C4707" s="238">
        <v>5.2</v>
      </c>
    </row>
    <row r="4708" spans="1:3" x14ac:dyDescent="0.2">
      <c r="A4708" s="241">
        <v>41714</v>
      </c>
      <c r="B4708" s="242">
        <v>9.6999999999999993</v>
      </c>
      <c r="C4708" s="238">
        <v>9.4</v>
      </c>
    </row>
    <row r="4709" spans="1:3" x14ac:dyDescent="0.2">
      <c r="A4709" s="241">
        <v>41715</v>
      </c>
      <c r="B4709" s="242">
        <v>9.3000000000000007</v>
      </c>
      <c r="C4709" s="238">
        <v>0.2</v>
      </c>
    </row>
    <row r="4710" spans="1:3" x14ac:dyDescent="0.2">
      <c r="A4710" s="241">
        <v>41716</v>
      </c>
      <c r="B4710" s="242">
        <v>9</v>
      </c>
      <c r="C4710" s="238">
        <v>0.9</v>
      </c>
    </row>
    <row r="4711" spans="1:3" x14ac:dyDescent="0.2">
      <c r="A4711" s="241">
        <v>41717</v>
      </c>
      <c r="B4711" s="242">
        <v>9.5</v>
      </c>
      <c r="C4711" s="238">
        <v>6.2</v>
      </c>
    </row>
    <row r="4712" spans="1:3" x14ac:dyDescent="0.2">
      <c r="A4712" s="241">
        <v>41718</v>
      </c>
      <c r="B4712" s="242">
        <v>12.1</v>
      </c>
      <c r="C4712" s="238">
        <v>10.9</v>
      </c>
    </row>
    <row r="4713" spans="1:3" x14ac:dyDescent="0.2">
      <c r="A4713" s="241">
        <v>41719</v>
      </c>
      <c r="B4713" s="242">
        <v>8</v>
      </c>
      <c r="C4713" s="238">
        <v>4.0999999999999996</v>
      </c>
    </row>
    <row r="4714" spans="1:3" x14ac:dyDescent="0.2">
      <c r="A4714" s="241">
        <v>41720</v>
      </c>
      <c r="B4714" s="242">
        <v>7.5</v>
      </c>
      <c r="C4714" s="238">
        <v>5</v>
      </c>
    </row>
    <row r="4715" spans="1:3" x14ac:dyDescent="0.2">
      <c r="A4715" s="241">
        <v>41721</v>
      </c>
      <c r="B4715" s="242">
        <v>7</v>
      </c>
      <c r="C4715" s="238">
        <v>8.5</v>
      </c>
    </row>
    <row r="4716" spans="1:3" x14ac:dyDescent="0.2">
      <c r="A4716" s="241">
        <v>41722</v>
      </c>
      <c r="B4716" s="242">
        <v>4.5</v>
      </c>
      <c r="C4716" s="238">
        <v>10.9</v>
      </c>
    </row>
    <row r="4717" spans="1:3" x14ac:dyDescent="0.2">
      <c r="A4717" s="241">
        <v>41723</v>
      </c>
      <c r="B4717" s="242">
        <v>6.2</v>
      </c>
      <c r="C4717" s="238">
        <v>11.1</v>
      </c>
    </row>
    <row r="4718" spans="1:3" x14ac:dyDescent="0.2">
      <c r="A4718" s="241">
        <v>41724</v>
      </c>
      <c r="B4718" s="242">
        <v>4.5999999999999996</v>
      </c>
      <c r="C4718" s="238">
        <v>7.2</v>
      </c>
    </row>
    <row r="4719" spans="1:3" x14ac:dyDescent="0.2">
      <c r="A4719" s="241">
        <v>41725</v>
      </c>
      <c r="B4719" s="242">
        <v>8.1999999999999993</v>
      </c>
      <c r="C4719" s="238">
        <v>9.1</v>
      </c>
    </row>
    <row r="4720" spans="1:3" x14ac:dyDescent="0.2">
      <c r="A4720" s="241">
        <v>41726</v>
      </c>
      <c r="B4720" s="242">
        <v>10.1</v>
      </c>
      <c r="C4720" s="238">
        <v>11.2</v>
      </c>
    </row>
    <row r="4721" spans="1:3" x14ac:dyDescent="0.2">
      <c r="A4721" s="241">
        <v>41727</v>
      </c>
      <c r="B4721" s="242">
        <v>11.6</v>
      </c>
      <c r="C4721" s="238">
        <v>9.6999999999999993</v>
      </c>
    </row>
    <row r="4722" spans="1:3" x14ac:dyDescent="0.2">
      <c r="A4722" s="241">
        <v>41728</v>
      </c>
      <c r="B4722" s="242">
        <v>13.4</v>
      </c>
      <c r="C4722" s="238">
        <v>6.5</v>
      </c>
    </row>
    <row r="4723" spans="1:3" x14ac:dyDescent="0.2">
      <c r="A4723" s="241">
        <v>41729</v>
      </c>
      <c r="B4723" s="242">
        <v>13.9</v>
      </c>
      <c r="C4723" s="238">
        <v>4.3</v>
      </c>
    </row>
    <row r="4724" spans="1:3" x14ac:dyDescent="0.2">
      <c r="A4724" s="241">
        <v>41730</v>
      </c>
      <c r="B4724" s="242">
        <v>9.6999999999999993</v>
      </c>
      <c r="C4724" s="238">
        <v>7.8</v>
      </c>
    </row>
    <row r="4725" spans="1:3" x14ac:dyDescent="0.2">
      <c r="A4725" s="241">
        <v>41731</v>
      </c>
      <c r="B4725" s="242">
        <v>11.4</v>
      </c>
      <c r="C4725" s="238">
        <v>7.6</v>
      </c>
    </row>
    <row r="4726" spans="1:3" x14ac:dyDescent="0.2">
      <c r="A4726" s="241">
        <v>41732</v>
      </c>
      <c r="B4726" s="242">
        <v>13.4</v>
      </c>
      <c r="C4726" s="238">
        <v>7.4</v>
      </c>
    </row>
    <row r="4727" spans="1:3" x14ac:dyDescent="0.2">
      <c r="A4727" s="241">
        <v>41733</v>
      </c>
      <c r="B4727" s="242">
        <v>11</v>
      </c>
      <c r="C4727" s="238">
        <v>0</v>
      </c>
    </row>
    <row r="4728" spans="1:3" x14ac:dyDescent="0.2">
      <c r="A4728" s="241">
        <v>41734</v>
      </c>
      <c r="B4728" s="242">
        <v>11.7</v>
      </c>
      <c r="C4728" s="238">
        <v>7.3</v>
      </c>
    </row>
    <row r="4729" spans="1:3" x14ac:dyDescent="0.2">
      <c r="A4729" s="241">
        <v>41735</v>
      </c>
      <c r="B4729" s="242">
        <v>13.1</v>
      </c>
      <c r="C4729" s="238">
        <v>0.5</v>
      </c>
    </row>
    <row r="4730" spans="1:3" x14ac:dyDescent="0.2">
      <c r="A4730" s="241">
        <v>41736</v>
      </c>
      <c r="B4730" s="242">
        <v>15</v>
      </c>
      <c r="C4730" s="238">
        <v>1.1000000000000001</v>
      </c>
    </row>
    <row r="4731" spans="1:3" x14ac:dyDescent="0.2">
      <c r="A4731" s="241">
        <v>41737</v>
      </c>
      <c r="B4731" s="242">
        <v>9.3000000000000007</v>
      </c>
      <c r="C4731" s="238">
        <v>6</v>
      </c>
    </row>
    <row r="4732" spans="1:3" x14ac:dyDescent="0.2">
      <c r="A4732" s="241">
        <v>41738</v>
      </c>
      <c r="B4732" s="242">
        <v>10.3</v>
      </c>
      <c r="C4732" s="238">
        <v>9.4</v>
      </c>
    </row>
    <row r="4733" spans="1:3" x14ac:dyDescent="0.2">
      <c r="A4733" s="241">
        <v>41739</v>
      </c>
      <c r="B4733" s="242">
        <v>9.9</v>
      </c>
      <c r="C4733" s="238">
        <v>2</v>
      </c>
    </row>
    <row r="4734" spans="1:3" x14ac:dyDescent="0.2">
      <c r="A4734" s="241">
        <v>41740</v>
      </c>
      <c r="B4734" s="242">
        <v>7.7</v>
      </c>
      <c r="C4734" s="238">
        <v>9.9</v>
      </c>
    </row>
    <row r="4735" spans="1:3" x14ac:dyDescent="0.2">
      <c r="A4735" s="241">
        <v>41741</v>
      </c>
      <c r="B4735" s="242">
        <v>8.3000000000000007</v>
      </c>
      <c r="C4735" s="238">
        <v>6.8</v>
      </c>
    </row>
    <row r="4736" spans="1:3" x14ac:dyDescent="0.2">
      <c r="A4736" s="241">
        <v>41742</v>
      </c>
      <c r="B4736" s="242">
        <v>10.5</v>
      </c>
      <c r="C4736" s="238">
        <v>11.7</v>
      </c>
    </row>
    <row r="4737" spans="1:3" x14ac:dyDescent="0.2">
      <c r="A4737" s="241">
        <v>41743</v>
      </c>
      <c r="B4737" s="242">
        <v>9</v>
      </c>
      <c r="C4737" s="238">
        <v>7.6</v>
      </c>
    </row>
    <row r="4738" spans="1:3" x14ac:dyDescent="0.2">
      <c r="A4738" s="241">
        <v>41744</v>
      </c>
      <c r="B4738" s="242">
        <v>7.4</v>
      </c>
      <c r="C4738" s="238">
        <v>8</v>
      </c>
    </row>
    <row r="4739" spans="1:3" x14ac:dyDescent="0.2">
      <c r="A4739" s="241">
        <v>41745</v>
      </c>
      <c r="B4739" s="242">
        <v>7.3</v>
      </c>
      <c r="C4739" s="238">
        <v>12.7</v>
      </c>
    </row>
    <row r="4740" spans="1:3" x14ac:dyDescent="0.2">
      <c r="A4740" s="241">
        <v>41746</v>
      </c>
      <c r="B4740" s="242">
        <v>10.8</v>
      </c>
      <c r="C4740" s="238">
        <v>3.8</v>
      </c>
    </row>
    <row r="4741" spans="1:3" x14ac:dyDescent="0.2">
      <c r="A4741" s="241">
        <v>41747</v>
      </c>
      <c r="B4741" s="242">
        <v>8.5</v>
      </c>
      <c r="C4741" s="238">
        <v>5.4</v>
      </c>
    </row>
    <row r="4742" spans="1:3" x14ac:dyDescent="0.2">
      <c r="A4742" s="241">
        <v>41748</v>
      </c>
      <c r="B4742" s="242">
        <v>10.3</v>
      </c>
      <c r="C4742" s="238">
        <v>9.6</v>
      </c>
    </row>
    <row r="4743" spans="1:3" x14ac:dyDescent="0.2">
      <c r="A4743" s="241">
        <v>41749</v>
      </c>
      <c r="B4743" s="242">
        <v>14.8</v>
      </c>
      <c r="C4743" s="238">
        <v>10.7</v>
      </c>
    </row>
    <row r="4744" spans="1:3" x14ac:dyDescent="0.2">
      <c r="A4744" s="241">
        <v>41750</v>
      </c>
      <c r="B4744" s="242">
        <v>12</v>
      </c>
      <c r="C4744" s="238">
        <v>2.1</v>
      </c>
    </row>
  </sheetData>
  <phoneticPr fontId="4" type="noConversion"/>
  <hyperlinks>
    <hyperlink ref="D1" r:id="rId1" xr:uid="{00000000-0004-0000-0A00-000000000000}"/>
  </hyperlinks>
  <pageMargins left="0.75" right="0.75" top="1" bottom="1" header="0.5" footer="0.5"/>
  <pageSetup orientation="portrait" horizontalDpi="4294967293" verticalDpi="4294967293"/>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218"/>
  <sheetViews>
    <sheetView showGridLines="0" tabSelected="1" topLeftCell="A76" zoomScale="85" zoomScaleNormal="85" zoomScalePageLayoutView="90" workbookViewId="0">
      <pane xSplit="3" topLeftCell="D1" activePane="topRight" state="frozen"/>
      <selection activeCell="A47" sqref="A47"/>
      <selection pane="topRight" activeCell="G106" sqref="G106"/>
    </sheetView>
  </sheetViews>
  <sheetFormatPr defaultColWidth="9.140625" defaultRowHeight="12.75" x14ac:dyDescent="0.2"/>
  <cols>
    <col min="1" max="1" width="9.140625" style="3" customWidth="1"/>
    <col min="2" max="2" width="52.28515625" style="3" customWidth="1"/>
    <col min="3" max="3" width="15.42578125" style="5" customWidth="1"/>
    <col min="4" max="4" width="5.42578125" style="5" customWidth="1"/>
    <col min="5" max="7" width="15.42578125" style="11" customWidth="1"/>
    <col min="8" max="24" width="15.42578125" style="3" customWidth="1"/>
    <col min="25" max="16384" width="9.140625" style="3"/>
  </cols>
  <sheetData>
    <row r="1" spans="1:24" ht="13.5" thickBot="1" x14ac:dyDescent="0.25"/>
    <row r="2" spans="1:24" ht="30.75" thickBot="1" x14ac:dyDescent="0.45">
      <c r="A2" s="257" t="s">
        <v>69</v>
      </c>
      <c r="B2" s="257"/>
      <c r="C2" s="257"/>
      <c r="D2" s="257"/>
      <c r="E2" s="257"/>
      <c r="F2" s="257"/>
      <c r="G2" s="257"/>
      <c r="H2" s="257"/>
      <c r="I2" s="257"/>
      <c r="J2" s="257"/>
      <c r="K2" s="257"/>
      <c r="L2" s="257"/>
      <c r="M2" s="257"/>
      <c r="N2" s="257"/>
      <c r="O2" s="257"/>
      <c r="P2" s="257"/>
      <c r="Q2" s="257"/>
      <c r="R2" s="257"/>
      <c r="S2" s="257"/>
      <c r="T2" s="257"/>
      <c r="U2" s="257"/>
      <c r="V2" s="257"/>
      <c r="W2" s="257"/>
      <c r="X2" s="257"/>
    </row>
    <row r="5" spans="1:24" ht="20.25" x14ac:dyDescent="0.3">
      <c r="B5" s="204" t="s">
        <v>220</v>
      </c>
      <c r="E5" s="248" t="s">
        <v>339</v>
      </c>
      <c r="F5" s="249"/>
      <c r="G5" s="250"/>
      <c r="H5" s="8"/>
      <c r="I5" s="251" t="s">
        <v>340</v>
      </c>
      <c r="J5" s="252"/>
      <c r="K5" s="253"/>
      <c r="L5" s="8"/>
      <c r="M5" s="254" t="s">
        <v>341</v>
      </c>
      <c r="N5" s="255"/>
      <c r="O5" s="256"/>
      <c r="P5" s="8"/>
      <c r="Q5" s="258" t="s">
        <v>342</v>
      </c>
      <c r="R5" s="259"/>
      <c r="S5" s="260"/>
      <c r="T5" s="8"/>
      <c r="U5" s="245" t="s">
        <v>343</v>
      </c>
      <c r="V5" s="246"/>
      <c r="W5" s="247"/>
    </row>
    <row r="6" spans="1:24" ht="77.25" customHeight="1" x14ac:dyDescent="0.2">
      <c r="B6" s="214" t="s">
        <v>258</v>
      </c>
      <c r="E6" s="264" t="s">
        <v>344</v>
      </c>
      <c r="F6" s="265"/>
      <c r="G6" s="266"/>
      <c r="I6" s="267" t="s">
        <v>345</v>
      </c>
      <c r="J6" s="268"/>
      <c r="K6" s="269"/>
      <c r="M6" s="270" t="s">
        <v>345</v>
      </c>
      <c r="N6" s="271"/>
      <c r="O6" s="272"/>
      <c r="Q6" s="273" t="s">
        <v>345</v>
      </c>
      <c r="R6" s="274"/>
      <c r="S6" s="275"/>
      <c r="U6" s="261" t="s">
        <v>345</v>
      </c>
      <c r="V6" s="262"/>
      <c r="W6" s="263"/>
    </row>
    <row r="8" spans="1:24" ht="24" customHeight="1" x14ac:dyDescent="0.3">
      <c r="B8" s="9" t="s">
        <v>70</v>
      </c>
      <c r="C8" s="23"/>
      <c r="D8" s="23"/>
      <c r="E8" s="12"/>
      <c r="F8" s="12"/>
      <c r="G8" s="12"/>
      <c r="H8" s="10"/>
      <c r="I8" s="10"/>
      <c r="J8" s="10"/>
      <c r="K8" s="10"/>
      <c r="L8" s="10"/>
      <c r="M8" s="10"/>
      <c r="N8" s="10"/>
      <c r="O8" s="10"/>
      <c r="P8" s="10"/>
      <c r="Q8" s="10"/>
      <c r="R8" s="10"/>
      <c r="S8" s="10"/>
      <c r="T8" s="10"/>
      <c r="U8" s="10"/>
      <c r="V8" s="10"/>
      <c r="W8" s="10"/>
    </row>
    <row r="9" spans="1:24" ht="15" customHeight="1" x14ac:dyDescent="0.2"/>
    <row r="10" spans="1:24" ht="15" customHeight="1" x14ac:dyDescent="0.2">
      <c r="B10" s="3" t="s">
        <v>108</v>
      </c>
      <c r="C10" s="5" t="s">
        <v>110</v>
      </c>
      <c r="F10" s="108"/>
    </row>
    <row r="11" spans="1:24" ht="15" customHeight="1" x14ac:dyDescent="0.2">
      <c r="B11" s="3" t="s">
        <v>109</v>
      </c>
      <c r="C11" s="5" t="s">
        <v>48</v>
      </c>
      <c r="F11" s="13"/>
    </row>
    <row r="12" spans="1:24" s="107" customFormat="1" ht="15" customHeight="1" x14ac:dyDescent="0.2">
      <c r="B12" s="107" t="s">
        <v>278</v>
      </c>
      <c r="C12" s="5" t="s">
        <v>280</v>
      </c>
      <c r="D12" s="5"/>
      <c r="E12" s="11"/>
      <c r="F12" s="13"/>
      <c r="G12" s="11"/>
    </row>
    <row r="13" spans="1:24" s="107" customFormat="1" ht="15" customHeight="1" x14ac:dyDescent="0.2">
      <c r="B13" s="107" t="s">
        <v>279</v>
      </c>
      <c r="C13" s="5" t="s">
        <v>56</v>
      </c>
      <c r="D13" s="5"/>
      <c r="E13" s="11"/>
      <c r="F13" s="13"/>
      <c r="G13" s="11"/>
    </row>
    <row r="14" spans="1:24" ht="15" customHeight="1" x14ac:dyDescent="0.2"/>
    <row r="15" spans="1:24" ht="15" customHeight="1" x14ac:dyDescent="0.2">
      <c r="B15" s="3" t="s">
        <v>57</v>
      </c>
      <c r="C15" s="5" t="s">
        <v>61</v>
      </c>
      <c r="F15" s="13"/>
      <c r="J15" s="14">
        <f>$F$15</f>
        <v>0</v>
      </c>
      <c r="N15" s="110">
        <f>J15</f>
        <v>0</v>
      </c>
      <c r="R15" s="80">
        <f>N15</f>
        <v>0</v>
      </c>
      <c r="V15" s="84">
        <f>R15</f>
        <v>0</v>
      </c>
    </row>
    <row r="16" spans="1:24" ht="15" customHeight="1" x14ac:dyDescent="0.2">
      <c r="B16" s="3" t="s">
        <v>226</v>
      </c>
      <c r="C16" s="5" t="s">
        <v>227</v>
      </c>
      <c r="F16" s="13"/>
      <c r="J16" s="14">
        <f>$F$16</f>
        <v>0</v>
      </c>
      <c r="N16" s="110">
        <f>J16</f>
        <v>0</v>
      </c>
      <c r="R16" s="80">
        <f>N16</f>
        <v>0</v>
      </c>
      <c r="V16" s="84">
        <f>R16</f>
        <v>0</v>
      </c>
    </row>
    <row r="17" spans="2:23" ht="15" customHeight="1" x14ac:dyDescent="0.2">
      <c r="J17" s="11"/>
      <c r="N17" s="11"/>
      <c r="P17" s="107"/>
      <c r="Q17" s="107"/>
      <c r="R17" s="107"/>
      <c r="S17" s="107"/>
      <c r="T17" s="107"/>
      <c r="U17" s="107"/>
      <c r="V17" s="107"/>
      <c r="W17" s="107"/>
    </row>
    <row r="18" spans="2:23" ht="15" customHeight="1" x14ac:dyDescent="0.2">
      <c r="B18" s="3" t="s">
        <v>222</v>
      </c>
      <c r="C18" s="5" t="s">
        <v>60</v>
      </c>
      <c r="F18" s="13">
        <v>20</v>
      </c>
      <c r="J18" s="14">
        <f>$F$18</f>
        <v>20</v>
      </c>
      <c r="N18" s="15">
        <f>J18</f>
        <v>20</v>
      </c>
      <c r="R18" s="80">
        <f>N18</f>
        <v>20</v>
      </c>
      <c r="V18" s="84">
        <f>R18</f>
        <v>20</v>
      </c>
    </row>
    <row r="19" spans="2:23" ht="15" customHeight="1" x14ac:dyDescent="0.2">
      <c r="B19" s="3" t="s">
        <v>223</v>
      </c>
      <c r="C19" s="5" t="s">
        <v>60</v>
      </c>
      <c r="F19" s="13">
        <v>15</v>
      </c>
      <c r="J19" s="14">
        <f>$F$19</f>
        <v>15</v>
      </c>
      <c r="N19" s="15">
        <f>J19</f>
        <v>15</v>
      </c>
      <c r="R19" s="80">
        <f>N19</f>
        <v>15</v>
      </c>
      <c r="V19" s="84">
        <f>R19</f>
        <v>15</v>
      </c>
    </row>
    <row r="20" spans="2:23" ht="15" customHeight="1" x14ac:dyDescent="0.2">
      <c r="B20" s="3" t="s">
        <v>72</v>
      </c>
      <c r="C20" s="5" t="s">
        <v>59</v>
      </c>
      <c r="F20" s="13">
        <v>80</v>
      </c>
      <c r="J20" s="14">
        <f>$F$20</f>
        <v>80</v>
      </c>
      <c r="N20" s="15">
        <f>J20</f>
        <v>80</v>
      </c>
      <c r="R20" s="80">
        <f>N20</f>
        <v>80</v>
      </c>
      <c r="V20" s="84">
        <f>R20</f>
        <v>80</v>
      </c>
    </row>
    <row r="21" spans="2:23" ht="15" customHeight="1" x14ac:dyDescent="0.2">
      <c r="J21" s="11"/>
      <c r="N21" s="11"/>
      <c r="Q21" s="107"/>
      <c r="R21" s="107"/>
      <c r="S21" s="107"/>
      <c r="T21" s="107"/>
      <c r="U21" s="107"/>
      <c r="V21" s="107"/>
    </row>
    <row r="22" spans="2:23" ht="15" customHeight="1" x14ac:dyDescent="0.2">
      <c r="B22" s="3" t="s">
        <v>71</v>
      </c>
      <c r="F22" s="13"/>
      <c r="J22" s="14">
        <f>$F$22</f>
        <v>0</v>
      </c>
      <c r="N22" s="110">
        <f>J22</f>
        <v>0</v>
      </c>
      <c r="R22" s="80">
        <f>N22</f>
        <v>0</v>
      </c>
      <c r="V22" s="84">
        <f>R22</f>
        <v>0</v>
      </c>
    </row>
    <row r="23" spans="2:23" ht="15" customHeight="1" x14ac:dyDescent="0.2">
      <c r="B23" s="3" t="s">
        <v>116</v>
      </c>
      <c r="C23" s="5" t="s">
        <v>59</v>
      </c>
      <c r="F23" s="13">
        <v>60</v>
      </c>
      <c r="J23" s="14">
        <f>$F$23</f>
        <v>60</v>
      </c>
      <c r="N23" s="110">
        <f>J23</f>
        <v>60</v>
      </c>
      <c r="R23" s="80">
        <f>N23</f>
        <v>60</v>
      </c>
      <c r="V23" s="84">
        <f>R23</f>
        <v>60</v>
      </c>
    </row>
    <row r="24" spans="2:23" ht="15" customHeight="1" x14ac:dyDescent="0.2">
      <c r="F24" s="31"/>
    </row>
    <row r="25" spans="2:23" ht="15" customHeight="1" x14ac:dyDescent="0.2">
      <c r="B25" s="77" t="s">
        <v>221</v>
      </c>
      <c r="F25" s="31"/>
    </row>
    <row r="26" spans="2:23" ht="15" customHeight="1" x14ac:dyDescent="0.2">
      <c r="B26" s="77" t="s">
        <v>334</v>
      </c>
      <c r="C26" s="78" t="s">
        <v>186</v>
      </c>
      <c r="D26" s="78"/>
      <c r="G26" s="217">
        <f>Rekensheet_0!J23</f>
        <v>16.2</v>
      </c>
      <c r="K26" s="217">
        <f>Rekensheet_1!J23</f>
        <v>16.2</v>
      </c>
      <c r="O26" s="217">
        <f>Rekensheet_2!J23</f>
        <v>16.2</v>
      </c>
      <c r="S26" s="217">
        <f>Rekensheet_3!J23</f>
        <v>16.2</v>
      </c>
      <c r="W26" s="218">
        <f>Rekensheet_4!J23</f>
        <v>16.2</v>
      </c>
    </row>
    <row r="27" spans="2:23" ht="15" customHeight="1" x14ac:dyDescent="0.2">
      <c r="B27" s="77"/>
      <c r="C27" s="78"/>
      <c r="D27" s="78"/>
      <c r="G27" s="103"/>
      <c r="K27" s="103"/>
      <c r="O27" s="103"/>
      <c r="S27" s="103"/>
      <c r="W27" s="104"/>
    </row>
    <row r="28" spans="2:23" ht="15" customHeight="1" x14ac:dyDescent="0.2"/>
    <row r="29" spans="2:23" ht="24" customHeight="1" x14ac:dyDescent="0.3">
      <c r="B29" s="9" t="s">
        <v>73</v>
      </c>
      <c r="C29" s="23"/>
      <c r="D29" s="23"/>
      <c r="E29" s="12"/>
      <c r="F29" s="12"/>
      <c r="G29" s="12"/>
      <c r="H29" s="10"/>
      <c r="I29" s="10"/>
      <c r="J29" s="10"/>
      <c r="K29" s="10"/>
      <c r="L29" s="10"/>
      <c r="M29" s="10"/>
      <c r="N29" s="10"/>
      <c r="O29" s="10"/>
      <c r="P29" s="10"/>
      <c r="Q29" s="10"/>
      <c r="R29" s="10"/>
      <c r="S29" s="10"/>
      <c r="T29" s="10"/>
      <c r="U29" s="10"/>
      <c r="V29" s="10"/>
      <c r="W29" s="10"/>
    </row>
    <row r="30" spans="2:23" ht="15" customHeight="1" x14ac:dyDescent="0.2"/>
    <row r="31" spans="2:23" ht="15" customHeight="1" x14ac:dyDescent="0.3">
      <c r="E31" s="4" t="s">
        <v>22</v>
      </c>
      <c r="F31" s="4" t="s">
        <v>7</v>
      </c>
      <c r="G31" s="4" t="s">
        <v>20</v>
      </c>
      <c r="I31" s="4" t="s">
        <v>22</v>
      </c>
      <c r="J31" s="4" t="s">
        <v>7</v>
      </c>
      <c r="K31" s="4" t="s">
        <v>20</v>
      </c>
      <c r="L31" s="4"/>
      <c r="M31" s="4" t="s">
        <v>22</v>
      </c>
      <c r="N31" s="4" t="s">
        <v>7</v>
      </c>
      <c r="O31" s="4" t="s">
        <v>20</v>
      </c>
      <c r="P31" s="79"/>
      <c r="Q31" s="79" t="s">
        <v>22</v>
      </c>
      <c r="R31" s="79" t="s">
        <v>7</v>
      </c>
      <c r="S31" s="79" t="s">
        <v>20</v>
      </c>
      <c r="T31" s="79"/>
      <c r="U31" s="79" t="s">
        <v>22</v>
      </c>
      <c r="V31" s="79" t="s">
        <v>7</v>
      </c>
      <c r="W31" s="79" t="s">
        <v>20</v>
      </c>
    </row>
    <row r="32" spans="2:23" ht="15" customHeight="1" x14ac:dyDescent="0.2">
      <c r="E32" s="4" t="s">
        <v>8</v>
      </c>
      <c r="F32" s="4" t="s">
        <v>9</v>
      </c>
      <c r="G32" s="4" t="s">
        <v>10</v>
      </c>
      <c r="I32" s="4" t="s">
        <v>8</v>
      </c>
      <c r="J32" s="4" t="s">
        <v>9</v>
      </c>
      <c r="K32" s="4" t="s">
        <v>10</v>
      </c>
      <c r="L32" s="4"/>
      <c r="M32" s="4" t="s">
        <v>8</v>
      </c>
      <c r="N32" s="4" t="s">
        <v>9</v>
      </c>
      <c r="O32" s="4" t="s">
        <v>10</v>
      </c>
      <c r="P32" s="79"/>
      <c r="Q32" s="79" t="s">
        <v>8</v>
      </c>
      <c r="R32" s="79" t="s">
        <v>9</v>
      </c>
      <c r="S32" s="79" t="s">
        <v>10</v>
      </c>
      <c r="T32" s="79"/>
      <c r="U32" s="79" t="s">
        <v>8</v>
      </c>
      <c r="V32" s="79" t="s">
        <v>9</v>
      </c>
      <c r="W32" s="79" t="s">
        <v>10</v>
      </c>
    </row>
    <row r="33" spans="2:23" ht="15" customHeight="1" x14ac:dyDescent="0.2">
      <c r="I33" s="11"/>
      <c r="J33" s="11"/>
      <c r="K33" s="11"/>
      <c r="M33" s="11"/>
      <c r="N33" s="11"/>
      <c r="O33" s="11"/>
      <c r="Q33" s="11"/>
      <c r="R33" s="11"/>
      <c r="S33" s="11"/>
      <c r="U33" s="11"/>
      <c r="V33" s="11"/>
      <c r="W33" s="11"/>
    </row>
    <row r="34" spans="2:23" ht="15" customHeight="1" x14ac:dyDescent="0.2">
      <c r="B34" s="3" t="s">
        <v>24</v>
      </c>
      <c r="E34" s="13"/>
      <c r="F34" s="13"/>
      <c r="I34" s="14">
        <f>E34</f>
        <v>0</v>
      </c>
      <c r="J34" s="14">
        <f t="shared" ref="I34:J36" si="0">F34</f>
        <v>0</v>
      </c>
      <c r="K34" s="11"/>
      <c r="M34" s="15">
        <f t="shared" ref="M34:N36" si="1">I34</f>
        <v>0</v>
      </c>
      <c r="N34" s="15">
        <f t="shared" si="1"/>
        <v>0</v>
      </c>
      <c r="O34" s="11"/>
      <c r="Q34" s="80">
        <f>M34</f>
        <v>0</v>
      </c>
      <c r="R34" s="80">
        <f>N34</f>
        <v>0</v>
      </c>
      <c r="S34" s="11"/>
      <c r="U34" s="84">
        <f>Q34</f>
        <v>0</v>
      </c>
      <c r="V34" s="84">
        <f>R34</f>
        <v>0</v>
      </c>
      <c r="W34" s="11"/>
    </row>
    <row r="35" spans="2:23" ht="15" customHeight="1" x14ac:dyDescent="0.2">
      <c r="B35" s="3" t="s">
        <v>25</v>
      </c>
      <c r="E35" s="13"/>
      <c r="F35" s="13"/>
      <c r="I35" s="14">
        <f t="shared" si="0"/>
        <v>0</v>
      </c>
      <c r="J35" s="14">
        <f t="shared" si="0"/>
        <v>0</v>
      </c>
      <c r="K35" s="11"/>
      <c r="M35" s="15">
        <f t="shared" si="1"/>
        <v>0</v>
      </c>
      <c r="N35" s="15">
        <f t="shared" si="1"/>
        <v>0</v>
      </c>
      <c r="O35" s="11"/>
      <c r="Q35" s="80">
        <f t="shared" ref="Q35:Q55" si="2">M35</f>
        <v>0</v>
      </c>
      <c r="R35" s="80">
        <f t="shared" ref="R35:R55" si="3">N35</f>
        <v>0</v>
      </c>
      <c r="S35" s="11"/>
      <c r="U35" s="84">
        <f t="shared" ref="U35:U55" si="4">Q35</f>
        <v>0</v>
      </c>
      <c r="V35" s="84">
        <f t="shared" ref="V35:V55" si="5">R35</f>
        <v>0</v>
      </c>
      <c r="W35" s="11"/>
    </row>
    <row r="36" spans="2:23" ht="15" customHeight="1" x14ac:dyDescent="0.2">
      <c r="B36" s="3" t="s">
        <v>26</v>
      </c>
      <c r="E36" s="13"/>
      <c r="F36" s="13"/>
      <c r="I36" s="14">
        <f t="shared" si="0"/>
        <v>0</v>
      </c>
      <c r="J36" s="14">
        <f t="shared" si="0"/>
        <v>0</v>
      </c>
      <c r="K36" s="11"/>
      <c r="M36" s="15">
        <f t="shared" si="1"/>
        <v>0</v>
      </c>
      <c r="N36" s="15">
        <f t="shared" si="1"/>
        <v>0</v>
      </c>
      <c r="O36" s="11"/>
      <c r="Q36" s="80">
        <f t="shared" si="2"/>
        <v>0</v>
      </c>
      <c r="R36" s="80">
        <f t="shared" si="3"/>
        <v>0</v>
      </c>
      <c r="S36" s="11"/>
      <c r="U36" s="84">
        <f t="shared" si="4"/>
        <v>0</v>
      </c>
      <c r="V36" s="84">
        <f t="shared" si="5"/>
        <v>0</v>
      </c>
      <c r="W36" s="11"/>
    </row>
    <row r="37" spans="2:23" ht="15" customHeight="1" x14ac:dyDescent="0.2">
      <c r="I37" s="16"/>
      <c r="J37" s="16"/>
      <c r="K37" s="11"/>
      <c r="M37" s="107"/>
      <c r="N37" s="107"/>
      <c r="O37" s="11"/>
      <c r="Q37" s="11"/>
      <c r="R37" s="11"/>
      <c r="S37" s="11"/>
      <c r="U37" s="11"/>
      <c r="V37" s="11"/>
      <c r="W37" s="11"/>
    </row>
    <row r="38" spans="2:23" ht="15" customHeight="1" x14ac:dyDescent="0.2">
      <c r="B38" s="3" t="s">
        <v>27</v>
      </c>
      <c r="E38" s="13"/>
      <c r="F38" s="13"/>
      <c r="I38" s="14">
        <f>E38</f>
        <v>0</v>
      </c>
      <c r="J38" s="14">
        <f t="shared" ref="I38:J41" si="6">F38</f>
        <v>0</v>
      </c>
      <c r="K38" s="11"/>
      <c r="M38" s="15">
        <f>I38</f>
        <v>0</v>
      </c>
      <c r="N38" s="15">
        <f>J38</f>
        <v>0</v>
      </c>
      <c r="O38" s="11"/>
      <c r="Q38" s="80">
        <f t="shared" si="2"/>
        <v>0</v>
      </c>
      <c r="R38" s="80">
        <f t="shared" si="3"/>
        <v>0</v>
      </c>
      <c r="S38" s="11"/>
      <c r="U38" s="84">
        <f t="shared" si="4"/>
        <v>0</v>
      </c>
      <c r="V38" s="84">
        <f t="shared" si="5"/>
        <v>0</v>
      </c>
      <c r="W38" s="11"/>
    </row>
    <row r="39" spans="2:23" ht="15" customHeight="1" x14ac:dyDescent="0.2">
      <c r="B39" s="3" t="s">
        <v>28</v>
      </c>
      <c r="E39" s="13"/>
      <c r="F39" s="13"/>
      <c r="I39" s="14">
        <f t="shared" si="6"/>
        <v>0</v>
      </c>
      <c r="J39" s="14">
        <f t="shared" si="6"/>
        <v>0</v>
      </c>
      <c r="K39" s="11"/>
      <c r="M39" s="15">
        <f t="shared" ref="M39:M41" si="7">I39</f>
        <v>0</v>
      </c>
      <c r="N39" s="15">
        <f t="shared" ref="N39:N41" si="8">J39</f>
        <v>0</v>
      </c>
      <c r="O39" s="11"/>
      <c r="Q39" s="80">
        <f t="shared" si="2"/>
        <v>0</v>
      </c>
      <c r="R39" s="80">
        <f t="shared" si="3"/>
        <v>0</v>
      </c>
      <c r="S39" s="11"/>
      <c r="U39" s="84">
        <f t="shared" si="4"/>
        <v>0</v>
      </c>
      <c r="V39" s="84">
        <f t="shared" si="5"/>
        <v>0</v>
      </c>
      <c r="W39" s="11"/>
    </row>
    <row r="40" spans="2:23" ht="15" customHeight="1" x14ac:dyDescent="0.2">
      <c r="B40" s="3" t="s">
        <v>29</v>
      </c>
      <c r="E40" s="13"/>
      <c r="F40" s="13"/>
      <c r="I40" s="14">
        <f t="shared" si="6"/>
        <v>0</v>
      </c>
      <c r="J40" s="14">
        <f t="shared" si="6"/>
        <v>0</v>
      </c>
      <c r="K40" s="11"/>
      <c r="M40" s="15">
        <f t="shared" si="7"/>
        <v>0</v>
      </c>
      <c r="N40" s="15">
        <f t="shared" si="8"/>
        <v>0</v>
      </c>
      <c r="O40" s="11"/>
      <c r="Q40" s="80">
        <f t="shared" si="2"/>
        <v>0</v>
      </c>
      <c r="R40" s="80">
        <f t="shared" si="3"/>
        <v>0</v>
      </c>
      <c r="S40" s="11"/>
      <c r="U40" s="84">
        <f t="shared" si="4"/>
        <v>0</v>
      </c>
      <c r="V40" s="84">
        <f t="shared" si="5"/>
        <v>0</v>
      </c>
      <c r="W40" s="11"/>
    </row>
    <row r="41" spans="2:23" ht="15" customHeight="1" x14ac:dyDescent="0.2">
      <c r="B41" s="3" t="s">
        <v>62</v>
      </c>
      <c r="E41" s="13"/>
      <c r="F41" s="13"/>
      <c r="I41" s="14">
        <f t="shared" si="6"/>
        <v>0</v>
      </c>
      <c r="J41" s="14">
        <f t="shared" si="6"/>
        <v>0</v>
      </c>
      <c r="K41" s="11"/>
      <c r="M41" s="15">
        <f t="shared" si="7"/>
        <v>0</v>
      </c>
      <c r="N41" s="15">
        <f t="shared" si="8"/>
        <v>0</v>
      </c>
      <c r="O41" s="11"/>
      <c r="Q41" s="80">
        <f t="shared" si="2"/>
        <v>0</v>
      </c>
      <c r="R41" s="80">
        <f t="shared" si="3"/>
        <v>0</v>
      </c>
      <c r="S41" s="11"/>
      <c r="U41" s="84">
        <f t="shared" si="4"/>
        <v>0</v>
      </c>
      <c r="V41" s="84">
        <f t="shared" si="5"/>
        <v>0</v>
      </c>
      <c r="W41" s="11"/>
    </row>
    <row r="42" spans="2:23" ht="15" customHeight="1" x14ac:dyDescent="0.2">
      <c r="I42" s="16"/>
      <c r="J42" s="16"/>
      <c r="K42" s="11"/>
      <c r="M42" s="107"/>
      <c r="N42" s="107"/>
      <c r="O42" s="11"/>
      <c r="Q42" s="11"/>
      <c r="R42" s="11"/>
      <c r="S42" s="11"/>
      <c r="U42" s="11"/>
      <c r="V42" s="11"/>
      <c r="W42" s="11"/>
    </row>
    <row r="43" spans="2:23" ht="15" customHeight="1" x14ac:dyDescent="0.2">
      <c r="B43" s="3" t="s">
        <v>74</v>
      </c>
      <c r="E43" s="13"/>
      <c r="F43" s="13"/>
      <c r="I43" s="14">
        <f>E43</f>
        <v>0</v>
      </c>
      <c r="J43" s="14">
        <f t="shared" ref="I43:J46" si="9">F43</f>
        <v>0</v>
      </c>
      <c r="K43" s="11"/>
      <c r="M43" s="15">
        <f t="shared" ref="M43:M46" si="10">I43</f>
        <v>0</v>
      </c>
      <c r="N43" s="15">
        <f t="shared" ref="N43:N46" si="11">J43</f>
        <v>0</v>
      </c>
      <c r="O43" s="11"/>
      <c r="Q43" s="80">
        <f t="shared" si="2"/>
        <v>0</v>
      </c>
      <c r="R43" s="80">
        <f t="shared" si="3"/>
        <v>0</v>
      </c>
      <c r="S43" s="11"/>
      <c r="U43" s="84">
        <f t="shared" si="4"/>
        <v>0</v>
      </c>
      <c r="V43" s="84">
        <f t="shared" si="5"/>
        <v>0</v>
      </c>
      <c r="W43" s="11"/>
    </row>
    <row r="44" spans="2:23" ht="15" customHeight="1" x14ac:dyDescent="0.2">
      <c r="B44" s="3" t="s">
        <v>65</v>
      </c>
      <c r="E44" s="13"/>
      <c r="F44" s="13"/>
      <c r="I44" s="14">
        <f t="shared" si="9"/>
        <v>0</v>
      </c>
      <c r="J44" s="14">
        <f t="shared" si="9"/>
        <v>0</v>
      </c>
      <c r="K44" s="11"/>
      <c r="M44" s="15">
        <f t="shared" si="10"/>
        <v>0</v>
      </c>
      <c r="N44" s="15">
        <f t="shared" si="11"/>
        <v>0</v>
      </c>
      <c r="O44" s="11"/>
      <c r="Q44" s="80">
        <f t="shared" si="2"/>
        <v>0</v>
      </c>
      <c r="R44" s="80">
        <f t="shared" si="3"/>
        <v>0</v>
      </c>
      <c r="S44" s="11"/>
      <c r="U44" s="84">
        <f t="shared" si="4"/>
        <v>0</v>
      </c>
      <c r="V44" s="84">
        <f t="shared" si="5"/>
        <v>0</v>
      </c>
      <c r="W44" s="11"/>
    </row>
    <row r="45" spans="2:23" ht="15" customHeight="1" x14ac:dyDescent="0.2">
      <c r="B45" s="3" t="s">
        <v>64</v>
      </c>
      <c r="E45" s="13"/>
      <c r="F45" s="13"/>
      <c r="I45" s="14">
        <f t="shared" si="9"/>
        <v>0</v>
      </c>
      <c r="J45" s="14">
        <f t="shared" si="9"/>
        <v>0</v>
      </c>
      <c r="K45" s="11"/>
      <c r="M45" s="15">
        <f t="shared" si="10"/>
        <v>0</v>
      </c>
      <c r="N45" s="15">
        <f t="shared" si="11"/>
        <v>0</v>
      </c>
      <c r="O45" s="11"/>
      <c r="Q45" s="80">
        <f t="shared" si="2"/>
        <v>0</v>
      </c>
      <c r="R45" s="80">
        <f t="shared" si="3"/>
        <v>0</v>
      </c>
      <c r="S45" s="11"/>
      <c r="U45" s="84">
        <f t="shared" si="4"/>
        <v>0</v>
      </c>
      <c r="V45" s="84">
        <f t="shared" si="5"/>
        <v>0</v>
      </c>
      <c r="W45" s="11"/>
    </row>
    <row r="46" spans="2:23" ht="15" customHeight="1" x14ac:dyDescent="0.2">
      <c r="B46" s="3" t="s">
        <v>63</v>
      </c>
      <c r="E46" s="13"/>
      <c r="F46" s="13"/>
      <c r="I46" s="14">
        <f t="shared" si="9"/>
        <v>0</v>
      </c>
      <c r="J46" s="14">
        <f t="shared" si="9"/>
        <v>0</v>
      </c>
      <c r="K46" s="11"/>
      <c r="M46" s="15">
        <f t="shared" si="10"/>
        <v>0</v>
      </c>
      <c r="N46" s="15">
        <f t="shared" si="11"/>
        <v>0</v>
      </c>
      <c r="O46" s="11"/>
      <c r="Q46" s="80">
        <f t="shared" si="2"/>
        <v>0</v>
      </c>
      <c r="R46" s="80">
        <f t="shared" si="3"/>
        <v>0</v>
      </c>
      <c r="S46" s="11"/>
      <c r="U46" s="84">
        <f t="shared" si="4"/>
        <v>0</v>
      </c>
      <c r="V46" s="84">
        <f t="shared" si="5"/>
        <v>0</v>
      </c>
      <c r="W46" s="11"/>
    </row>
    <row r="47" spans="2:23" ht="15" customHeight="1" x14ac:dyDescent="0.2">
      <c r="I47" s="16"/>
      <c r="J47" s="16"/>
      <c r="K47" s="11"/>
      <c r="M47" s="107"/>
      <c r="N47" s="107"/>
      <c r="O47" s="11"/>
      <c r="Q47" s="11"/>
      <c r="R47" s="11"/>
      <c r="S47" s="11"/>
      <c r="U47" s="11"/>
      <c r="V47" s="11"/>
      <c r="W47" s="11"/>
    </row>
    <row r="48" spans="2:23" ht="15" customHeight="1" x14ac:dyDescent="0.2">
      <c r="B48" s="3" t="s">
        <v>66</v>
      </c>
      <c r="E48" s="13"/>
      <c r="F48" s="13"/>
      <c r="I48" s="14">
        <f>E48</f>
        <v>0</v>
      </c>
      <c r="J48" s="14">
        <f>F48</f>
        <v>0</v>
      </c>
      <c r="K48" s="11"/>
      <c r="M48" s="15">
        <f t="shared" ref="M48:M50" si="12">I48</f>
        <v>0</v>
      </c>
      <c r="N48" s="15">
        <f t="shared" ref="N48:N50" si="13">J48</f>
        <v>0</v>
      </c>
      <c r="O48" s="11"/>
      <c r="Q48" s="80">
        <f t="shared" si="2"/>
        <v>0</v>
      </c>
      <c r="R48" s="80">
        <f t="shared" si="3"/>
        <v>0</v>
      </c>
      <c r="S48" s="11"/>
      <c r="U48" s="84">
        <f t="shared" si="4"/>
        <v>0</v>
      </c>
      <c r="V48" s="84">
        <f t="shared" si="5"/>
        <v>0</v>
      </c>
      <c r="W48" s="11"/>
    </row>
    <row r="49" spans="2:23" ht="15" customHeight="1" x14ac:dyDescent="0.2">
      <c r="B49" s="3" t="s">
        <v>67</v>
      </c>
      <c r="E49" s="13"/>
      <c r="F49" s="13"/>
      <c r="I49" s="14">
        <f t="shared" ref="I49:J50" si="14">E49</f>
        <v>0</v>
      </c>
      <c r="J49" s="14">
        <f t="shared" si="14"/>
        <v>0</v>
      </c>
      <c r="K49" s="11"/>
      <c r="M49" s="15">
        <f t="shared" si="12"/>
        <v>0</v>
      </c>
      <c r="N49" s="15">
        <f t="shared" si="13"/>
        <v>0</v>
      </c>
      <c r="O49" s="11"/>
      <c r="Q49" s="80">
        <f t="shared" si="2"/>
        <v>0</v>
      </c>
      <c r="R49" s="80">
        <f t="shared" si="3"/>
        <v>0</v>
      </c>
      <c r="S49" s="11"/>
      <c r="U49" s="84">
        <f t="shared" si="4"/>
        <v>0</v>
      </c>
      <c r="V49" s="84">
        <f t="shared" si="5"/>
        <v>0</v>
      </c>
      <c r="W49" s="11"/>
    </row>
    <row r="50" spans="2:23" ht="15" customHeight="1" x14ac:dyDescent="0.2">
      <c r="B50" s="3" t="s">
        <v>68</v>
      </c>
      <c r="E50" s="13"/>
      <c r="F50" s="13"/>
      <c r="I50" s="14">
        <f t="shared" si="14"/>
        <v>0</v>
      </c>
      <c r="J50" s="14">
        <f t="shared" si="14"/>
        <v>0</v>
      </c>
      <c r="K50" s="11"/>
      <c r="M50" s="15">
        <f t="shared" si="12"/>
        <v>0</v>
      </c>
      <c r="N50" s="15">
        <f t="shared" si="13"/>
        <v>0</v>
      </c>
      <c r="O50" s="11"/>
      <c r="Q50" s="80">
        <f t="shared" si="2"/>
        <v>0</v>
      </c>
      <c r="R50" s="80">
        <f t="shared" si="3"/>
        <v>0</v>
      </c>
      <c r="S50" s="11"/>
      <c r="U50" s="84">
        <f t="shared" si="4"/>
        <v>0</v>
      </c>
      <c r="V50" s="84">
        <f t="shared" si="5"/>
        <v>0</v>
      </c>
      <c r="W50" s="11"/>
    </row>
    <row r="51" spans="2:23" ht="15" customHeight="1" x14ac:dyDescent="0.2">
      <c r="I51" s="16"/>
      <c r="J51" s="16"/>
      <c r="K51" s="11"/>
      <c r="M51" s="107"/>
      <c r="N51" s="107"/>
      <c r="O51" s="11"/>
      <c r="Q51" s="11"/>
      <c r="R51" s="11"/>
      <c r="S51" s="11"/>
      <c r="U51" s="11"/>
      <c r="V51" s="11"/>
      <c r="W51" s="11"/>
    </row>
    <row r="52" spans="2:23" ht="15" customHeight="1" x14ac:dyDescent="0.2">
      <c r="B52" s="3" t="s">
        <v>249</v>
      </c>
      <c r="E52" s="13"/>
      <c r="F52" s="13"/>
      <c r="I52" s="14">
        <f>E52</f>
        <v>0</v>
      </c>
      <c r="J52" s="14">
        <f>F52</f>
        <v>0</v>
      </c>
      <c r="K52" s="11"/>
      <c r="M52" s="15">
        <f t="shared" ref="M52:M54" si="15">I52</f>
        <v>0</v>
      </c>
      <c r="N52" s="15">
        <f t="shared" ref="N52:N54" si="16">J52</f>
        <v>0</v>
      </c>
      <c r="O52" s="11"/>
      <c r="Q52" s="80">
        <f t="shared" si="2"/>
        <v>0</v>
      </c>
      <c r="R52" s="80">
        <f t="shared" si="3"/>
        <v>0</v>
      </c>
      <c r="S52" s="11"/>
      <c r="U52" s="84">
        <f t="shared" si="4"/>
        <v>0</v>
      </c>
      <c r="V52" s="84">
        <f t="shared" si="5"/>
        <v>0</v>
      </c>
      <c r="W52" s="11"/>
    </row>
    <row r="53" spans="2:23" ht="15" customHeight="1" x14ac:dyDescent="0.2">
      <c r="B53" s="3" t="s">
        <v>257</v>
      </c>
      <c r="E53" s="13"/>
      <c r="F53" s="13"/>
      <c r="I53" s="14">
        <f t="shared" ref="I53:I55" si="17">E53</f>
        <v>0</v>
      </c>
      <c r="J53" s="14">
        <f t="shared" ref="J53:J55" si="18">F53</f>
        <v>0</v>
      </c>
      <c r="K53" s="11"/>
      <c r="M53" s="15">
        <f t="shared" si="15"/>
        <v>0</v>
      </c>
      <c r="N53" s="15">
        <f t="shared" si="16"/>
        <v>0</v>
      </c>
      <c r="O53" s="11"/>
      <c r="Q53" s="80">
        <f t="shared" si="2"/>
        <v>0</v>
      </c>
      <c r="R53" s="80">
        <f t="shared" si="3"/>
        <v>0</v>
      </c>
      <c r="S53" s="11"/>
      <c r="U53" s="84">
        <f t="shared" si="4"/>
        <v>0</v>
      </c>
      <c r="V53" s="84">
        <f t="shared" si="5"/>
        <v>0</v>
      </c>
      <c r="W53" s="11"/>
    </row>
    <row r="54" spans="2:23" ht="15" customHeight="1" x14ac:dyDescent="0.2">
      <c r="B54" s="3" t="s">
        <v>256</v>
      </c>
      <c r="E54" s="13"/>
      <c r="F54" s="13"/>
      <c r="I54" s="14">
        <f t="shared" si="17"/>
        <v>0</v>
      </c>
      <c r="J54" s="14">
        <f t="shared" si="18"/>
        <v>0</v>
      </c>
      <c r="K54" s="11"/>
      <c r="M54" s="15">
        <f t="shared" si="15"/>
        <v>0</v>
      </c>
      <c r="N54" s="15">
        <f t="shared" si="16"/>
        <v>0</v>
      </c>
      <c r="O54" s="11"/>
      <c r="Q54" s="80">
        <f t="shared" si="2"/>
        <v>0</v>
      </c>
      <c r="R54" s="80">
        <f t="shared" si="3"/>
        <v>0</v>
      </c>
      <c r="S54" s="11"/>
      <c r="U54" s="84">
        <f t="shared" si="4"/>
        <v>0</v>
      </c>
      <c r="V54" s="84">
        <f t="shared" si="5"/>
        <v>0</v>
      </c>
      <c r="W54" s="11"/>
    </row>
    <row r="55" spans="2:23" ht="15" customHeight="1" x14ac:dyDescent="0.2">
      <c r="B55" s="3" t="s">
        <v>255</v>
      </c>
      <c r="E55" s="13"/>
      <c r="F55" s="13"/>
      <c r="I55" s="14">
        <f t="shared" si="17"/>
        <v>0</v>
      </c>
      <c r="J55" s="14">
        <f t="shared" si="18"/>
        <v>0</v>
      </c>
      <c r="K55" s="11"/>
      <c r="M55" s="15">
        <f t="shared" ref="M55:M59" si="19">I55</f>
        <v>0</v>
      </c>
      <c r="N55" s="15">
        <f t="shared" ref="N55" si="20">J55</f>
        <v>0</v>
      </c>
      <c r="O55" s="11"/>
      <c r="Q55" s="80">
        <f t="shared" si="2"/>
        <v>0</v>
      </c>
      <c r="R55" s="80">
        <f t="shared" si="3"/>
        <v>0</v>
      </c>
      <c r="S55" s="11"/>
      <c r="U55" s="84">
        <f t="shared" si="4"/>
        <v>0</v>
      </c>
      <c r="V55" s="84">
        <f t="shared" si="5"/>
        <v>0</v>
      </c>
      <c r="W55" s="11"/>
    </row>
    <row r="56" spans="2:23" ht="15" customHeight="1" x14ac:dyDescent="0.2">
      <c r="B56" s="3" t="s">
        <v>254</v>
      </c>
      <c r="E56" s="13"/>
      <c r="G56" s="13"/>
      <c r="I56" s="14">
        <f>E56</f>
        <v>0</v>
      </c>
      <c r="J56" s="11"/>
      <c r="K56" s="14">
        <f t="shared" ref="K56:K59" si="21">G56</f>
        <v>0</v>
      </c>
      <c r="M56" s="15">
        <f t="shared" si="19"/>
        <v>0</v>
      </c>
      <c r="N56" s="11"/>
      <c r="O56" s="15">
        <f>K56</f>
        <v>0</v>
      </c>
      <c r="Q56" s="80">
        <f>M56</f>
        <v>0</v>
      </c>
      <c r="R56" s="11"/>
      <c r="S56" s="80">
        <f>O56</f>
        <v>0</v>
      </c>
      <c r="U56" s="84">
        <f>Q56</f>
        <v>0</v>
      </c>
      <c r="V56" s="11"/>
      <c r="W56" s="84">
        <f>S56</f>
        <v>0</v>
      </c>
    </row>
    <row r="57" spans="2:23" ht="15" customHeight="1" x14ac:dyDescent="0.2">
      <c r="B57" s="3" t="s">
        <v>253</v>
      </c>
      <c r="E57" s="13"/>
      <c r="G57" s="13"/>
      <c r="I57" s="14">
        <f t="shared" ref="I57:I59" si="22">E57</f>
        <v>0</v>
      </c>
      <c r="J57" s="11"/>
      <c r="K57" s="14">
        <f t="shared" si="21"/>
        <v>0</v>
      </c>
      <c r="M57" s="15">
        <f t="shared" si="19"/>
        <v>0</v>
      </c>
      <c r="N57" s="11"/>
      <c r="O57" s="15">
        <f t="shared" ref="O57:O59" si="23">K57</f>
        <v>0</v>
      </c>
      <c r="Q57" s="80">
        <f t="shared" ref="Q57:Q65" si="24">M57</f>
        <v>0</v>
      </c>
      <c r="R57" s="11"/>
      <c r="S57" s="80">
        <f>O57</f>
        <v>0</v>
      </c>
      <c r="U57" s="84">
        <f t="shared" ref="U57:U65" si="25">Q57</f>
        <v>0</v>
      </c>
      <c r="V57" s="11"/>
      <c r="W57" s="84">
        <f t="shared" ref="W57:W65" si="26">S57</f>
        <v>0</v>
      </c>
    </row>
    <row r="58" spans="2:23" ht="15" customHeight="1" x14ac:dyDescent="0.2">
      <c r="B58" s="3" t="s">
        <v>252</v>
      </c>
      <c r="E58" s="13"/>
      <c r="G58" s="13"/>
      <c r="I58" s="14">
        <f t="shared" si="22"/>
        <v>0</v>
      </c>
      <c r="J58" s="11"/>
      <c r="K58" s="14">
        <f t="shared" si="21"/>
        <v>0</v>
      </c>
      <c r="M58" s="15">
        <f t="shared" si="19"/>
        <v>0</v>
      </c>
      <c r="N58" s="11"/>
      <c r="O58" s="15">
        <f t="shared" si="23"/>
        <v>0</v>
      </c>
      <c r="Q58" s="80">
        <f t="shared" si="24"/>
        <v>0</v>
      </c>
      <c r="R58" s="11"/>
      <c r="S58" s="80">
        <f>O58</f>
        <v>0</v>
      </c>
      <c r="U58" s="84">
        <f t="shared" si="25"/>
        <v>0</v>
      </c>
      <c r="V58" s="11"/>
      <c r="W58" s="84">
        <f t="shared" si="26"/>
        <v>0</v>
      </c>
    </row>
    <row r="59" spans="2:23" ht="15" customHeight="1" x14ac:dyDescent="0.2">
      <c r="B59" s="3" t="s">
        <v>250</v>
      </c>
      <c r="E59" s="13"/>
      <c r="G59" s="13"/>
      <c r="I59" s="14">
        <f t="shared" si="22"/>
        <v>0</v>
      </c>
      <c r="J59" s="11"/>
      <c r="K59" s="14">
        <f t="shared" si="21"/>
        <v>0</v>
      </c>
      <c r="M59" s="15">
        <f t="shared" si="19"/>
        <v>0</v>
      </c>
      <c r="N59" s="11"/>
      <c r="O59" s="15">
        <f t="shared" si="23"/>
        <v>0</v>
      </c>
      <c r="Q59" s="80">
        <f t="shared" si="24"/>
        <v>0</v>
      </c>
      <c r="R59" s="11"/>
      <c r="S59" s="80">
        <f t="shared" ref="S59:S65" si="27">O59</f>
        <v>0</v>
      </c>
      <c r="U59" s="84">
        <f t="shared" si="25"/>
        <v>0</v>
      </c>
      <c r="V59" s="11"/>
      <c r="W59" s="84">
        <f t="shared" si="26"/>
        <v>0</v>
      </c>
    </row>
    <row r="60" spans="2:23" ht="15" customHeight="1" x14ac:dyDescent="0.2">
      <c r="I60" s="11"/>
      <c r="J60" s="11"/>
      <c r="K60" s="11"/>
      <c r="M60" s="107"/>
      <c r="N60" s="11"/>
      <c r="O60" s="107"/>
      <c r="Q60" s="11"/>
      <c r="R60" s="11"/>
      <c r="S60" s="11"/>
      <c r="U60" s="107"/>
      <c r="V60" s="11"/>
      <c r="W60" s="107"/>
    </row>
    <row r="61" spans="2:23" ht="15" customHeight="1" x14ac:dyDescent="0.2">
      <c r="B61" s="3" t="s">
        <v>259</v>
      </c>
      <c r="E61" s="13"/>
      <c r="G61" s="13"/>
      <c r="I61" s="18">
        <f>E61</f>
        <v>0</v>
      </c>
      <c r="J61" s="11"/>
      <c r="K61" s="14">
        <f>G61</f>
        <v>0</v>
      </c>
      <c r="M61" s="19">
        <f>I61</f>
        <v>0</v>
      </c>
      <c r="N61" s="11"/>
      <c r="O61" s="15">
        <f>K61</f>
        <v>0</v>
      </c>
      <c r="Q61" s="80">
        <f t="shared" si="24"/>
        <v>0</v>
      </c>
      <c r="R61" s="11"/>
      <c r="S61" s="80">
        <f t="shared" si="27"/>
        <v>0</v>
      </c>
      <c r="U61" s="84">
        <f t="shared" si="25"/>
        <v>0</v>
      </c>
      <c r="V61" s="11"/>
      <c r="W61" s="84">
        <f t="shared" si="26"/>
        <v>0</v>
      </c>
    </row>
    <row r="62" spans="2:23" ht="15" customHeight="1" x14ac:dyDescent="0.2">
      <c r="B62" s="107" t="s">
        <v>259</v>
      </c>
      <c r="E62" s="13"/>
      <c r="G62" s="13"/>
      <c r="I62" s="18">
        <f t="shared" ref="I62:I65" si="28">E62</f>
        <v>0</v>
      </c>
      <c r="J62" s="11"/>
      <c r="K62" s="14">
        <f t="shared" ref="K62:K65" si="29">G62</f>
        <v>0</v>
      </c>
      <c r="M62" s="19">
        <f t="shared" ref="M62:M65" si="30">I62</f>
        <v>0</v>
      </c>
      <c r="N62" s="11"/>
      <c r="O62" s="15">
        <f t="shared" ref="O62:O65" si="31">K62</f>
        <v>0</v>
      </c>
      <c r="Q62" s="80">
        <f t="shared" si="24"/>
        <v>0</v>
      </c>
      <c r="R62" s="11"/>
      <c r="S62" s="80">
        <f t="shared" si="27"/>
        <v>0</v>
      </c>
      <c r="U62" s="84">
        <f t="shared" si="25"/>
        <v>0</v>
      </c>
      <c r="V62" s="11"/>
      <c r="W62" s="84">
        <f t="shared" si="26"/>
        <v>0</v>
      </c>
    </row>
    <row r="63" spans="2:23" ht="15" customHeight="1" x14ac:dyDescent="0.2">
      <c r="B63" s="107" t="s">
        <v>259</v>
      </c>
      <c r="E63" s="13"/>
      <c r="G63" s="13"/>
      <c r="I63" s="18">
        <f t="shared" si="28"/>
        <v>0</v>
      </c>
      <c r="J63" s="11"/>
      <c r="K63" s="14">
        <f t="shared" si="29"/>
        <v>0</v>
      </c>
      <c r="M63" s="19">
        <f>I63</f>
        <v>0</v>
      </c>
      <c r="N63" s="11"/>
      <c r="O63" s="15">
        <f t="shared" si="31"/>
        <v>0</v>
      </c>
      <c r="Q63" s="80">
        <f t="shared" si="24"/>
        <v>0</v>
      </c>
      <c r="R63" s="11"/>
      <c r="S63" s="80">
        <f t="shared" si="27"/>
        <v>0</v>
      </c>
      <c r="U63" s="84">
        <f t="shared" si="25"/>
        <v>0</v>
      </c>
      <c r="V63" s="11"/>
      <c r="W63" s="84">
        <f t="shared" si="26"/>
        <v>0</v>
      </c>
    </row>
    <row r="64" spans="2:23" ht="15" customHeight="1" x14ac:dyDescent="0.2">
      <c r="B64" s="107" t="s">
        <v>259</v>
      </c>
      <c r="E64" s="13"/>
      <c r="G64" s="13"/>
      <c r="I64" s="18">
        <f t="shared" si="28"/>
        <v>0</v>
      </c>
      <c r="J64" s="11"/>
      <c r="K64" s="14">
        <f t="shared" si="29"/>
        <v>0</v>
      </c>
      <c r="M64" s="19">
        <f t="shared" si="30"/>
        <v>0</v>
      </c>
      <c r="N64" s="11"/>
      <c r="O64" s="15">
        <f t="shared" si="31"/>
        <v>0</v>
      </c>
      <c r="Q64" s="80">
        <f t="shared" si="24"/>
        <v>0</v>
      </c>
      <c r="R64" s="11"/>
      <c r="S64" s="80">
        <f t="shared" si="27"/>
        <v>0</v>
      </c>
      <c r="U64" s="84">
        <f t="shared" si="25"/>
        <v>0</v>
      </c>
      <c r="V64" s="11"/>
      <c r="W64" s="84">
        <f>S64</f>
        <v>0</v>
      </c>
    </row>
    <row r="65" spans="2:23" ht="15" customHeight="1" x14ac:dyDescent="0.2">
      <c r="B65" s="107" t="s">
        <v>259</v>
      </c>
      <c r="E65" s="13"/>
      <c r="G65" s="13"/>
      <c r="I65" s="18">
        <f t="shared" si="28"/>
        <v>0</v>
      </c>
      <c r="J65" s="11"/>
      <c r="K65" s="14">
        <f t="shared" si="29"/>
        <v>0</v>
      </c>
      <c r="M65" s="19">
        <f t="shared" si="30"/>
        <v>0</v>
      </c>
      <c r="N65" s="11"/>
      <c r="O65" s="15">
        <f t="shared" si="31"/>
        <v>0</v>
      </c>
      <c r="Q65" s="80">
        <f t="shared" si="24"/>
        <v>0</v>
      </c>
      <c r="R65" s="11"/>
      <c r="S65" s="80">
        <f t="shared" si="27"/>
        <v>0</v>
      </c>
      <c r="U65" s="84">
        <f t="shared" si="25"/>
        <v>0</v>
      </c>
      <c r="V65" s="11"/>
      <c r="W65" s="84">
        <f t="shared" si="26"/>
        <v>0</v>
      </c>
    </row>
    <row r="66" spans="2:23" ht="15" customHeight="1" x14ac:dyDescent="0.2"/>
    <row r="67" spans="2:23" ht="15" customHeight="1" x14ac:dyDescent="0.2"/>
    <row r="68" spans="2:23" ht="24" customHeight="1" x14ac:dyDescent="0.3">
      <c r="B68" s="9" t="s">
        <v>77</v>
      </c>
      <c r="C68" s="23"/>
      <c r="D68" s="23"/>
      <c r="E68" s="12"/>
      <c r="F68" s="12"/>
      <c r="G68" s="12"/>
      <c r="H68" s="10"/>
      <c r="I68" s="10"/>
      <c r="J68" s="10"/>
      <c r="K68" s="10"/>
      <c r="L68" s="10"/>
      <c r="M68" s="10"/>
      <c r="N68" s="10"/>
      <c r="O68" s="10"/>
      <c r="P68" s="10"/>
      <c r="Q68" s="10"/>
      <c r="R68" s="10"/>
      <c r="S68" s="10"/>
      <c r="T68" s="10"/>
      <c r="U68" s="10"/>
      <c r="V68" s="10"/>
      <c r="W68" s="10"/>
    </row>
    <row r="69" spans="2:23" ht="15" customHeight="1" x14ac:dyDescent="0.2">
      <c r="I69" s="107"/>
    </row>
    <row r="70" spans="2:23" ht="15" customHeight="1" x14ac:dyDescent="0.2">
      <c r="B70" s="3" t="s">
        <v>46</v>
      </c>
      <c r="C70" s="5" t="s">
        <v>17</v>
      </c>
      <c r="F70" s="13"/>
      <c r="J70" s="14">
        <f>I70+F70</f>
        <v>0</v>
      </c>
      <c r="N70" s="15">
        <f>J70</f>
        <v>0</v>
      </c>
      <c r="R70" s="80">
        <f>N70</f>
        <v>0</v>
      </c>
      <c r="V70" s="84">
        <f>R70</f>
        <v>0</v>
      </c>
    </row>
    <row r="71" spans="2:23" ht="15" customHeight="1" x14ac:dyDescent="0.2">
      <c r="E71" s="204"/>
    </row>
    <row r="72" spans="2:23" ht="15" customHeight="1" x14ac:dyDescent="0.2">
      <c r="B72" s="3" t="s">
        <v>39</v>
      </c>
      <c r="C72" s="5" t="s">
        <v>78</v>
      </c>
      <c r="F72" s="20"/>
      <c r="J72" s="21">
        <f>F72</f>
        <v>0</v>
      </c>
      <c r="N72" s="22">
        <f>J72</f>
        <v>0</v>
      </c>
      <c r="R72" s="83">
        <f>N72</f>
        <v>0</v>
      </c>
      <c r="V72" s="85">
        <f>R72</f>
        <v>0</v>
      </c>
    </row>
    <row r="73" spans="2:23" ht="15" customHeight="1" x14ac:dyDescent="0.2">
      <c r="B73" s="112" t="s">
        <v>263</v>
      </c>
      <c r="C73" s="113"/>
      <c r="D73" s="113"/>
      <c r="E73" s="114"/>
      <c r="F73" s="221"/>
      <c r="G73" s="114"/>
      <c r="J73" s="21">
        <f>F73</f>
        <v>0</v>
      </c>
      <c r="N73" s="22">
        <f>J73</f>
        <v>0</v>
      </c>
      <c r="R73" s="83">
        <f>N73</f>
        <v>0</v>
      </c>
      <c r="V73" s="85">
        <f>R73</f>
        <v>0</v>
      </c>
    </row>
    <row r="74" spans="2:23" ht="15" customHeight="1" x14ac:dyDescent="0.2">
      <c r="B74" s="3" t="s">
        <v>43</v>
      </c>
      <c r="F74" s="20"/>
      <c r="J74" s="21">
        <f>F74</f>
        <v>0</v>
      </c>
      <c r="N74" s="22">
        <f>J74</f>
        <v>0</v>
      </c>
      <c r="R74" s="83">
        <f>N74</f>
        <v>0</v>
      </c>
      <c r="V74" s="85">
        <f>R74</f>
        <v>0</v>
      </c>
    </row>
    <row r="75" spans="2:23" ht="15" customHeight="1" x14ac:dyDescent="0.2">
      <c r="B75" s="3" t="s">
        <v>38</v>
      </c>
      <c r="C75" s="5" t="s">
        <v>59</v>
      </c>
      <c r="F75" s="102"/>
      <c r="J75" s="117">
        <f>F75</f>
        <v>0</v>
      </c>
      <c r="N75" s="118">
        <f>J75</f>
        <v>0</v>
      </c>
      <c r="R75" s="116">
        <f>N75</f>
        <v>0</v>
      </c>
      <c r="V75" s="115">
        <f>R75</f>
        <v>0</v>
      </c>
    </row>
    <row r="76" spans="2:23" ht="15" customHeight="1" x14ac:dyDescent="0.2">
      <c r="F76" s="24"/>
      <c r="J76" s="25"/>
      <c r="N76" s="26"/>
      <c r="R76" s="26"/>
      <c r="V76" s="26"/>
    </row>
    <row r="77" spans="2:23" s="107" customFormat="1" ht="15" hidden="1" customHeight="1" x14ac:dyDescent="0.2">
      <c r="B77" s="77" t="s">
        <v>221</v>
      </c>
      <c r="C77" s="204"/>
      <c r="D77" s="204"/>
      <c r="E77" s="11"/>
      <c r="F77" s="24"/>
      <c r="G77" s="11"/>
      <c r="J77" s="25"/>
      <c r="N77" s="26"/>
      <c r="R77" s="26"/>
      <c r="V77" s="26"/>
    </row>
    <row r="78" spans="2:23" s="107" customFormat="1" ht="15" hidden="1" customHeight="1" x14ac:dyDescent="0.2">
      <c r="B78" s="77" t="s">
        <v>322</v>
      </c>
      <c r="C78" s="78" t="s">
        <v>323</v>
      </c>
      <c r="D78" s="204"/>
      <c r="E78" s="11"/>
      <c r="G78" s="219" t="e">
        <f>(Rekensheet_0!J75+Rekensheet_0!J82)*3600</f>
        <v>#DIV/0!</v>
      </c>
      <c r="J78" s="25"/>
      <c r="K78" s="219" t="e">
        <f>(Rekensheet_1!J75+Rekensheet_1!J82)*3600</f>
        <v>#DIV/0!</v>
      </c>
      <c r="N78" s="26"/>
      <c r="O78" s="219" t="e">
        <f>(Rekensheet_2!J75+Rekensheet_2!J82)*3600</f>
        <v>#DIV/0!</v>
      </c>
      <c r="R78" s="26"/>
      <c r="S78" s="219" t="e">
        <f>(Rekensheet_3!J75+Rekensheet_3!J82)*3600</f>
        <v>#DIV/0!</v>
      </c>
      <c r="V78" s="26"/>
      <c r="W78" s="219" t="e">
        <f>(Rekensheet_4!J75+Rekensheet_4!J82)*3600</f>
        <v>#DIV/0!</v>
      </c>
    </row>
    <row r="79" spans="2:23" ht="15" hidden="1" customHeight="1" x14ac:dyDescent="0.2">
      <c r="B79" s="77" t="s">
        <v>325</v>
      </c>
      <c r="C79" s="206"/>
      <c r="G79" s="217" t="e">
        <f>G78/F15</f>
        <v>#DIV/0!</v>
      </c>
      <c r="K79" s="217" t="e">
        <f>K78/J15</f>
        <v>#DIV/0!</v>
      </c>
      <c r="O79" s="217" t="e">
        <f>O78/N15</f>
        <v>#DIV/0!</v>
      </c>
      <c r="S79" s="217" t="e">
        <f>S78/R15</f>
        <v>#DIV/0!</v>
      </c>
      <c r="W79" s="217" t="e">
        <f>W78/V15</f>
        <v>#DIV/0!</v>
      </c>
    </row>
    <row r="80" spans="2:23" s="107" customFormat="1" ht="15" customHeight="1" x14ac:dyDescent="0.2">
      <c r="C80" s="204"/>
      <c r="D80" s="204"/>
      <c r="E80" s="11"/>
      <c r="F80" s="11"/>
      <c r="G80" s="11"/>
    </row>
    <row r="81" spans="2:23" ht="24" customHeight="1" x14ac:dyDescent="0.3">
      <c r="B81" s="9" t="s">
        <v>79</v>
      </c>
      <c r="C81" s="23"/>
      <c r="D81" s="23"/>
      <c r="E81" s="12"/>
      <c r="F81" s="12"/>
      <c r="G81" s="12"/>
      <c r="H81" s="10"/>
      <c r="I81" s="10"/>
      <c r="J81" s="10"/>
      <c r="K81" s="10"/>
      <c r="L81" s="10"/>
      <c r="M81" s="10"/>
      <c r="N81" s="10"/>
      <c r="O81" s="10"/>
      <c r="P81" s="10"/>
      <c r="Q81" s="10"/>
      <c r="R81" s="10"/>
      <c r="S81" s="10"/>
      <c r="T81" s="10"/>
      <c r="U81" s="10"/>
      <c r="V81" s="10"/>
      <c r="W81" s="10"/>
    </row>
    <row r="82" spans="2:23" ht="15" customHeight="1" x14ac:dyDescent="0.2"/>
    <row r="83" spans="2:23" ht="15" customHeight="1" x14ac:dyDescent="0.2">
      <c r="B83" s="207" t="s">
        <v>324</v>
      </c>
      <c r="C83" s="5" t="s">
        <v>0</v>
      </c>
      <c r="F83" s="17">
        <v>10</v>
      </c>
      <c r="G83" s="3"/>
      <c r="J83" s="186">
        <f>F83</f>
        <v>10</v>
      </c>
      <c r="N83" s="187">
        <f>J83</f>
        <v>10</v>
      </c>
      <c r="R83" s="188">
        <f>N83</f>
        <v>10</v>
      </c>
      <c r="V83" s="189">
        <f>R83</f>
        <v>10</v>
      </c>
    </row>
    <row r="84" spans="2:23" ht="15" customHeight="1" x14ac:dyDescent="0.2">
      <c r="B84" s="207" t="s">
        <v>326</v>
      </c>
      <c r="C84" s="5" t="s">
        <v>0</v>
      </c>
      <c r="F84" s="17">
        <v>40</v>
      </c>
      <c r="J84" s="186">
        <f t="shared" ref="J84:J95" si="32">F84</f>
        <v>40</v>
      </c>
      <c r="N84" s="187">
        <f>J84</f>
        <v>40</v>
      </c>
      <c r="R84" s="188">
        <f>N84</f>
        <v>40</v>
      </c>
      <c r="V84" s="189">
        <f>R84</f>
        <v>40</v>
      </c>
    </row>
    <row r="85" spans="2:23" ht="15" customHeight="1" x14ac:dyDescent="0.2">
      <c r="B85" s="3" t="s">
        <v>51</v>
      </c>
      <c r="F85" s="17">
        <v>5</v>
      </c>
      <c r="J85" s="186">
        <f t="shared" si="32"/>
        <v>5</v>
      </c>
      <c r="N85" s="187">
        <f>J85</f>
        <v>5</v>
      </c>
      <c r="R85" s="188">
        <f>N85</f>
        <v>5</v>
      </c>
      <c r="V85" s="189">
        <f>R85</f>
        <v>5</v>
      </c>
    </row>
    <row r="86" spans="2:23" ht="15" customHeight="1" x14ac:dyDescent="0.2">
      <c r="B86" s="3" t="s">
        <v>90</v>
      </c>
      <c r="C86" s="5" t="s">
        <v>89</v>
      </c>
      <c r="F86" s="17">
        <v>4</v>
      </c>
      <c r="J86" s="186">
        <f t="shared" si="32"/>
        <v>4</v>
      </c>
      <c r="N86" s="187">
        <f>J86</f>
        <v>4</v>
      </c>
      <c r="R86" s="188">
        <f>N86</f>
        <v>4</v>
      </c>
      <c r="V86" s="189">
        <f>R86</f>
        <v>4</v>
      </c>
    </row>
    <row r="87" spans="2:23" ht="15" customHeight="1" x14ac:dyDescent="0.2">
      <c r="J87" s="107"/>
      <c r="N87" s="107"/>
      <c r="O87" s="107"/>
      <c r="R87" s="107"/>
      <c r="V87" s="107"/>
    </row>
    <row r="88" spans="2:23" ht="15" customHeight="1" x14ac:dyDescent="0.2">
      <c r="B88" s="3" t="s">
        <v>82</v>
      </c>
      <c r="C88" s="5" t="s">
        <v>54</v>
      </c>
      <c r="F88" s="17"/>
      <c r="J88" s="186">
        <f t="shared" si="32"/>
        <v>0</v>
      </c>
      <c r="N88" s="187">
        <f>J88</f>
        <v>0</v>
      </c>
      <c r="R88" s="188">
        <f>N88</f>
        <v>0</v>
      </c>
      <c r="V88" s="189">
        <f>R88</f>
        <v>0</v>
      </c>
    </row>
    <row r="89" spans="2:23" ht="15" customHeight="1" x14ac:dyDescent="0.2">
      <c r="B89" s="3" t="s">
        <v>85</v>
      </c>
      <c r="C89" s="5" t="s">
        <v>84</v>
      </c>
      <c r="F89" s="17"/>
      <c r="J89" s="186">
        <f t="shared" si="32"/>
        <v>0</v>
      </c>
      <c r="N89" s="187">
        <f>J89</f>
        <v>0</v>
      </c>
      <c r="R89" s="188">
        <f>N89</f>
        <v>0</v>
      </c>
      <c r="V89" s="189">
        <f>R89</f>
        <v>0</v>
      </c>
    </row>
    <row r="90" spans="2:23" ht="15" customHeight="1" x14ac:dyDescent="0.2">
      <c r="B90" s="3" t="s">
        <v>83</v>
      </c>
      <c r="C90" s="5" t="s">
        <v>59</v>
      </c>
      <c r="F90" s="17"/>
      <c r="J90" s="186">
        <f t="shared" si="32"/>
        <v>0</v>
      </c>
      <c r="N90" s="187">
        <f>J90</f>
        <v>0</v>
      </c>
      <c r="R90" s="188">
        <f>N90</f>
        <v>0</v>
      </c>
      <c r="V90" s="189">
        <f>R90</f>
        <v>0</v>
      </c>
    </row>
    <row r="91" spans="2:23" ht="15" customHeight="1" x14ac:dyDescent="0.2">
      <c r="J91" s="107"/>
      <c r="N91" s="107"/>
      <c r="R91" s="107"/>
      <c r="V91" s="107"/>
    </row>
    <row r="92" spans="2:23" ht="15" customHeight="1" x14ac:dyDescent="0.2">
      <c r="B92" s="3" t="s">
        <v>86</v>
      </c>
      <c r="C92" s="5" t="s">
        <v>84</v>
      </c>
      <c r="F92" s="232"/>
      <c r="J92" s="233">
        <f>F92</f>
        <v>0</v>
      </c>
      <c r="N92" s="234">
        <f>J92</f>
        <v>0</v>
      </c>
      <c r="R92" s="235">
        <f>N92</f>
        <v>0</v>
      </c>
      <c r="V92" s="236">
        <f>R92</f>
        <v>0</v>
      </c>
    </row>
    <row r="93" spans="2:23" ht="15" customHeight="1" x14ac:dyDescent="0.2">
      <c r="B93" s="3" t="s">
        <v>333</v>
      </c>
      <c r="C93" s="5" t="s">
        <v>88</v>
      </c>
      <c r="F93" s="17">
        <v>110</v>
      </c>
      <c r="J93" s="186">
        <f t="shared" si="32"/>
        <v>110</v>
      </c>
      <c r="N93" s="187">
        <f>J93</f>
        <v>110</v>
      </c>
      <c r="R93" s="188">
        <f>N93</f>
        <v>110</v>
      </c>
      <c r="V93" s="189">
        <f>R93</f>
        <v>110</v>
      </c>
    </row>
    <row r="94" spans="2:23" ht="15" customHeight="1" x14ac:dyDescent="0.2">
      <c r="J94" s="107"/>
      <c r="N94" s="107"/>
      <c r="R94" s="107"/>
      <c r="V94" s="107"/>
    </row>
    <row r="95" spans="2:23" ht="15" customHeight="1" x14ac:dyDescent="0.2">
      <c r="B95" s="27" t="s">
        <v>91</v>
      </c>
      <c r="C95" s="5" t="s">
        <v>92</v>
      </c>
      <c r="F95" s="17"/>
      <c r="J95" s="186">
        <f t="shared" si="32"/>
        <v>0</v>
      </c>
      <c r="N95" s="187">
        <f>J95</f>
        <v>0</v>
      </c>
      <c r="R95" s="188">
        <f>N95</f>
        <v>0</v>
      </c>
      <c r="V95" s="189">
        <f>R95</f>
        <v>0</v>
      </c>
    </row>
    <row r="96" spans="2:23" ht="15" customHeight="1" x14ac:dyDescent="0.2"/>
    <row r="97" spans="2:23" ht="15" customHeight="1" x14ac:dyDescent="0.2">
      <c r="F97" s="24"/>
      <c r="R97"/>
    </row>
    <row r="98" spans="2:23" ht="15" customHeight="1" x14ac:dyDescent="0.2">
      <c r="B98" s="1" t="s">
        <v>228</v>
      </c>
      <c r="F98" s="24"/>
      <c r="R98"/>
    </row>
    <row r="99" spans="2:23" ht="15" customHeight="1" x14ac:dyDescent="0.2">
      <c r="B99" s="3" t="s">
        <v>229</v>
      </c>
      <c r="C99" s="5" t="s">
        <v>59</v>
      </c>
      <c r="F99" s="102">
        <v>1</v>
      </c>
      <c r="J99" s="117">
        <f>F99</f>
        <v>1</v>
      </c>
      <c r="N99" s="118">
        <f>J99</f>
        <v>1</v>
      </c>
      <c r="R99" s="116">
        <f>N99</f>
        <v>1</v>
      </c>
      <c r="V99" s="115">
        <f>R99</f>
        <v>1</v>
      </c>
    </row>
    <row r="100" spans="2:23" ht="15" customHeight="1" x14ac:dyDescent="0.2">
      <c r="B100" s="3" t="s">
        <v>93</v>
      </c>
      <c r="F100" s="17"/>
      <c r="J100" s="18">
        <f>F100</f>
        <v>0</v>
      </c>
      <c r="N100" s="19">
        <f>J100</f>
        <v>0</v>
      </c>
      <c r="R100" s="81">
        <f>N100</f>
        <v>0</v>
      </c>
      <c r="V100" s="87">
        <f>R100</f>
        <v>0</v>
      </c>
    </row>
    <row r="101" spans="2:23" ht="15" customHeight="1" x14ac:dyDescent="0.2">
      <c r="B101" s="107" t="s">
        <v>335</v>
      </c>
      <c r="F101" s="28"/>
      <c r="G101" s="105" t="str">
        <f>IF(F101&lt;=0,"Let op, hier geen '0' invullen!"," ")</f>
        <v>Let op, hier geen '0' invullen!</v>
      </c>
      <c r="J101" s="29">
        <f>F101</f>
        <v>0</v>
      </c>
      <c r="K101" s="105" t="str">
        <f>IF(J101&lt;=0,"Let op, hier geen '0' invullen!"," ")</f>
        <v>Let op, hier geen '0' invullen!</v>
      </c>
      <c r="N101" s="30">
        <f>J101</f>
        <v>0</v>
      </c>
      <c r="O101" s="105" t="str">
        <f>IF(N101&lt;=0,"Let op, hier geen '0' invullen!"," ")</f>
        <v>Let op, hier geen '0' invullen!</v>
      </c>
      <c r="R101" s="82">
        <f>N101</f>
        <v>0</v>
      </c>
      <c r="S101" s="105" t="str">
        <f>IF(R101&lt;=0,"Let op, hier geen '0' invullen!"," ")</f>
        <v>Let op, hier geen '0' invullen!</v>
      </c>
      <c r="V101" s="86">
        <f>R101</f>
        <v>0</v>
      </c>
      <c r="W101" s="105" t="str">
        <f>IF(V101&lt;=0,"Let op, hier geen '0' invullen!"," ")</f>
        <v>Let op, hier geen '0' invullen!</v>
      </c>
    </row>
    <row r="102" spans="2:23" ht="15" customHeight="1" x14ac:dyDescent="0.2">
      <c r="B102" s="3" t="s">
        <v>245</v>
      </c>
      <c r="C102" s="5" t="s">
        <v>56</v>
      </c>
      <c r="F102" s="17">
        <v>0</v>
      </c>
      <c r="G102" s="105" t="str">
        <f>Rekensheet_0!K124</f>
        <v/>
      </c>
      <c r="H102" s="105"/>
      <c r="J102" s="18">
        <f>F102</f>
        <v>0</v>
      </c>
      <c r="K102" s="105" t="str">
        <f>Rekensheet_1!K124</f>
        <v/>
      </c>
      <c r="N102" s="19">
        <f>J102</f>
        <v>0</v>
      </c>
      <c r="O102" s="105" t="str">
        <f>Rekensheet_2!K124</f>
        <v/>
      </c>
      <c r="R102" s="81">
        <f>N102</f>
        <v>0</v>
      </c>
      <c r="S102" s="105" t="str">
        <f>Rekensheet_3!K124</f>
        <v/>
      </c>
      <c r="V102" s="87">
        <f>R102</f>
        <v>0</v>
      </c>
      <c r="W102" s="105" t="str">
        <f>Rekensheet_4!K124</f>
        <v/>
      </c>
    </row>
    <row r="103" spans="2:23" ht="15" customHeight="1" x14ac:dyDescent="0.2">
      <c r="B103" s="3" t="s">
        <v>154</v>
      </c>
      <c r="F103" s="28"/>
      <c r="J103" s="18">
        <f>F103</f>
        <v>0</v>
      </c>
      <c r="N103" s="19">
        <f>J103</f>
        <v>0</v>
      </c>
      <c r="R103" s="82">
        <f>N103</f>
        <v>0</v>
      </c>
      <c r="V103" s="86">
        <f>R103</f>
        <v>0</v>
      </c>
    </row>
    <row r="104" spans="2:23" ht="15" customHeight="1" x14ac:dyDescent="0.2">
      <c r="F104" s="99"/>
      <c r="J104" s="25"/>
      <c r="N104" s="26"/>
      <c r="R104" s="100"/>
      <c r="V104" s="101"/>
    </row>
    <row r="105" spans="2:23" ht="15" customHeight="1" x14ac:dyDescent="0.2">
      <c r="B105" s="1" t="s">
        <v>231</v>
      </c>
      <c r="F105" s="99"/>
      <c r="J105" s="25"/>
      <c r="N105" s="26"/>
      <c r="R105" s="100"/>
      <c r="V105" s="101"/>
    </row>
    <row r="106" spans="2:23" ht="15" customHeight="1" x14ac:dyDescent="0.2">
      <c r="B106" s="77" t="s">
        <v>229</v>
      </c>
      <c r="G106" s="220">
        <f>1-F99</f>
        <v>0</v>
      </c>
      <c r="K106" s="220">
        <f>1-J99</f>
        <v>0</v>
      </c>
      <c r="O106" s="220">
        <f>1-N99</f>
        <v>0</v>
      </c>
      <c r="S106" s="220">
        <f>1-R99</f>
        <v>0</v>
      </c>
      <c r="W106" s="220">
        <f>1-V99</f>
        <v>0</v>
      </c>
    </row>
    <row r="107" spans="2:23" ht="15" customHeight="1" x14ac:dyDescent="0.2">
      <c r="B107" s="3" t="s">
        <v>93</v>
      </c>
      <c r="F107" s="17" t="s">
        <v>117</v>
      </c>
      <c r="J107" s="186" t="str">
        <f>F107</f>
        <v>Elektriciteit</v>
      </c>
      <c r="N107" s="187" t="str">
        <f>J107</f>
        <v>Elektriciteit</v>
      </c>
      <c r="R107" s="188" t="str">
        <f>N107</f>
        <v>Elektriciteit</v>
      </c>
      <c r="V107" s="189" t="str">
        <f>R107</f>
        <v>Elektriciteit</v>
      </c>
    </row>
    <row r="108" spans="2:23" ht="15" customHeight="1" x14ac:dyDescent="0.2">
      <c r="B108" s="3" t="s">
        <v>335</v>
      </c>
      <c r="F108" s="28">
        <v>1</v>
      </c>
      <c r="G108" s="105" t="str">
        <f>IF(F108&lt;=0,"Let op, hier geen '0' invullen!"," ")</f>
        <v xml:space="preserve"> </v>
      </c>
      <c r="J108" s="125">
        <f>F108</f>
        <v>1</v>
      </c>
      <c r="K108" s="105" t="str">
        <f>IF(J108&lt;=0,"Let op, hier geen '0' invullen!"," ")</f>
        <v xml:space="preserve"> </v>
      </c>
      <c r="N108" s="126">
        <f>J108</f>
        <v>1</v>
      </c>
      <c r="O108" s="105" t="str">
        <f>IF(N108&lt;=0,"Let op, hier geen '0' invullen!"," ")</f>
        <v xml:space="preserve"> </v>
      </c>
      <c r="R108" s="127">
        <f>N108</f>
        <v>1</v>
      </c>
      <c r="S108" s="105" t="str">
        <f>IF(R108&lt;=0,"Let op, hier geen '0' invullen!"," ")</f>
        <v xml:space="preserve"> </v>
      </c>
      <c r="V108" s="128">
        <f>R108</f>
        <v>1</v>
      </c>
      <c r="W108" s="105" t="str">
        <f>IF(V108&lt;=0,"Let op, hier geen '0' invullen!"," ")</f>
        <v xml:space="preserve"> </v>
      </c>
    </row>
    <row r="109" spans="2:23" ht="15" customHeight="1" x14ac:dyDescent="0.2">
      <c r="B109" s="3" t="s">
        <v>154</v>
      </c>
      <c r="F109" s="28" t="s">
        <v>187</v>
      </c>
      <c r="J109" s="125" t="str">
        <f>F109</f>
        <v>Geen</v>
      </c>
      <c r="N109" s="126" t="str">
        <f>J109</f>
        <v>Geen</v>
      </c>
      <c r="R109" s="127" t="str">
        <f>N109</f>
        <v>Geen</v>
      </c>
      <c r="V109" s="128" t="str">
        <f>R109</f>
        <v>Geen</v>
      </c>
    </row>
    <row r="110" spans="2:23" ht="15" customHeight="1" x14ac:dyDescent="0.2">
      <c r="F110" s="24"/>
    </row>
    <row r="111" spans="2:23" ht="15" customHeight="1" x14ac:dyDescent="0.2"/>
    <row r="112" spans="2:23" ht="24" customHeight="1" x14ac:dyDescent="0.3">
      <c r="B112" s="9" t="s">
        <v>96</v>
      </c>
      <c r="C112" s="23"/>
      <c r="D112" s="23"/>
      <c r="E112" s="12"/>
      <c r="F112" s="12"/>
      <c r="G112" s="12"/>
      <c r="H112" s="10"/>
      <c r="I112" s="10"/>
      <c r="J112" s="10"/>
      <c r="K112" s="10"/>
      <c r="L112" s="10"/>
      <c r="M112" s="10"/>
      <c r="N112" s="10"/>
      <c r="O112" s="10"/>
      <c r="P112" s="10"/>
      <c r="Q112" s="10"/>
      <c r="R112" s="10"/>
      <c r="S112" s="10"/>
      <c r="T112" s="10"/>
      <c r="U112" s="10"/>
      <c r="V112" s="10"/>
      <c r="W112" s="10"/>
    </row>
    <row r="113" spans="1:26" ht="15" customHeight="1" x14ac:dyDescent="0.2"/>
    <row r="114" spans="1:26" ht="15" customHeight="1" x14ac:dyDescent="0.2">
      <c r="B114" s="1" t="s">
        <v>228</v>
      </c>
    </row>
    <row r="115" spans="1:26" ht="15" customHeight="1" x14ac:dyDescent="0.2">
      <c r="B115" s="3" t="s">
        <v>230</v>
      </c>
      <c r="C115" s="5" t="s">
        <v>59</v>
      </c>
      <c r="F115" s="102">
        <v>1</v>
      </c>
      <c r="J115" s="117">
        <f>F115</f>
        <v>1</v>
      </c>
      <c r="N115" s="118">
        <f>J115</f>
        <v>1</v>
      </c>
      <c r="R115" s="116">
        <f>N115</f>
        <v>1</v>
      </c>
      <c r="V115" s="115">
        <f>R115</f>
        <v>1</v>
      </c>
    </row>
    <row r="116" spans="1:26" ht="15" customHeight="1" x14ac:dyDescent="0.2">
      <c r="B116" s="3" t="s">
        <v>97</v>
      </c>
      <c r="F116" s="17"/>
      <c r="J116" s="186">
        <f>F116</f>
        <v>0</v>
      </c>
      <c r="N116" s="110">
        <f>J116</f>
        <v>0</v>
      </c>
      <c r="R116" s="109">
        <f>N116</f>
        <v>0</v>
      </c>
      <c r="V116" s="111">
        <f>R116</f>
        <v>0</v>
      </c>
    </row>
    <row r="117" spans="1:26" ht="15" customHeight="1" x14ac:dyDescent="0.2">
      <c r="B117" s="3" t="s">
        <v>336</v>
      </c>
      <c r="F117" s="28"/>
      <c r="G117" s="105" t="str">
        <f>IF(F117&lt;=0,"Let op, hier geen '0' invullen!"," ")</f>
        <v>Let op, hier geen '0' invullen!</v>
      </c>
      <c r="J117" s="125">
        <f>F117</f>
        <v>0</v>
      </c>
      <c r="K117" s="105" t="str">
        <f>IF(J117&lt;=0,"Let op, hier geen '0' invullen!"," ")</f>
        <v>Let op, hier geen '0' invullen!</v>
      </c>
      <c r="N117" s="126">
        <f>J117</f>
        <v>0</v>
      </c>
      <c r="O117" s="105" t="str">
        <f>IF(N117&lt;=0,"Let op, hier geen '0' invullen!"," ")</f>
        <v>Let op, hier geen '0' invullen!</v>
      </c>
      <c r="R117" s="127">
        <f>N117</f>
        <v>0</v>
      </c>
      <c r="S117" s="105" t="str">
        <f>IF(R117&lt;=0,"Let op, hier geen '0' invullen!"," ")</f>
        <v>Let op, hier geen '0' invullen!</v>
      </c>
      <c r="V117" s="128">
        <f>R117</f>
        <v>0</v>
      </c>
      <c r="W117" s="105" t="str">
        <f>IF(V117&lt;=0,"Let op, hier geen '0' invullen!"," ")</f>
        <v>Let op, hier geen '0' invullen!</v>
      </c>
    </row>
    <row r="118" spans="1:26" ht="15" customHeight="1" x14ac:dyDescent="0.2">
      <c r="J118" s="11"/>
      <c r="N118" s="107"/>
      <c r="O118" s="107"/>
      <c r="P118" s="107"/>
      <c r="Q118" s="107"/>
      <c r="R118" s="107"/>
      <c r="S118" s="107"/>
      <c r="T118" s="107"/>
      <c r="U118" s="107"/>
      <c r="V118" s="107"/>
      <c r="W118" s="107"/>
      <c r="X118" s="107"/>
      <c r="Y118" s="107"/>
    </row>
    <row r="119" spans="1:26" ht="15" customHeight="1" x14ac:dyDescent="0.2">
      <c r="B119" s="3" t="s">
        <v>246</v>
      </c>
      <c r="C119" s="5" t="s">
        <v>56</v>
      </c>
      <c r="F119" s="17">
        <v>0</v>
      </c>
      <c r="G119" s="105" t="str">
        <f>Rekensheet_0!K143</f>
        <v/>
      </c>
      <c r="J119" s="186">
        <f>F119</f>
        <v>0</v>
      </c>
      <c r="K119" s="105" t="str">
        <f>Rekensheet_1!K143</f>
        <v/>
      </c>
      <c r="N119" s="187">
        <f>J119</f>
        <v>0</v>
      </c>
      <c r="O119" s="105" t="str">
        <f>Rekensheet_2!K143</f>
        <v/>
      </c>
      <c r="R119" s="188">
        <f>N119</f>
        <v>0</v>
      </c>
      <c r="S119" s="105" t="str">
        <f>Rekensheet_3!K143</f>
        <v/>
      </c>
      <c r="V119" s="189">
        <f>R119</f>
        <v>0</v>
      </c>
      <c r="W119" s="105" t="str">
        <f>Rekensheet_4!K143</f>
        <v/>
      </c>
    </row>
    <row r="120" spans="1:26" ht="15" customHeight="1" x14ac:dyDescent="0.2">
      <c r="F120" s="99"/>
      <c r="J120" s="99"/>
      <c r="N120" s="99"/>
      <c r="R120" s="99"/>
      <c r="V120" s="99"/>
    </row>
    <row r="121" spans="1:26" ht="15" customHeight="1" x14ac:dyDescent="0.2">
      <c r="B121" s="1" t="s">
        <v>231</v>
      </c>
      <c r="D121" s="204"/>
      <c r="F121" s="99"/>
      <c r="J121" s="99"/>
      <c r="N121" s="99"/>
      <c r="R121" s="99"/>
      <c r="V121" s="99"/>
    </row>
    <row r="122" spans="1:26" ht="15" customHeight="1" x14ac:dyDescent="0.2">
      <c r="B122" s="77" t="s">
        <v>230</v>
      </c>
      <c r="G122" s="220">
        <f>1-F115</f>
        <v>0</v>
      </c>
      <c r="K122" s="220">
        <f>1-J115</f>
        <v>0</v>
      </c>
      <c r="O122" s="220">
        <f>1-N115</f>
        <v>0</v>
      </c>
      <c r="S122" s="220">
        <f>1-R115</f>
        <v>0</v>
      </c>
      <c r="W122" s="220">
        <f>1-V115</f>
        <v>0</v>
      </c>
    </row>
    <row r="123" spans="1:26" ht="15" customHeight="1" x14ac:dyDescent="0.2">
      <c r="B123" s="3" t="s">
        <v>97</v>
      </c>
      <c r="F123" s="17" t="s">
        <v>94</v>
      </c>
      <c r="J123" s="186" t="str">
        <f>F123</f>
        <v>Gas</v>
      </c>
      <c r="N123" s="110" t="str">
        <f>J123</f>
        <v>Gas</v>
      </c>
      <c r="R123" s="109" t="str">
        <f>N123</f>
        <v>Gas</v>
      </c>
      <c r="V123" s="111" t="str">
        <f>R123</f>
        <v>Gas</v>
      </c>
    </row>
    <row r="124" spans="1:26" ht="15" customHeight="1" x14ac:dyDescent="0.2">
      <c r="B124" s="107" t="s">
        <v>336</v>
      </c>
      <c r="F124" s="28">
        <v>1</v>
      </c>
      <c r="G124" s="105" t="str">
        <f>IF(F124&lt;=0,"Let op, hier geen '0' invullen!"," ")</f>
        <v xml:space="preserve"> </v>
      </c>
      <c r="J124" s="125">
        <f>F124</f>
        <v>1</v>
      </c>
      <c r="K124" s="105" t="str">
        <f>IF(J124&lt;=0,"Let op, hier geen '0' invullen!"," ")</f>
        <v xml:space="preserve"> </v>
      </c>
      <c r="N124" s="126">
        <f>J124</f>
        <v>1</v>
      </c>
      <c r="O124" s="105" t="str">
        <f>IF(N124&lt;=0,"Let op, hier geen '0' invullen!"," ")</f>
        <v xml:space="preserve"> </v>
      </c>
      <c r="R124" s="127">
        <f>N124</f>
        <v>1</v>
      </c>
      <c r="S124" s="105" t="str">
        <f>IF(R124&lt;=0,"Let op, hier geen '0' invullen!"," ")</f>
        <v xml:space="preserve"> </v>
      </c>
      <c r="V124" s="128">
        <f>R124</f>
        <v>1</v>
      </c>
      <c r="W124" s="105" t="str">
        <f>IF(V124&lt;=0,"Let op, hier geen '0' invullen!"," ")</f>
        <v xml:space="preserve"> </v>
      </c>
    </row>
    <row r="125" spans="1:26" ht="15" customHeight="1" x14ac:dyDescent="0.2">
      <c r="A125" s="107"/>
      <c r="B125" s="107"/>
      <c r="C125" s="107"/>
      <c r="D125" s="107"/>
      <c r="E125" s="107"/>
      <c r="G125" s="107"/>
      <c r="H125" s="107"/>
      <c r="I125" s="107"/>
      <c r="J125" s="107"/>
      <c r="K125" s="107"/>
      <c r="L125" s="107"/>
      <c r="M125" s="107"/>
      <c r="N125" s="107"/>
      <c r="O125" s="107"/>
      <c r="P125" s="107"/>
      <c r="Q125" s="107"/>
      <c r="R125" s="107"/>
      <c r="S125" s="105"/>
      <c r="T125" s="107"/>
      <c r="U125" s="107"/>
      <c r="V125" s="107"/>
      <c r="W125" s="107"/>
      <c r="X125" s="107"/>
      <c r="Y125" s="107"/>
      <c r="Z125" s="107"/>
    </row>
    <row r="126" spans="1:26" ht="15" customHeight="1" x14ac:dyDescent="0.2">
      <c r="F126" s="99"/>
    </row>
    <row r="127" spans="1:26" ht="24" customHeight="1" x14ac:dyDescent="0.3">
      <c r="B127" s="9" t="s">
        <v>99</v>
      </c>
      <c r="C127" s="23"/>
      <c r="D127" s="23"/>
      <c r="E127" s="12"/>
      <c r="F127" s="12"/>
      <c r="G127" s="12"/>
      <c r="H127" s="10"/>
      <c r="I127" s="10"/>
      <c r="J127" s="10"/>
      <c r="K127" s="10"/>
      <c r="L127" s="10"/>
      <c r="M127" s="10"/>
      <c r="N127" s="10"/>
      <c r="O127" s="10"/>
      <c r="P127" s="10"/>
      <c r="Q127" s="10"/>
      <c r="R127" s="10"/>
      <c r="S127" s="10"/>
      <c r="T127" s="10"/>
      <c r="U127" s="10"/>
      <c r="V127" s="10"/>
      <c r="W127" s="10"/>
    </row>
    <row r="128" spans="1:26" ht="15" customHeight="1" x14ac:dyDescent="0.2"/>
    <row r="129" spans="2:23" ht="15" customHeight="1" x14ac:dyDescent="0.2">
      <c r="E129" s="4" t="s">
        <v>22</v>
      </c>
      <c r="F129" s="4" t="s">
        <v>104</v>
      </c>
      <c r="G129" s="4" t="s">
        <v>106</v>
      </c>
      <c r="I129" s="4" t="s">
        <v>22</v>
      </c>
      <c r="J129" s="4" t="s">
        <v>104</v>
      </c>
      <c r="K129" s="4" t="s">
        <v>106</v>
      </c>
      <c r="M129" s="4" t="s">
        <v>22</v>
      </c>
      <c r="N129" s="4" t="s">
        <v>104</v>
      </c>
      <c r="O129" s="4" t="s">
        <v>106</v>
      </c>
      <c r="Q129" s="79" t="s">
        <v>22</v>
      </c>
      <c r="R129" s="79" t="s">
        <v>104</v>
      </c>
      <c r="S129" s="79" t="s">
        <v>106</v>
      </c>
      <c r="U129" s="79" t="s">
        <v>22</v>
      </c>
      <c r="V129" s="79" t="s">
        <v>104</v>
      </c>
      <c r="W129" s="79" t="s">
        <v>106</v>
      </c>
    </row>
    <row r="130" spans="2:23" ht="15" customHeight="1" x14ac:dyDescent="0.2">
      <c r="E130" s="4" t="s">
        <v>8</v>
      </c>
      <c r="F130" s="4" t="s">
        <v>105</v>
      </c>
      <c r="G130" s="4" t="s">
        <v>107</v>
      </c>
      <c r="I130" s="4" t="s">
        <v>8</v>
      </c>
      <c r="J130" s="4" t="s">
        <v>105</v>
      </c>
      <c r="K130" s="4" t="s">
        <v>107</v>
      </c>
      <c r="M130" s="4" t="s">
        <v>8</v>
      </c>
      <c r="N130" s="4" t="s">
        <v>105</v>
      </c>
      <c r="O130" s="4" t="s">
        <v>107</v>
      </c>
      <c r="Q130" s="79" t="s">
        <v>8</v>
      </c>
      <c r="R130" s="79" t="s">
        <v>105</v>
      </c>
      <c r="S130" s="79" t="s">
        <v>107</v>
      </c>
      <c r="U130" s="79" t="s">
        <v>8</v>
      </c>
      <c r="V130" s="79" t="s">
        <v>105</v>
      </c>
      <c r="W130" s="79" t="s">
        <v>107</v>
      </c>
    </row>
    <row r="131" spans="2:23" ht="15" customHeight="1" x14ac:dyDescent="0.2"/>
    <row r="132" spans="2:23" ht="15" customHeight="1" x14ac:dyDescent="0.2">
      <c r="B132" s="3" t="s">
        <v>100</v>
      </c>
      <c r="E132" s="28"/>
      <c r="F132" s="28"/>
      <c r="G132" s="17"/>
      <c r="I132" s="29">
        <f>E132</f>
        <v>0</v>
      </c>
      <c r="J132" s="29">
        <f>F132</f>
        <v>0</v>
      </c>
      <c r="K132" s="18">
        <f>G132</f>
        <v>0</v>
      </c>
      <c r="M132" s="30">
        <f>I132</f>
        <v>0</v>
      </c>
      <c r="N132" s="30">
        <f>J132</f>
        <v>0</v>
      </c>
      <c r="O132" s="19">
        <f>K132</f>
        <v>0</v>
      </c>
      <c r="Q132" s="82">
        <f>M132</f>
        <v>0</v>
      </c>
      <c r="R132" s="82">
        <f>N132</f>
        <v>0</v>
      </c>
      <c r="S132" s="81">
        <f>O132</f>
        <v>0</v>
      </c>
      <c r="U132" s="86">
        <f>Q132</f>
        <v>0</v>
      </c>
      <c r="V132" s="86">
        <f>R132</f>
        <v>0</v>
      </c>
      <c r="W132" s="87">
        <f>S132</f>
        <v>0</v>
      </c>
    </row>
    <row r="133" spans="2:23" ht="15" customHeight="1" x14ac:dyDescent="0.2">
      <c r="B133" s="3" t="s">
        <v>101</v>
      </c>
      <c r="E133" s="28"/>
      <c r="F133" s="28"/>
      <c r="G133" s="17"/>
      <c r="I133" s="29">
        <f t="shared" ref="I133:I135" si="33">E133</f>
        <v>0</v>
      </c>
      <c r="J133" s="29">
        <f t="shared" ref="J133:J135" si="34">F133</f>
        <v>0</v>
      </c>
      <c r="K133" s="18">
        <f t="shared" ref="K133:K135" si="35">G133</f>
        <v>0</v>
      </c>
      <c r="M133" s="30">
        <f t="shared" ref="M133:M135" si="36">I133</f>
        <v>0</v>
      </c>
      <c r="N133" s="30">
        <f t="shared" ref="N133:N135" si="37">J133</f>
        <v>0</v>
      </c>
      <c r="O133" s="19">
        <f t="shared" ref="O133:O135" si="38">K133</f>
        <v>0</v>
      </c>
      <c r="Q133" s="82">
        <f t="shared" ref="Q133:Q135" si="39">M133</f>
        <v>0</v>
      </c>
      <c r="R133" s="82">
        <f t="shared" ref="R133:R135" si="40">N133</f>
        <v>0</v>
      </c>
      <c r="S133" s="81">
        <f t="shared" ref="S133:S135" si="41">O133</f>
        <v>0</v>
      </c>
      <c r="U133" s="86">
        <f t="shared" ref="U133:U135" si="42">Q133</f>
        <v>0</v>
      </c>
      <c r="V133" s="86">
        <f t="shared" ref="V133:V135" si="43">R133</f>
        <v>0</v>
      </c>
      <c r="W133" s="87">
        <f t="shared" ref="W133:W135" si="44">S133</f>
        <v>0</v>
      </c>
    </row>
    <row r="134" spans="2:23" ht="15" customHeight="1" x14ac:dyDescent="0.2">
      <c r="B134" s="3" t="s">
        <v>102</v>
      </c>
      <c r="E134" s="28"/>
      <c r="F134" s="28"/>
      <c r="G134" s="17"/>
      <c r="I134" s="29">
        <f t="shared" si="33"/>
        <v>0</v>
      </c>
      <c r="J134" s="29">
        <f t="shared" si="34"/>
        <v>0</v>
      </c>
      <c r="K134" s="18">
        <f t="shared" si="35"/>
        <v>0</v>
      </c>
      <c r="M134" s="30">
        <f t="shared" si="36"/>
        <v>0</v>
      </c>
      <c r="N134" s="30">
        <f t="shared" si="37"/>
        <v>0</v>
      </c>
      <c r="O134" s="19">
        <f t="shared" si="38"/>
        <v>0</v>
      </c>
      <c r="Q134" s="82">
        <f t="shared" si="39"/>
        <v>0</v>
      </c>
      <c r="R134" s="82">
        <f t="shared" si="40"/>
        <v>0</v>
      </c>
      <c r="S134" s="81">
        <f t="shared" si="41"/>
        <v>0</v>
      </c>
      <c r="U134" s="86">
        <f t="shared" si="42"/>
        <v>0</v>
      </c>
      <c r="V134" s="86">
        <f t="shared" si="43"/>
        <v>0</v>
      </c>
      <c r="W134" s="87">
        <f t="shared" si="44"/>
        <v>0</v>
      </c>
    </row>
    <row r="135" spans="2:23" ht="15" customHeight="1" x14ac:dyDescent="0.2">
      <c r="B135" s="3" t="s">
        <v>103</v>
      </c>
      <c r="E135" s="28"/>
      <c r="F135" s="28"/>
      <c r="G135" s="17"/>
      <c r="I135" s="29">
        <f t="shared" si="33"/>
        <v>0</v>
      </c>
      <c r="J135" s="29">
        <f t="shared" si="34"/>
        <v>0</v>
      </c>
      <c r="K135" s="18">
        <f t="shared" si="35"/>
        <v>0</v>
      </c>
      <c r="M135" s="30">
        <f t="shared" si="36"/>
        <v>0</v>
      </c>
      <c r="N135" s="30">
        <f t="shared" si="37"/>
        <v>0</v>
      </c>
      <c r="O135" s="19">
        <f t="shared" si="38"/>
        <v>0</v>
      </c>
      <c r="Q135" s="82">
        <f t="shared" si="39"/>
        <v>0</v>
      </c>
      <c r="R135" s="82">
        <f t="shared" si="40"/>
        <v>0</v>
      </c>
      <c r="S135" s="81">
        <f t="shared" si="41"/>
        <v>0</v>
      </c>
      <c r="U135" s="86">
        <f t="shared" si="42"/>
        <v>0</v>
      </c>
      <c r="V135" s="86">
        <f t="shared" si="43"/>
        <v>0</v>
      </c>
      <c r="W135" s="87">
        <f t="shared" si="44"/>
        <v>0</v>
      </c>
    </row>
    <row r="136" spans="2:23" ht="15" customHeight="1" x14ac:dyDescent="0.2"/>
    <row r="137" spans="2:23" ht="15" customHeight="1" x14ac:dyDescent="0.2"/>
    <row r="138" spans="2:23" ht="24" customHeight="1" x14ac:dyDescent="0.3">
      <c r="B138" s="9" t="s">
        <v>193</v>
      </c>
      <c r="C138" s="23"/>
      <c r="D138" s="23"/>
      <c r="E138" s="12"/>
      <c r="F138" s="12"/>
      <c r="G138" s="12"/>
      <c r="H138" s="10"/>
      <c r="I138" s="10"/>
      <c r="J138" s="10"/>
      <c r="K138" s="10"/>
      <c r="L138" s="10"/>
      <c r="M138" s="10"/>
      <c r="N138" s="10"/>
      <c r="O138" s="10"/>
      <c r="P138" s="10"/>
      <c r="Q138" s="10"/>
      <c r="R138" s="10"/>
      <c r="S138" s="10"/>
      <c r="T138" s="10"/>
      <c r="U138" s="10"/>
      <c r="V138" s="10"/>
      <c r="W138" s="10"/>
    </row>
    <row r="139" spans="2:23" ht="15" customHeight="1" x14ac:dyDescent="0.2"/>
    <row r="140" spans="2:23" ht="15" customHeight="1" x14ac:dyDescent="0.2">
      <c r="B140" s="3" t="s">
        <v>194</v>
      </c>
      <c r="F140" s="17"/>
      <c r="J140" s="18">
        <f>F140</f>
        <v>0</v>
      </c>
      <c r="N140" s="19">
        <f>J140</f>
        <v>0</v>
      </c>
      <c r="R140" s="81">
        <f>N140</f>
        <v>0</v>
      </c>
      <c r="V140" s="87">
        <f>R140</f>
        <v>0</v>
      </c>
    </row>
    <row r="141" spans="2:23" ht="15" customHeight="1" x14ac:dyDescent="0.2">
      <c r="B141" s="3" t="s">
        <v>195</v>
      </c>
      <c r="F141" s="17"/>
      <c r="J141" s="18">
        <f>F141</f>
        <v>0</v>
      </c>
      <c r="N141" s="19">
        <f>J141</f>
        <v>0</v>
      </c>
      <c r="R141" s="81">
        <f>N141</f>
        <v>0</v>
      </c>
      <c r="V141" s="87">
        <f>R141</f>
        <v>0</v>
      </c>
    </row>
    <row r="142" spans="2:23" ht="15" customHeight="1" x14ac:dyDescent="0.2"/>
    <row r="143" spans="2:23" ht="15" customHeight="1" x14ac:dyDescent="0.2"/>
    <row r="144" spans="2:23" ht="24" customHeight="1" x14ac:dyDescent="0.3">
      <c r="B144" s="9" t="s">
        <v>312</v>
      </c>
      <c r="C144" s="23"/>
      <c r="D144" s="23"/>
      <c r="E144" s="12"/>
      <c r="F144" s="12"/>
      <c r="G144" s="12"/>
      <c r="H144" s="10"/>
      <c r="I144" s="10"/>
      <c r="J144" s="10"/>
      <c r="K144" s="10"/>
      <c r="L144" s="10"/>
      <c r="M144" s="10"/>
      <c r="N144" s="10"/>
      <c r="O144" s="10"/>
      <c r="P144" s="10"/>
      <c r="Q144" s="10"/>
      <c r="R144" s="10"/>
      <c r="S144" s="10"/>
      <c r="T144" s="10"/>
      <c r="U144" s="10"/>
      <c r="V144" s="10"/>
      <c r="W144" s="10"/>
    </row>
    <row r="145" spans="2:23" ht="15" customHeight="1" x14ac:dyDescent="0.2">
      <c r="G145" s="225"/>
      <c r="K145" s="225"/>
      <c r="O145" s="225"/>
      <c r="S145" s="225"/>
      <c r="W145" s="225" t="s">
        <v>48</v>
      </c>
    </row>
    <row r="146" spans="2:23" ht="15" customHeight="1" x14ac:dyDescent="0.2">
      <c r="B146" s="3" t="s">
        <v>111</v>
      </c>
      <c r="C146" s="5" t="s">
        <v>112</v>
      </c>
      <c r="F146" s="20"/>
      <c r="G146" s="219">
        <f>Rekensheet_0!J180</f>
        <v>0</v>
      </c>
      <c r="J146" s="163">
        <f>F146</f>
        <v>0</v>
      </c>
      <c r="K146" s="219">
        <f>Rekensheet_1!J180</f>
        <v>0</v>
      </c>
      <c r="L146" s="107"/>
      <c r="M146" s="107"/>
      <c r="N146" s="222">
        <f>J146</f>
        <v>0</v>
      </c>
      <c r="O146" s="219">
        <f>Rekensheet_2!J180</f>
        <v>0</v>
      </c>
      <c r="P146" s="107"/>
      <c r="Q146" s="107"/>
      <c r="R146" s="223">
        <f>N146</f>
        <v>0</v>
      </c>
      <c r="S146" s="219">
        <f>Rekensheet_3!J180</f>
        <v>0</v>
      </c>
      <c r="T146" s="107"/>
      <c r="U146" s="107"/>
      <c r="V146" s="224">
        <f>F146</f>
        <v>0</v>
      </c>
      <c r="W146" s="219">
        <f>Rekensheet_4!J180</f>
        <v>0</v>
      </c>
    </row>
    <row r="147" spans="2:23" ht="15" customHeight="1" x14ac:dyDescent="0.2">
      <c r="B147" s="3" t="s">
        <v>113</v>
      </c>
      <c r="C147" s="5" t="s">
        <v>112</v>
      </c>
      <c r="F147" s="20"/>
      <c r="G147" s="219">
        <f>Rekensheet_0!J181</f>
        <v>0</v>
      </c>
      <c r="J147" s="163">
        <f>F147</f>
        <v>0</v>
      </c>
      <c r="K147" s="219">
        <f>Rekensheet_1!J181</f>
        <v>0</v>
      </c>
      <c r="L147" s="107"/>
      <c r="M147" s="107"/>
      <c r="N147" s="222">
        <f>J147</f>
        <v>0</v>
      </c>
      <c r="O147" s="219">
        <f>Rekensheet_2!J181</f>
        <v>0</v>
      </c>
      <c r="P147" s="107"/>
      <c r="Q147" s="107"/>
      <c r="R147" s="223">
        <f>N147</f>
        <v>0</v>
      </c>
      <c r="S147" s="219">
        <f>Rekensheet_3!J181</f>
        <v>0</v>
      </c>
      <c r="T147" s="107"/>
      <c r="U147" s="107"/>
      <c r="V147" s="224">
        <f>F147</f>
        <v>0</v>
      </c>
      <c r="W147" s="219">
        <f>Rekensheet_4!J181</f>
        <v>0</v>
      </c>
    </row>
    <row r="148" spans="2:23" ht="15" customHeight="1" x14ac:dyDescent="0.2">
      <c r="B148" s="3" t="s">
        <v>114</v>
      </c>
      <c r="C148" s="5" t="s">
        <v>112</v>
      </c>
      <c r="F148" s="20"/>
      <c r="G148" s="219">
        <f>Rekensheet_0!J182</f>
        <v>0</v>
      </c>
      <c r="J148" s="163">
        <f>F148</f>
        <v>0</v>
      </c>
      <c r="K148" s="219">
        <f>Rekensheet_1!J182</f>
        <v>0</v>
      </c>
      <c r="L148" s="107"/>
      <c r="M148" s="107"/>
      <c r="N148" s="222">
        <f>J148</f>
        <v>0</v>
      </c>
      <c r="O148" s="219">
        <f>Rekensheet_2!J182</f>
        <v>0</v>
      </c>
      <c r="P148" s="107"/>
      <c r="Q148" s="107"/>
      <c r="R148" s="223">
        <f>N148</f>
        <v>0</v>
      </c>
      <c r="S148" s="219">
        <f>Rekensheet_3!J182</f>
        <v>0</v>
      </c>
      <c r="T148" s="107"/>
      <c r="U148" s="107"/>
      <c r="V148" s="224">
        <f>F148</f>
        <v>0</v>
      </c>
      <c r="W148" s="219">
        <f>Rekensheet_4!J182</f>
        <v>0</v>
      </c>
    </row>
    <row r="149" spans="2:23" ht="15" customHeight="1" x14ac:dyDescent="0.2">
      <c r="K149" s="107"/>
      <c r="L149" s="107"/>
      <c r="M149" s="107"/>
      <c r="N149" s="107"/>
      <c r="O149" s="107"/>
      <c r="P149" s="107"/>
      <c r="Q149" s="107"/>
      <c r="R149" s="107"/>
      <c r="S149" s="107"/>
      <c r="T149" s="107"/>
      <c r="U149" s="107"/>
      <c r="V149" s="107"/>
      <c r="W149" s="107"/>
    </row>
    <row r="150" spans="2:23" ht="15" customHeight="1" x14ac:dyDescent="0.2">
      <c r="B150" s="3" t="s">
        <v>115</v>
      </c>
      <c r="C150" s="5" t="s">
        <v>48</v>
      </c>
      <c r="F150" s="17"/>
      <c r="J150" s="18">
        <f>F150</f>
        <v>0</v>
      </c>
      <c r="K150" s="107"/>
      <c r="L150" s="107"/>
      <c r="M150" s="107"/>
      <c r="N150" s="19">
        <f>J150</f>
        <v>0</v>
      </c>
      <c r="O150" s="107"/>
      <c r="P150" s="107"/>
      <c r="Q150" s="107"/>
      <c r="R150" s="81">
        <f>N150</f>
        <v>0</v>
      </c>
      <c r="S150" s="107"/>
      <c r="T150" s="107"/>
      <c r="U150" s="107"/>
      <c r="V150" s="87">
        <f>F150</f>
        <v>0</v>
      </c>
      <c r="W150" s="107"/>
    </row>
    <row r="151" spans="2:23" s="107" customFormat="1" ht="15" customHeight="1" x14ac:dyDescent="0.2">
      <c r="B151" s="77" t="s">
        <v>196</v>
      </c>
      <c r="C151" s="78" t="s">
        <v>328</v>
      </c>
      <c r="D151" s="177"/>
      <c r="E151" s="11"/>
      <c r="F151" s="24"/>
      <c r="G151" s="219">
        <f>Resultaten!Q22</f>
        <v>0</v>
      </c>
      <c r="J151" s="25"/>
      <c r="K151" s="219">
        <f>Resultaten!R22</f>
        <v>0</v>
      </c>
      <c r="N151" s="26"/>
      <c r="O151" s="219">
        <f>Resultaten!S22</f>
        <v>0</v>
      </c>
      <c r="R151" s="156"/>
      <c r="S151" s="219">
        <f>Resultaten!T22</f>
        <v>0</v>
      </c>
      <c r="V151" s="97"/>
      <c r="W151" s="219">
        <f>Resultaten!U22</f>
        <v>0</v>
      </c>
    </row>
    <row r="152" spans="2:23" s="107" customFormat="1" ht="15" customHeight="1" x14ac:dyDescent="0.2">
      <c r="B152" s="190" t="s">
        <v>337</v>
      </c>
      <c r="C152" s="177" t="s">
        <v>48</v>
      </c>
      <c r="D152" s="177"/>
      <c r="E152" s="11"/>
      <c r="F152" s="17"/>
      <c r="G152" s="11"/>
      <c r="J152" s="18">
        <f>F152</f>
        <v>0</v>
      </c>
      <c r="N152" s="19">
        <f>J152</f>
        <v>0</v>
      </c>
      <c r="R152" s="81">
        <f>N152</f>
        <v>0</v>
      </c>
      <c r="V152" s="87">
        <f>F152</f>
        <v>0</v>
      </c>
    </row>
    <row r="153" spans="2:23" s="107" customFormat="1" ht="15" customHeight="1" x14ac:dyDescent="0.2">
      <c r="B153" s="77" t="s">
        <v>327</v>
      </c>
      <c r="C153" s="204"/>
      <c r="D153" s="204"/>
      <c r="E153" s="11"/>
      <c r="F153" s="24"/>
      <c r="G153" s="219">
        <f>Rekensheet_0!J88</f>
        <v>0</v>
      </c>
      <c r="J153" s="25"/>
      <c r="K153" s="219">
        <f>Rekensheet_1!J88</f>
        <v>0</v>
      </c>
      <c r="N153" s="26"/>
      <c r="O153" s="219">
        <f>Rekensheet_2!J88</f>
        <v>0</v>
      </c>
      <c r="R153" s="156"/>
      <c r="S153" s="219">
        <f>Rekensheet_3!J88</f>
        <v>0</v>
      </c>
      <c r="V153" s="97"/>
      <c r="W153" s="219">
        <f>Rekensheet_4!J88</f>
        <v>0</v>
      </c>
    </row>
    <row r="154" spans="2:23" ht="15" customHeight="1" x14ac:dyDescent="0.2"/>
    <row r="155" spans="2:23" ht="15" customHeight="1" x14ac:dyDescent="0.2">
      <c r="B155" s="1" t="s">
        <v>207</v>
      </c>
      <c r="J155" s="25"/>
      <c r="N155" s="26"/>
      <c r="R155" s="26"/>
      <c r="V155" s="97"/>
    </row>
    <row r="156" spans="2:23" ht="15" customHeight="1" x14ac:dyDescent="0.2">
      <c r="B156" s="98" t="s">
        <v>208</v>
      </c>
      <c r="C156" s="5" t="s">
        <v>48</v>
      </c>
      <c r="F156" s="17"/>
      <c r="J156" s="18">
        <f>F156</f>
        <v>0</v>
      </c>
      <c r="N156" s="19">
        <f t="shared" ref="N156:N164" si="45">J156</f>
        <v>0</v>
      </c>
      <c r="R156" s="81">
        <f t="shared" ref="R156:R164" si="46">N156</f>
        <v>0</v>
      </c>
      <c r="V156" s="87">
        <f>F156</f>
        <v>0</v>
      </c>
    </row>
    <row r="157" spans="2:23" ht="15" customHeight="1" x14ac:dyDescent="0.2">
      <c r="B157" s="98" t="s">
        <v>209</v>
      </c>
      <c r="C157" s="5" t="s">
        <v>48</v>
      </c>
      <c r="F157" s="17"/>
      <c r="J157" s="18">
        <f t="shared" ref="J157:J164" si="47">F157</f>
        <v>0</v>
      </c>
      <c r="N157" s="19">
        <f t="shared" si="45"/>
        <v>0</v>
      </c>
      <c r="R157" s="81">
        <f t="shared" si="46"/>
        <v>0</v>
      </c>
      <c r="V157" s="87">
        <f t="shared" ref="V157:V164" si="48">F157</f>
        <v>0</v>
      </c>
    </row>
    <row r="158" spans="2:23" ht="15" customHeight="1" x14ac:dyDescent="0.2">
      <c r="B158" s="98" t="s">
        <v>210</v>
      </c>
      <c r="C158" s="5" t="s">
        <v>48</v>
      </c>
      <c r="F158" s="17"/>
      <c r="J158" s="18">
        <f t="shared" si="47"/>
        <v>0</v>
      </c>
      <c r="N158" s="19">
        <f t="shared" si="45"/>
        <v>0</v>
      </c>
      <c r="R158" s="81">
        <f t="shared" si="46"/>
        <v>0</v>
      </c>
      <c r="V158" s="87">
        <f t="shared" si="48"/>
        <v>0</v>
      </c>
    </row>
    <row r="159" spans="2:23" ht="15" customHeight="1" x14ac:dyDescent="0.2">
      <c r="B159" s="98" t="s">
        <v>211</v>
      </c>
      <c r="C159" s="5" t="s">
        <v>48</v>
      </c>
      <c r="F159" s="17"/>
      <c r="J159" s="18">
        <f t="shared" si="47"/>
        <v>0</v>
      </c>
      <c r="N159" s="19">
        <f t="shared" si="45"/>
        <v>0</v>
      </c>
      <c r="R159" s="81">
        <f t="shared" si="46"/>
        <v>0</v>
      </c>
      <c r="V159" s="87">
        <f t="shared" si="48"/>
        <v>0</v>
      </c>
    </row>
    <row r="160" spans="2:23" ht="15" customHeight="1" x14ac:dyDescent="0.2">
      <c r="B160" s="98" t="s">
        <v>212</v>
      </c>
      <c r="C160" s="5" t="s">
        <v>48</v>
      </c>
      <c r="F160" s="17"/>
      <c r="J160" s="18">
        <f>F160</f>
        <v>0</v>
      </c>
      <c r="N160" s="19">
        <f t="shared" si="45"/>
        <v>0</v>
      </c>
      <c r="R160" s="81">
        <f t="shared" si="46"/>
        <v>0</v>
      </c>
      <c r="V160" s="87">
        <f t="shared" si="48"/>
        <v>0</v>
      </c>
    </row>
    <row r="161" spans="2:23" ht="15" customHeight="1" x14ac:dyDescent="0.2">
      <c r="B161" s="98" t="s">
        <v>213</v>
      </c>
      <c r="C161" s="5" t="s">
        <v>48</v>
      </c>
      <c r="F161" s="17"/>
      <c r="J161" s="18">
        <f t="shared" si="47"/>
        <v>0</v>
      </c>
      <c r="N161" s="19">
        <f t="shared" si="45"/>
        <v>0</v>
      </c>
      <c r="R161" s="81">
        <f t="shared" si="46"/>
        <v>0</v>
      </c>
      <c r="V161" s="87">
        <f t="shared" si="48"/>
        <v>0</v>
      </c>
    </row>
    <row r="162" spans="2:23" ht="15" customHeight="1" x14ac:dyDescent="0.2">
      <c r="B162" s="98" t="s">
        <v>214</v>
      </c>
      <c r="C162" s="5" t="s">
        <v>48</v>
      </c>
      <c r="F162" s="17"/>
      <c r="J162" s="18">
        <f t="shared" si="47"/>
        <v>0</v>
      </c>
      <c r="N162" s="19">
        <f t="shared" si="45"/>
        <v>0</v>
      </c>
      <c r="R162" s="81">
        <f t="shared" si="46"/>
        <v>0</v>
      </c>
      <c r="V162" s="87">
        <f t="shared" si="48"/>
        <v>0</v>
      </c>
    </row>
    <row r="163" spans="2:23" ht="15" customHeight="1" x14ac:dyDescent="0.2">
      <c r="B163" s="98" t="s">
        <v>215</v>
      </c>
      <c r="C163" s="5" t="s">
        <v>48</v>
      </c>
      <c r="F163" s="17"/>
      <c r="J163" s="18">
        <f t="shared" si="47"/>
        <v>0</v>
      </c>
      <c r="N163" s="19">
        <f t="shared" si="45"/>
        <v>0</v>
      </c>
      <c r="R163" s="81">
        <f t="shared" si="46"/>
        <v>0</v>
      </c>
      <c r="V163" s="87">
        <f t="shared" si="48"/>
        <v>0</v>
      </c>
    </row>
    <row r="164" spans="2:23" ht="15" customHeight="1" x14ac:dyDescent="0.2">
      <c r="B164" s="98" t="s">
        <v>216</v>
      </c>
      <c r="C164" s="5" t="s">
        <v>48</v>
      </c>
      <c r="F164" s="17"/>
      <c r="J164" s="18">
        <f t="shared" si="47"/>
        <v>0</v>
      </c>
      <c r="N164" s="19">
        <f t="shared" si="45"/>
        <v>0</v>
      </c>
      <c r="R164" s="81">
        <f t="shared" si="46"/>
        <v>0</v>
      </c>
      <c r="V164" s="87">
        <f t="shared" si="48"/>
        <v>0</v>
      </c>
    </row>
    <row r="165" spans="2:23" ht="15" customHeight="1" x14ac:dyDescent="0.2"/>
    <row r="166" spans="2:23" ht="15" customHeight="1" x14ac:dyDescent="0.2">
      <c r="B166" s="77" t="s">
        <v>217</v>
      </c>
      <c r="C166" s="78" t="s">
        <v>48</v>
      </c>
      <c r="F166" s="3"/>
      <c r="G166" s="219">
        <f>SUM(F156:F164)</f>
        <v>0</v>
      </c>
      <c r="H166" s="72"/>
      <c r="I166" s="72"/>
      <c r="J166" s="72"/>
      <c r="K166" s="219">
        <f>SUM(J156:J164)</f>
        <v>0</v>
      </c>
      <c r="L166" s="72"/>
      <c r="M166" s="72"/>
      <c r="N166" s="72"/>
      <c r="O166" s="219">
        <f>SUM(N156:N164)</f>
        <v>0</v>
      </c>
      <c r="P166" s="107"/>
      <c r="Q166" s="107"/>
      <c r="R166" s="107"/>
      <c r="S166" s="219">
        <f>SUM(R156:R164)</f>
        <v>0</v>
      </c>
      <c r="T166" s="107"/>
      <c r="U166" s="107"/>
      <c r="V166" s="107"/>
      <c r="W166" s="219">
        <f>SUM(V156:V164)</f>
        <v>0</v>
      </c>
    </row>
    <row r="167" spans="2:23" s="107" customFormat="1" ht="15" customHeight="1" x14ac:dyDescent="0.2">
      <c r="B167" s="77"/>
      <c r="C167" s="78"/>
      <c r="D167" s="177"/>
      <c r="E167" s="11"/>
      <c r="G167" s="205"/>
      <c r="H167" s="72"/>
      <c r="I167" s="72"/>
      <c r="J167" s="72"/>
      <c r="K167" s="205"/>
      <c r="L167" s="72"/>
      <c r="M167" s="72"/>
      <c r="N167" s="72"/>
      <c r="O167" s="205"/>
      <c r="S167" s="205"/>
      <c r="W167" s="205"/>
    </row>
    <row r="168" spans="2:23" ht="15" customHeight="1" x14ac:dyDescent="0.2">
      <c r="B168" s="208" t="s">
        <v>158</v>
      </c>
      <c r="C168" s="78" t="s">
        <v>48</v>
      </c>
      <c r="G168" s="219">
        <f>SUM(G166,G146:G148,F150,F152,G153,G151)</f>
        <v>0</v>
      </c>
      <c r="H168" s="107"/>
      <c r="I168" s="107"/>
      <c r="J168" s="107"/>
      <c r="K168" s="219">
        <f>SUM(K166,K146:K148,J150,J152,K153,K151)</f>
        <v>0</v>
      </c>
      <c r="L168" s="107"/>
      <c r="M168" s="107"/>
      <c r="N168" s="107"/>
      <c r="O168" s="219">
        <f>SUM(O166,O146:O148,N150,N152,O153,O151)</f>
        <v>0</v>
      </c>
      <c r="P168" s="107"/>
      <c r="Q168" s="107"/>
      <c r="R168" s="107"/>
      <c r="S168" s="219">
        <f>SUM(S166,S146:S148,R150,R152,S153,S151)</f>
        <v>0</v>
      </c>
      <c r="T168" s="107"/>
      <c r="U168" s="107"/>
      <c r="V168" s="107"/>
      <c r="W168" s="219">
        <f>SUM(W166,W146:W148,V150,V152,W153,W151)</f>
        <v>0</v>
      </c>
    </row>
    <row r="169" spans="2:23" ht="15" customHeight="1" x14ac:dyDescent="0.2"/>
    <row r="170" spans="2:23" ht="24" customHeight="1" x14ac:dyDescent="0.3">
      <c r="B170" s="9" t="s">
        <v>232</v>
      </c>
      <c r="C170" s="23"/>
      <c r="D170" s="23"/>
      <c r="E170" s="12"/>
      <c r="F170" s="12"/>
      <c r="G170" s="12"/>
      <c r="H170" s="10"/>
      <c r="I170" s="10"/>
      <c r="J170" s="10"/>
      <c r="K170" s="10"/>
      <c r="L170" s="10"/>
      <c r="M170" s="10"/>
      <c r="N170" s="10"/>
      <c r="O170" s="10"/>
      <c r="P170" s="10"/>
      <c r="Q170" s="10"/>
      <c r="R170" s="10"/>
      <c r="S170" s="10"/>
      <c r="T170" s="10"/>
      <c r="U170" s="10"/>
      <c r="V170" s="10"/>
      <c r="W170" s="10"/>
    </row>
    <row r="171" spans="2:23" ht="15" customHeight="1" x14ac:dyDescent="0.2"/>
    <row r="172" spans="2:23" ht="15" customHeight="1" x14ac:dyDescent="0.2">
      <c r="B172" s="3" t="s">
        <v>233</v>
      </c>
      <c r="C172" s="5" t="s">
        <v>236</v>
      </c>
      <c r="F172" s="17">
        <v>7</v>
      </c>
      <c r="J172" s="186">
        <f>F172</f>
        <v>7</v>
      </c>
      <c r="K172" s="11"/>
      <c r="N172" s="187">
        <f>J172</f>
        <v>7</v>
      </c>
      <c r="O172" s="11"/>
      <c r="R172" s="188">
        <f>N172</f>
        <v>7</v>
      </c>
      <c r="S172" s="11"/>
      <c r="V172" s="189">
        <f>R172</f>
        <v>7</v>
      </c>
      <c r="W172" s="11"/>
    </row>
    <row r="173" spans="2:23" ht="15" customHeight="1" x14ac:dyDescent="0.2">
      <c r="B173" s="3" t="s">
        <v>234</v>
      </c>
      <c r="C173" s="5" t="s">
        <v>235</v>
      </c>
      <c r="F173" s="17">
        <v>225</v>
      </c>
      <c r="J173" s="186">
        <f>F173</f>
        <v>225</v>
      </c>
      <c r="K173" s="11"/>
      <c r="N173" s="187">
        <f>J173</f>
        <v>225</v>
      </c>
      <c r="O173" s="11"/>
      <c r="R173" s="188">
        <f>N173</f>
        <v>225</v>
      </c>
      <c r="S173" s="11"/>
      <c r="V173" s="189">
        <f>R173</f>
        <v>225</v>
      </c>
      <c r="W173" s="11"/>
    </row>
    <row r="174" spans="2:23" ht="15" customHeight="1" x14ac:dyDescent="0.2">
      <c r="B174" s="3" t="s">
        <v>237</v>
      </c>
      <c r="F174" s="20" t="s">
        <v>2</v>
      </c>
      <c r="J174" s="186" t="str">
        <f>F174</f>
        <v>West</v>
      </c>
      <c r="K174" s="11"/>
      <c r="N174" s="187" t="str">
        <f>J174</f>
        <v>West</v>
      </c>
      <c r="O174" s="11"/>
      <c r="R174" s="188" t="str">
        <f>N174</f>
        <v>West</v>
      </c>
      <c r="S174" s="11"/>
      <c r="V174" s="189" t="str">
        <f>R174</f>
        <v>West</v>
      </c>
      <c r="W174" s="11"/>
    </row>
    <row r="175" spans="2:23" ht="15" customHeight="1" x14ac:dyDescent="0.2">
      <c r="B175" s="3" t="s">
        <v>238</v>
      </c>
      <c r="C175" s="5" t="s">
        <v>243</v>
      </c>
      <c r="F175" s="17">
        <v>40</v>
      </c>
      <c r="J175" s="186">
        <f>F175</f>
        <v>40</v>
      </c>
      <c r="K175" s="11"/>
      <c r="N175" s="187">
        <f>J175</f>
        <v>40</v>
      </c>
      <c r="O175" s="11"/>
      <c r="R175" s="188">
        <f>N175</f>
        <v>40</v>
      </c>
      <c r="S175" s="11"/>
      <c r="V175" s="189">
        <f>R175</f>
        <v>40</v>
      </c>
      <c r="W175" s="11"/>
    </row>
    <row r="176" spans="2:23" s="107" customFormat="1" ht="15" customHeight="1" x14ac:dyDescent="0.2">
      <c r="B176" s="190" t="s">
        <v>310</v>
      </c>
      <c r="C176" s="177"/>
      <c r="D176" s="177"/>
      <c r="E176" s="11"/>
      <c r="F176" s="28"/>
      <c r="G176" s="11"/>
      <c r="J176" s="125">
        <f>F176</f>
        <v>0</v>
      </c>
      <c r="K176" s="11"/>
      <c r="N176" s="126">
        <f>J176</f>
        <v>0</v>
      </c>
      <c r="O176" s="11"/>
      <c r="R176" s="127">
        <f>N176</f>
        <v>0</v>
      </c>
      <c r="S176" s="11"/>
      <c r="V176" s="128">
        <f>R176</f>
        <v>0</v>
      </c>
      <c r="W176" s="11"/>
    </row>
    <row r="177" spans="1:23" ht="15" customHeight="1" x14ac:dyDescent="0.2">
      <c r="J177" s="11"/>
      <c r="K177" s="11"/>
      <c r="N177" s="11"/>
      <c r="O177" s="11"/>
      <c r="R177" s="11"/>
      <c r="S177" s="11"/>
      <c r="V177" s="11"/>
      <c r="W177" s="11"/>
    </row>
    <row r="178" spans="1:23" ht="15" customHeight="1" x14ac:dyDescent="0.2">
      <c r="B178" s="191" t="s">
        <v>244</v>
      </c>
      <c r="C178" s="192" t="s">
        <v>48</v>
      </c>
      <c r="G178" s="219">
        <f>Rekensheet_0!J219</f>
        <v>1248.6486486486485</v>
      </c>
      <c r="J178" s="11"/>
      <c r="K178" s="219">
        <f>Rekensheet_1!J219</f>
        <v>1248.6486486486485</v>
      </c>
      <c r="N178" s="11"/>
      <c r="O178" s="219">
        <f>Rekensheet_2!J219</f>
        <v>1248.6486486486485</v>
      </c>
      <c r="R178" s="11"/>
      <c r="S178" s="219">
        <f>Rekensheet_3!J219</f>
        <v>1248.6486486486485</v>
      </c>
      <c r="V178" s="11"/>
      <c r="W178" s="219">
        <f>Rekensheet_4!J219</f>
        <v>1248.6486486486485</v>
      </c>
    </row>
    <row r="179" spans="1:23" ht="15" customHeight="1" x14ac:dyDescent="0.2"/>
    <row r="180" spans="1:23" ht="15" customHeight="1" thickBot="1" x14ac:dyDescent="0.25"/>
    <row r="181" spans="1:23" ht="30.75" thickBot="1" x14ac:dyDescent="0.45">
      <c r="A181" s="106"/>
      <c r="B181" s="106"/>
      <c r="C181" s="106"/>
      <c r="D181" s="106"/>
      <c r="E181" s="106"/>
      <c r="F181" s="106"/>
      <c r="G181" s="106"/>
      <c r="H181" s="106"/>
      <c r="I181" s="106"/>
      <c r="J181" s="106"/>
      <c r="K181" s="106"/>
      <c r="L181" s="106"/>
      <c r="M181" s="106"/>
      <c r="N181" s="106"/>
      <c r="O181" s="106"/>
      <c r="P181" s="106"/>
      <c r="Q181" s="106"/>
      <c r="R181" s="106"/>
      <c r="S181" s="106"/>
      <c r="T181" s="106"/>
      <c r="U181" s="106"/>
      <c r="V181" s="106"/>
      <c r="W181" s="106"/>
    </row>
    <row r="185" spans="1:23" x14ac:dyDescent="0.2">
      <c r="J185" s="1"/>
    </row>
    <row r="186" spans="1:23" x14ac:dyDescent="0.2">
      <c r="J186"/>
    </row>
    <row r="189" spans="1:23" x14ac:dyDescent="0.2">
      <c r="J189" s="190"/>
    </row>
    <row r="201" spans="6:6" x14ac:dyDescent="0.2">
      <c r="F201" s="226"/>
    </row>
    <row r="214" spans="6:12" x14ac:dyDescent="0.2">
      <c r="F214" s="1"/>
      <c r="J214" s="190"/>
      <c r="L214" s="190"/>
    </row>
    <row r="218" spans="6:12" x14ac:dyDescent="0.2">
      <c r="F218" s="175"/>
      <c r="H218" s="190"/>
    </row>
  </sheetData>
  <mergeCells count="12">
    <mergeCell ref="U6:W6"/>
    <mergeCell ref="E6:G6"/>
    <mergeCell ref="I6:K6"/>
    <mergeCell ref="M6:O6"/>
    <mergeCell ref="Q6:S6"/>
    <mergeCell ref="U5:W5"/>
    <mergeCell ref="E5:G5"/>
    <mergeCell ref="I5:K5"/>
    <mergeCell ref="M5:O5"/>
    <mergeCell ref="A2:P2"/>
    <mergeCell ref="Q5:S5"/>
    <mergeCell ref="Q2:X2"/>
  </mergeCells>
  <dataValidations disablePrompts="1" count="2">
    <dataValidation type="list" allowBlank="1" showInputMessage="1" showErrorMessage="1" sqref="E82" xr:uid="{00000000-0002-0000-0100-000000000000}">
      <formula1>$K$30:$K$68</formula1>
    </dataValidation>
    <dataValidation type="list" showInputMessage="1" showErrorMessage="1" sqref="E74" xr:uid="{00000000-0002-0000-0100-000001000000}">
      <formula1>#REF!</formula1>
    </dataValidation>
  </dataValidations>
  <printOptions horizontalCentered="1" verticalCentered="1"/>
  <pageMargins left="0.70866141732283472" right="0.70866141732283472" top="0.74803149606299213" bottom="0.74803149606299213" header="0.31496062992125984" footer="0.31496062992125984"/>
  <pageSetup paperSize="140" orientation="portrait" r:id="rId1"/>
  <extLst>
    <ext xmlns:x14="http://schemas.microsoft.com/office/spreadsheetml/2009/9/main" uri="{CCE6A557-97BC-4b89-ADB6-D9C93CAAB3DF}">
      <x14:dataValidations xmlns:xm="http://schemas.microsoft.com/office/excel/2006/main" disablePrompts="1" count="9">
        <x14:dataValidation type="list" showInputMessage="1" showErrorMessage="1" xr:uid="{00000000-0002-0000-0100-000002000000}">
          <x14:formula1>
            <xm:f>Data!$B$3:$B$4</xm:f>
          </x14:formula1>
          <xm:sqref>F74 J74 N74 R74 V74</xm:sqref>
        </x14:dataValidation>
        <x14:dataValidation type="list" showInputMessage="1" showErrorMessage="1" xr:uid="{00000000-0002-0000-0100-000003000000}">
          <x14:formula1>
            <xm:f>Data!$D$3:$D$6</xm:f>
          </x14:formula1>
          <xm:sqref>F100 F116 V107 J100 N100 J123 R100 N123 V100 R123 F107 F123 J107 N107 R107 J116 N116 R116 V116 V123</xm:sqref>
        </x14:dataValidation>
        <x14:dataValidation type="list" allowBlank="1" showInputMessage="1" showErrorMessage="1" xr:uid="{00000000-0002-0000-0100-000004000000}">
          <x14:formula1>
            <xm:f>Data!$D$3:$D$4</xm:f>
          </x14:formula1>
          <xm:sqref>F141 J141 N141 R141 V141</xm:sqref>
        </x14:dataValidation>
        <x14:dataValidation type="list" allowBlank="1" showInputMessage="1" showErrorMessage="1" xr:uid="{00000000-0002-0000-0100-000005000000}">
          <x14:formula1>
            <xm:f>Data!$I$33:$I$51</xm:f>
          </x14:formula1>
          <xm:sqref>J175 F175 N175 R175 V175</xm:sqref>
        </x14:dataValidation>
        <x14:dataValidation type="list" allowBlank="1" showInputMessage="1" showErrorMessage="1" xr:uid="{00000000-0002-0000-0100-000006000000}">
          <x14:formula1>
            <xm:f>Data!$F$33:$F$37</xm:f>
          </x14:formula1>
          <xm:sqref>F174 J174 N174 R174 V174</xm:sqref>
        </x14:dataValidation>
        <x14:dataValidation type="list" allowBlank="1" showInputMessage="1" showErrorMessage="1" xr:uid="{00000000-0002-0000-0100-000007000000}">
          <x14:formula1>
            <xm:f>Data!$B$9:$B$11</xm:f>
          </x14:formula1>
          <xm:sqref>F140 J140 N140 R140 V140</xm:sqref>
        </x14:dataValidation>
        <x14:dataValidation type="list" showInputMessage="1" showErrorMessage="1" xr:uid="{00000000-0002-0000-0100-000008000000}">
          <x14:formula1>
            <xm:f>Data!$B$20:$B$25</xm:f>
          </x14:formula1>
          <xm:sqref>F85</xm:sqref>
        </x14:dataValidation>
        <x14:dataValidation type="list" showInputMessage="1" showErrorMessage="1" xr:uid="{00000000-0002-0000-0100-000009000000}">
          <x14:formula1>
            <xm:f>Data!$E$20:$E$23</xm:f>
          </x14:formula1>
          <xm:sqref>F109 R109 N109 J109 J103 N103 R103 V103 V109 F103</xm:sqref>
        </x14:dataValidation>
        <x14:dataValidation type="list" allowBlank="1" showInputMessage="1" showErrorMessage="1" xr:uid="{00000000-0002-0000-0100-00000A000000}">
          <x14:formula1>
            <xm:f>Data!$E$27:$E$29</xm:f>
          </x14:formula1>
          <xm:sqref>F73 J73 N73 R73 V73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O1:U68"/>
  <sheetViews>
    <sheetView showGridLines="0" showRowColHeaders="0" topLeftCell="A19" zoomScale="85" zoomScaleNormal="85" zoomScalePageLayoutView="90" workbookViewId="0">
      <selection activeCell="U62" sqref="U62"/>
    </sheetView>
  </sheetViews>
  <sheetFormatPr defaultColWidth="8.7109375" defaultRowHeight="12.75" x14ac:dyDescent="0.2"/>
  <cols>
    <col min="9" max="9" width="39.42578125" customWidth="1"/>
    <col min="15" max="15" width="31.42578125" customWidth="1"/>
    <col min="16" max="21" width="15.42578125" customWidth="1"/>
  </cols>
  <sheetData>
    <row r="1" spans="15:21" ht="15" customHeight="1" x14ac:dyDescent="0.2"/>
    <row r="2" spans="15:21" ht="27" customHeight="1" x14ac:dyDescent="0.2">
      <c r="O2" s="276" t="s">
        <v>282</v>
      </c>
      <c r="P2" s="276"/>
      <c r="Q2" s="276"/>
      <c r="R2" s="276"/>
      <c r="S2" s="276"/>
      <c r="T2" s="276"/>
      <c r="U2" s="276"/>
    </row>
    <row r="3" spans="15:21" ht="15" customHeight="1" x14ac:dyDescent="0.2">
      <c r="O3" s="70"/>
      <c r="P3" s="49" t="str">
        <f>Resultaat_verzameling!L5</f>
        <v>Meterstand</v>
      </c>
      <c r="Q3" s="50" t="str">
        <f>Resultaat_verzameling!M5</f>
        <v>Schetsontwerp Camper</v>
      </c>
      <c r="R3" s="51" t="str">
        <f>Resultaat_verzameling!N5</f>
        <v>1e verbeterslag</v>
      </c>
      <c r="S3" s="52" t="str">
        <f>Resultaat_verzameling!O5</f>
        <v>2e verbeterslag</v>
      </c>
      <c r="T3" s="88" t="str">
        <f>Resultaat_verzameling!P5</f>
        <v>3e verbeterslag</v>
      </c>
      <c r="U3" s="49" t="str">
        <f>Resultaat_verzameling!Q5</f>
        <v>4e verbetering</v>
      </c>
    </row>
    <row r="4" spans="15:21" ht="15" customHeight="1" x14ac:dyDescent="0.2">
      <c r="O4" s="71" t="str">
        <f>Resultaat_verzameling!K6</f>
        <v>Verwarming</v>
      </c>
      <c r="P4" s="135">
        <f>Resultaat_verzameling!L6</f>
        <v>0</v>
      </c>
      <c r="Q4" s="131">
        <f>Resultaat_verzameling!M6</f>
        <v>0</v>
      </c>
      <c r="R4" s="132">
        <f>Resultaat_verzameling!N6</f>
        <v>0</v>
      </c>
      <c r="S4" s="133">
        <f>Resultaat_verzameling!O6</f>
        <v>0</v>
      </c>
      <c r="T4" s="134">
        <f>Resultaat_verzameling!P6</f>
        <v>0</v>
      </c>
      <c r="U4" s="135">
        <f>Resultaat_verzameling!Q6</f>
        <v>0</v>
      </c>
    </row>
    <row r="5" spans="15:21" ht="15" customHeight="1" x14ac:dyDescent="0.2">
      <c r="O5" s="70" t="str">
        <f>Resultaat_verzameling!K7</f>
        <v>Tapwater</v>
      </c>
      <c r="P5" s="140">
        <f>Resultaat_verzameling!L7</f>
        <v>0</v>
      </c>
      <c r="Q5" s="136">
        <f>Resultaat_verzameling!M7</f>
        <v>0</v>
      </c>
      <c r="R5" s="137">
        <f>Resultaat_verzameling!N7</f>
        <v>0</v>
      </c>
      <c r="S5" s="138">
        <f>Resultaat_verzameling!O7</f>
        <v>0</v>
      </c>
      <c r="T5" s="139">
        <f>Resultaat_verzameling!P7</f>
        <v>0</v>
      </c>
      <c r="U5" s="140">
        <f>Resultaat_verzameling!Q7</f>
        <v>0</v>
      </c>
    </row>
    <row r="6" spans="15:21" ht="15" customHeight="1" x14ac:dyDescent="0.2">
      <c r="O6" s="70" t="str">
        <f>Resultaat_verzameling!K8</f>
        <v>Ventilatie</v>
      </c>
      <c r="P6" s="140">
        <f>Resultaat_verzameling!L8</f>
        <v>0</v>
      </c>
      <c r="Q6" s="136">
        <f>Resultaat_verzameling!M8</f>
        <v>0</v>
      </c>
      <c r="R6" s="137">
        <f>Resultaat_verzameling!N8</f>
        <v>0</v>
      </c>
      <c r="S6" s="138">
        <f>Resultaat_verzameling!O8</f>
        <v>0</v>
      </c>
      <c r="T6" s="139">
        <f>Resultaat_verzameling!P8</f>
        <v>0</v>
      </c>
      <c r="U6" s="140">
        <f>Resultaat_verzameling!Q8</f>
        <v>0</v>
      </c>
    </row>
    <row r="7" spans="15:21" ht="15" customHeight="1" x14ac:dyDescent="0.2">
      <c r="O7" s="70"/>
      <c r="P7" s="140"/>
      <c r="Q7" s="136"/>
      <c r="R7" s="137"/>
      <c r="S7" s="138"/>
      <c r="T7" s="139"/>
      <c r="U7" s="140"/>
    </row>
    <row r="8" spans="15:21" ht="15" customHeight="1" x14ac:dyDescent="0.2">
      <c r="O8" s="70" t="str">
        <f>Resultaat_verzameling!K10</f>
        <v>Koken</v>
      </c>
      <c r="P8" s="145">
        <f>Resultaat_verzameling!L10</f>
        <v>0</v>
      </c>
      <c r="Q8" s="141">
        <f>Resultaat_verzameling!M10</f>
        <v>0</v>
      </c>
      <c r="R8" s="142">
        <f>Resultaat_verzameling!N10</f>
        <v>0</v>
      </c>
      <c r="S8" s="143">
        <f>Resultaat_verzameling!O10</f>
        <v>0</v>
      </c>
      <c r="T8" s="144">
        <f>Resultaat_verzameling!P10</f>
        <v>0</v>
      </c>
      <c r="U8" s="145">
        <f>Resultaat_verzameling!Q10</f>
        <v>0</v>
      </c>
    </row>
    <row r="9" spans="15:21" ht="15" customHeight="1" x14ac:dyDescent="0.2">
      <c r="O9" s="70" t="str">
        <f>Resultaat_verzameling!K11</f>
        <v>Apparaten</v>
      </c>
      <c r="P9" s="145">
        <f>Resultaat_verzameling!L11</f>
        <v>0</v>
      </c>
      <c r="Q9" s="141">
        <f>Resultaat_verzameling!M11</f>
        <v>0</v>
      </c>
      <c r="R9" s="142">
        <f>Resultaat_verzameling!N11</f>
        <v>0</v>
      </c>
      <c r="S9" s="143">
        <f>Resultaat_verzameling!O11</f>
        <v>0</v>
      </c>
      <c r="T9" s="144">
        <f>Resultaat_verzameling!P11</f>
        <v>0</v>
      </c>
      <c r="U9" s="145">
        <f>Resultaat_verzameling!Q11</f>
        <v>0</v>
      </c>
    </row>
    <row r="10" spans="15:21" ht="15" customHeight="1" x14ac:dyDescent="0.2">
      <c r="O10" s="70" t="str">
        <f>Resultaat_verzameling!K12</f>
        <v>Zonnepanelen</v>
      </c>
      <c r="P10" s="145">
        <f>Resultaat_verzameling!L12</f>
        <v>0</v>
      </c>
      <c r="Q10" s="141">
        <f>Resultaat_verzameling!M12</f>
        <v>0</v>
      </c>
      <c r="R10" s="142">
        <f>Resultaat_verzameling!N12</f>
        <v>0</v>
      </c>
      <c r="S10" s="143">
        <f>Resultaat_verzameling!O12</f>
        <v>0</v>
      </c>
      <c r="T10" s="144">
        <f>Resultaat_verzameling!P12</f>
        <v>0</v>
      </c>
      <c r="U10" s="145">
        <f>Resultaat_verzameling!Q12</f>
        <v>0</v>
      </c>
    </row>
    <row r="11" spans="15:21" ht="15" customHeight="1" x14ac:dyDescent="0.2">
      <c r="O11" s="70" t="str">
        <f>Resultaat_verzameling!K13</f>
        <v>Meterstand</v>
      </c>
      <c r="P11" s="145" t="e">
        <f>Resultaat_verzameling!L13</f>
        <v>#DIV/0!</v>
      </c>
      <c r="Q11" s="141">
        <f>Resultaat_verzameling!M13</f>
        <v>0</v>
      </c>
      <c r="R11" s="142">
        <f>Resultaat_verzameling!N13</f>
        <v>0</v>
      </c>
      <c r="S11" s="143">
        <f>Resultaat_verzameling!O13</f>
        <v>0</v>
      </c>
      <c r="T11" s="144">
        <f>Resultaat_verzameling!P13</f>
        <v>0</v>
      </c>
      <c r="U11" s="145">
        <f>Resultaat_verzameling!Q13</f>
        <v>0</v>
      </c>
    </row>
    <row r="12" spans="15:21" ht="15" customHeight="1" x14ac:dyDescent="0.2">
      <c r="O12" s="71" t="str">
        <f>Resultaat_verzameling!K14</f>
        <v>TOTAAL</v>
      </c>
      <c r="P12" s="146" t="e">
        <f>Resultaat_verzameling!L14</f>
        <v>#DIV/0!</v>
      </c>
      <c r="Q12" s="147">
        <f>Resultaat_verzameling!M14</f>
        <v>0</v>
      </c>
      <c r="R12" s="148">
        <f>Resultaat_verzameling!N14</f>
        <v>0</v>
      </c>
      <c r="S12" s="149">
        <f>Resultaat_verzameling!O14</f>
        <v>0</v>
      </c>
      <c r="T12" s="150">
        <f>Resultaat_verzameling!P14</f>
        <v>0</v>
      </c>
      <c r="U12" s="151">
        <f>Resultaat_verzameling!Q14</f>
        <v>0</v>
      </c>
    </row>
    <row r="13" spans="15:21" ht="15" customHeight="1" x14ac:dyDescent="0.2"/>
    <row r="14" spans="15:21" ht="15" customHeight="1" x14ac:dyDescent="0.2"/>
    <row r="15" spans="15:21" ht="27" customHeight="1" x14ac:dyDescent="0.2">
      <c r="O15" s="276" t="s">
        <v>283</v>
      </c>
      <c r="P15" s="276"/>
      <c r="Q15" s="276"/>
      <c r="R15" s="276"/>
      <c r="S15" s="276"/>
      <c r="T15" s="276"/>
      <c r="U15" s="276"/>
    </row>
    <row r="16" spans="15:21" ht="15" customHeight="1" x14ac:dyDescent="0.2">
      <c r="O16" s="70"/>
      <c r="P16" s="49" t="str">
        <f>Resultaat_verzameling!C21</f>
        <v>Meterstand</v>
      </c>
      <c r="Q16" s="50" t="str">
        <f>Resultaat_verzameling!D21</f>
        <v>Schetsontwerp Camper</v>
      </c>
      <c r="R16" s="51" t="str">
        <f>Resultaat_verzameling!E21</f>
        <v>1e verbeterslag</v>
      </c>
      <c r="S16" s="52" t="str">
        <f>Resultaat_verzameling!F21</f>
        <v>2e verbeterslag</v>
      </c>
      <c r="T16" s="88" t="str">
        <f>Resultaat_verzameling!G21</f>
        <v>3e verbeterslag</v>
      </c>
      <c r="U16" s="49" t="str">
        <f>Resultaat_verzameling!H21</f>
        <v>4e verbetering</v>
      </c>
    </row>
    <row r="17" spans="15:21" ht="15" customHeight="1" x14ac:dyDescent="0.2">
      <c r="O17" s="71" t="str">
        <f>Resultaat_verzameling!B22</f>
        <v>Elektriciteit [kWh]</v>
      </c>
      <c r="P17" s="229">
        <f>Resultaat_verzameling!C22</f>
        <v>0</v>
      </c>
      <c r="Q17" s="230">
        <f>Resultaat_verzameling!D22</f>
        <v>-1248.6486486486485</v>
      </c>
      <c r="R17" s="64">
        <f>Resultaat_verzameling!E22</f>
        <v>-1248.6486486486485</v>
      </c>
      <c r="S17" s="65">
        <f>Resultaat_verzameling!F22</f>
        <v>-1248.6486486486485</v>
      </c>
      <c r="T17" s="92">
        <f>Resultaat_verzameling!G22</f>
        <v>-1248.6486486486485</v>
      </c>
      <c r="U17" s="130">
        <f>Resultaat_verzameling!H22</f>
        <v>-1248.6486486486485</v>
      </c>
    </row>
    <row r="18" spans="15:21" ht="15" customHeight="1" x14ac:dyDescent="0.2">
      <c r="O18" s="152" t="str">
        <f>Resultaat_verzameling!B23</f>
        <v>Verwarming</v>
      </c>
      <c r="P18" s="61">
        <f>Resultaat_verzameling!C23</f>
        <v>0</v>
      </c>
      <c r="Q18" s="54">
        <f>Resultaat_verzameling!D23</f>
        <v>0</v>
      </c>
      <c r="R18" s="55">
        <f>Resultaat_verzameling!E23</f>
        <v>0</v>
      </c>
      <c r="S18" s="56">
        <f>Resultaat_verzameling!F23</f>
        <v>0</v>
      </c>
      <c r="T18" s="90">
        <f>Resultaat_verzameling!G23</f>
        <v>0</v>
      </c>
      <c r="U18" s="61">
        <f>Resultaat_verzameling!H23</f>
        <v>0</v>
      </c>
    </row>
    <row r="19" spans="15:21" ht="15" customHeight="1" x14ac:dyDescent="0.2">
      <c r="O19" s="152" t="str">
        <f>Resultaat_verzameling!B24</f>
        <v>Tapwater</v>
      </c>
      <c r="P19" s="61">
        <f>Resultaat_verzameling!C24</f>
        <v>0</v>
      </c>
      <c r="Q19" s="54">
        <f>Resultaat_verzameling!D24</f>
        <v>0</v>
      </c>
      <c r="R19" s="55">
        <f>Resultaat_verzameling!E24</f>
        <v>0</v>
      </c>
      <c r="S19" s="56">
        <f>Resultaat_verzameling!F24</f>
        <v>0</v>
      </c>
      <c r="T19" s="90">
        <f>Resultaat_verzameling!G24</f>
        <v>0</v>
      </c>
      <c r="U19" s="61">
        <f>Resultaat_verzameling!H24</f>
        <v>0</v>
      </c>
    </row>
    <row r="20" spans="15:21" ht="15" customHeight="1" x14ac:dyDescent="0.2">
      <c r="O20" s="152" t="str">
        <f>Resultaat_verzameling!B25</f>
        <v>Ventilatie</v>
      </c>
      <c r="P20" s="61">
        <f>Resultaat_verzameling!C25</f>
        <v>0</v>
      </c>
      <c r="Q20" s="54">
        <f>Resultaat_verzameling!D25</f>
        <v>0</v>
      </c>
      <c r="R20" s="55">
        <f>Resultaat_verzameling!E25</f>
        <v>0</v>
      </c>
      <c r="S20" s="56">
        <f>Resultaat_verzameling!F25</f>
        <v>0</v>
      </c>
      <c r="T20" s="90">
        <f>Resultaat_verzameling!G25</f>
        <v>0</v>
      </c>
      <c r="U20" s="61">
        <f>Resultaat_verzameling!H25</f>
        <v>0</v>
      </c>
    </row>
    <row r="21" spans="15:21" ht="15" customHeight="1" x14ac:dyDescent="0.2">
      <c r="O21" s="152"/>
      <c r="P21" s="61"/>
      <c r="Q21" s="54"/>
      <c r="R21" s="55"/>
      <c r="S21" s="56"/>
      <c r="T21" s="90"/>
      <c r="U21" s="61"/>
    </row>
    <row r="22" spans="15:21" ht="15" customHeight="1" x14ac:dyDescent="0.2">
      <c r="O22" s="152" t="str">
        <f>Resultaat_verzameling!B27</f>
        <v>Koken</v>
      </c>
      <c r="P22" s="61">
        <f>Resultaat_verzameling!C27</f>
        <v>0</v>
      </c>
      <c r="Q22" s="54">
        <f>Resultaat_verzameling!D27</f>
        <v>0</v>
      </c>
      <c r="R22" s="55">
        <f>Resultaat_verzameling!E27</f>
        <v>0</v>
      </c>
      <c r="S22" s="56">
        <f>Resultaat_verzameling!F27</f>
        <v>0</v>
      </c>
      <c r="T22" s="90">
        <f>Resultaat_verzameling!G27</f>
        <v>0</v>
      </c>
      <c r="U22" s="61">
        <f>Resultaat_verzameling!H27</f>
        <v>0</v>
      </c>
    </row>
    <row r="23" spans="15:21" ht="15" customHeight="1" x14ac:dyDescent="0.2">
      <c r="O23" s="152" t="str">
        <f>Resultaat_verzameling!B28</f>
        <v>Apparaten</v>
      </c>
      <c r="P23" s="61">
        <f>Resultaat_verzameling!C28</f>
        <v>0</v>
      </c>
      <c r="Q23" s="54">
        <f>Resultaat_verzameling!D28</f>
        <v>0</v>
      </c>
      <c r="R23" s="55">
        <f>Resultaat_verzameling!E28</f>
        <v>0</v>
      </c>
      <c r="S23" s="56">
        <f>Resultaat_verzameling!F28</f>
        <v>0</v>
      </c>
      <c r="T23" s="90">
        <f>Resultaat_verzameling!G28</f>
        <v>0</v>
      </c>
      <c r="U23" s="61">
        <f>Resultaat_verzameling!H28</f>
        <v>0</v>
      </c>
    </row>
    <row r="24" spans="15:21" ht="15" customHeight="1" x14ac:dyDescent="0.2">
      <c r="O24" s="152" t="str">
        <f>Resultaat_verzameling!B29</f>
        <v>Zonnepanelen</v>
      </c>
      <c r="P24" s="61">
        <f>Resultaat_verzameling!C29</f>
        <v>0</v>
      </c>
      <c r="Q24" s="54">
        <f>Resultaat_verzameling!D29</f>
        <v>-1248.6486486486485</v>
      </c>
      <c r="R24" s="55">
        <f>Resultaat_verzameling!E29</f>
        <v>-1248.6486486486485</v>
      </c>
      <c r="S24" s="56">
        <f>Resultaat_verzameling!F29</f>
        <v>-1248.6486486486485</v>
      </c>
      <c r="T24" s="90">
        <f>Resultaat_verzameling!G29</f>
        <v>-1248.6486486486485</v>
      </c>
      <c r="U24" s="61">
        <f>Resultaat_verzameling!H29</f>
        <v>-1248.6486486486485</v>
      </c>
    </row>
    <row r="25" spans="15:21" ht="15" customHeight="1" x14ac:dyDescent="0.2">
      <c r="O25" s="70"/>
      <c r="P25" s="61"/>
      <c r="Q25" s="54"/>
      <c r="R25" s="55"/>
      <c r="S25" s="56"/>
      <c r="T25" s="90"/>
      <c r="U25" s="61"/>
    </row>
    <row r="26" spans="15:21" ht="15" customHeight="1" x14ac:dyDescent="0.2">
      <c r="O26" s="70" t="str">
        <f>Resultaat_verzameling!B31</f>
        <v>Gas [m3]</v>
      </c>
      <c r="P26" s="227">
        <f>Resultaat_verzameling!C31</f>
        <v>0</v>
      </c>
      <c r="Q26" s="228">
        <f>Resultaat_verzameling!D31</f>
        <v>0</v>
      </c>
      <c r="R26" s="155">
        <f>Resultaat_verzameling!E31</f>
        <v>0</v>
      </c>
      <c r="S26" s="170">
        <f>Resultaat_verzameling!F31</f>
        <v>0</v>
      </c>
      <c r="T26" s="171">
        <f>Resultaat_verzameling!G31</f>
        <v>0</v>
      </c>
      <c r="U26" s="157">
        <f>Resultaat_verzameling!H31</f>
        <v>0</v>
      </c>
    </row>
    <row r="27" spans="15:21" ht="15" customHeight="1" x14ac:dyDescent="0.2">
      <c r="O27" s="152" t="str">
        <f>Resultaat_verzameling!B32</f>
        <v>Verwarming</v>
      </c>
      <c r="P27" s="61">
        <f>Resultaat_verzameling!C32</f>
        <v>0</v>
      </c>
      <c r="Q27" s="54">
        <f>Resultaat_verzameling!D32</f>
        <v>0</v>
      </c>
      <c r="R27" s="55">
        <f>Resultaat_verzameling!E32</f>
        <v>0</v>
      </c>
      <c r="S27" s="56">
        <f>Resultaat_verzameling!F32</f>
        <v>0</v>
      </c>
      <c r="T27" s="90">
        <f>Resultaat_verzameling!G32</f>
        <v>0</v>
      </c>
      <c r="U27" s="61">
        <f>Resultaat_verzameling!H32</f>
        <v>0</v>
      </c>
    </row>
    <row r="28" spans="15:21" ht="15" customHeight="1" x14ac:dyDescent="0.2">
      <c r="O28" s="152" t="str">
        <f>Resultaat_verzameling!B33</f>
        <v>Tapwater</v>
      </c>
      <c r="P28" s="61">
        <f>Resultaat_verzameling!C33</f>
        <v>0</v>
      </c>
      <c r="Q28" s="54">
        <f>Resultaat_verzameling!D33</f>
        <v>0</v>
      </c>
      <c r="R28" s="55">
        <f>Resultaat_verzameling!E33</f>
        <v>0</v>
      </c>
      <c r="S28" s="56">
        <f>Resultaat_verzameling!F33</f>
        <v>0</v>
      </c>
      <c r="T28" s="90">
        <f>Resultaat_verzameling!G33</f>
        <v>0</v>
      </c>
      <c r="U28" s="61">
        <f>Resultaat_verzameling!H33</f>
        <v>0</v>
      </c>
    </row>
    <row r="29" spans="15:21" ht="15" customHeight="1" x14ac:dyDescent="0.2">
      <c r="O29" s="152" t="str">
        <f>Resultaat_verzameling!B34</f>
        <v>Koken</v>
      </c>
      <c r="P29" s="61">
        <f>Resultaat_verzameling!C34</f>
        <v>0</v>
      </c>
      <c r="Q29" s="54">
        <f>Resultaat_verzameling!D34</f>
        <v>0</v>
      </c>
      <c r="R29" s="55">
        <f>Resultaat_verzameling!E34</f>
        <v>0</v>
      </c>
      <c r="S29" s="56">
        <f>Resultaat_verzameling!F34</f>
        <v>0</v>
      </c>
      <c r="T29" s="90">
        <f>Resultaat_verzameling!G34</f>
        <v>0</v>
      </c>
      <c r="U29" s="61">
        <f>Resultaat_verzameling!H34</f>
        <v>0</v>
      </c>
    </row>
    <row r="30" spans="15:21" ht="15" customHeight="1" x14ac:dyDescent="0.2">
      <c r="O30" s="70"/>
      <c r="P30" s="61"/>
      <c r="Q30" s="54"/>
      <c r="R30" s="55"/>
      <c r="S30" s="56"/>
      <c r="T30" s="90"/>
      <c r="U30" s="61"/>
    </row>
    <row r="31" spans="15:21" ht="15" customHeight="1" x14ac:dyDescent="0.2">
      <c r="O31" s="70" t="str">
        <f>Resultaat_verzameling!B36</f>
        <v>Hout [kg]</v>
      </c>
      <c r="P31" s="157">
        <f>Resultaat_verzameling!C36</f>
        <v>0</v>
      </c>
      <c r="Q31" s="154">
        <f>Resultaat_verzameling!D36</f>
        <v>0</v>
      </c>
      <c r="R31" s="155">
        <f>Resultaat_verzameling!E36</f>
        <v>0</v>
      </c>
      <c r="S31" s="170">
        <f>Resultaat_verzameling!F36</f>
        <v>0</v>
      </c>
      <c r="T31" s="171">
        <f>Resultaat_verzameling!G36</f>
        <v>0</v>
      </c>
      <c r="U31" s="157">
        <f>Resultaat_verzameling!H36</f>
        <v>0</v>
      </c>
    </row>
    <row r="32" spans="15:21" ht="15" customHeight="1" x14ac:dyDescent="0.2">
      <c r="O32" s="152" t="str">
        <f>Resultaat_verzameling!B37</f>
        <v>Verwarming</v>
      </c>
      <c r="P32" s="61">
        <f>Resultaat_verzameling!C37</f>
        <v>0</v>
      </c>
      <c r="Q32" s="54">
        <f>Resultaat_verzameling!D37</f>
        <v>0</v>
      </c>
      <c r="R32" s="55">
        <f>Resultaat_verzameling!E37</f>
        <v>0</v>
      </c>
      <c r="S32" s="56">
        <f>Resultaat_verzameling!F37</f>
        <v>0</v>
      </c>
      <c r="T32" s="90">
        <f>Resultaat_verzameling!G37</f>
        <v>0</v>
      </c>
      <c r="U32" s="61">
        <f>Resultaat_verzameling!H37</f>
        <v>0</v>
      </c>
    </row>
    <row r="33" spans="15:21" ht="15" customHeight="1" x14ac:dyDescent="0.2">
      <c r="O33" s="152" t="str">
        <f>Resultaat_verzameling!B38</f>
        <v>Tapwater</v>
      </c>
      <c r="P33" s="61">
        <f>Resultaat_verzameling!C38</f>
        <v>0</v>
      </c>
      <c r="Q33" s="54">
        <f>Resultaat_verzameling!D38</f>
        <v>0</v>
      </c>
      <c r="R33" s="55">
        <f>Resultaat_verzameling!E38</f>
        <v>0</v>
      </c>
      <c r="S33" s="56">
        <f>Resultaat_verzameling!F38</f>
        <v>0</v>
      </c>
      <c r="T33" s="90">
        <f>Resultaat_verzameling!G38</f>
        <v>0</v>
      </c>
      <c r="U33" s="61">
        <f>Resultaat_verzameling!H38</f>
        <v>0</v>
      </c>
    </row>
    <row r="34" spans="15:21" ht="15" customHeight="1" x14ac:dyDescent="0.2">
      <c r="O34" s="70"/>
      <c r="P34" s="61"/>
      <c r="Q34" s="54"/>
      <c r="R34" s="55"/>
      <c r="S34" s="56"/>
      <c r="T34" s="90"/>
      <c r="U34" s="61"/>
    </row>
    <row r="35" spans="15:21" ht="15" customHeight="1" x14ac:dyDescent="0.2">
      <c r="O35" s="70" t="str">
        <f>Resultaat_verzameling!B40</f>
        <v>Warmtenet [GJ]</v>
      </c>
      <c r="P35" s="158">
        <f>Resultaat_verzameling!C40</f>
        <v>0</v>
      </c>
      <c r="Q35" s="159">
        <f>Resultaat_verzameling!D40</f>
        <v>0</v>
      </c>
      <c r="R35" s="160">
        <f>Resultaat_verzameling!E40</f>
        <v>0</v>
      </c>
      <c r="S35" s="161">
        <f>Resultaat_verzameling!F40</f>
        <v>0</v>
      </c>
      <c r="T35" s="162">
        <f>Resultaat_verzameling!G40</f>
        <v>0</v>
      </c>
      <c r="U35" s="158">
        <f>Resultaat_verzameling!H40</f>
        <v>0</v>
      </c>
    </row>
    <row r="36" spans="15:21" ht="15" customHeight="1" x14ac:dyDescent="0.2">
      <c r="O36" s="152" t="str">
        <f>Resultaat_verzameling!B41</f>
        <v>Verwarming</v>
      </c>
      <c r="P36" s="140">
        <f>Resultaat_verzameling!C41</f>
        <v>0</v>
      </c>
      <c r="Q36" s="136">
        <f>Resultaat_verzameling!D41</f>
        <v>0</v>
      </c>
      <c r="R36" s="137">
        <f>Resultaat_verzameling!E41</f>
        <v>0</v>
      </c>
      <c r="S36" s="138">
        <f>Resultaat_verzameling!F41</f>
        <v>0</v>
      </c>
      <c r="T36" s="139">
        <f>Resultaat_verzameling!G41</f>
        <v>0</v>
      </c>
      <c r="U36" s="140">
        <f>Resultaat_verzameling!H41</f>
        <v>0</v>
      </c>
    </row>
    <row r="37" spans="15:21" ht="15" customHeight="1" x14ac:dyDescent="0.2">
      <c r="O37" s="152" t="str">
        <f>Resultaat_verzameling!B42</f>
        <v>Tapwater</v>
      </c>
      <c r="P37" s="140">
        <f>Resultaat_verzameling!C42</f>
        <v>0</v>
      </c>
      <c r="Q37" s="136">
        <f>Resultaat_verzameling!D42</f>
        <v>0</v>
      </c>
      <c r="R37" s="137">
        <f>Resultaat_verzameling!E42</f>
        <v>0</v>
      </c>
      <c r="S37" s="138">
        <f>Resultaat_verzameling!F42</f>
        <v>0</v>
      </c>
      <c r="T37" s="139">
        <f>Resultaat_verzameling!G42</f>
        <v>0</v>
      </c>
      <c r="U37" s="140">
        <f>Resultaat_verzameling!H42</f>
        <v>0</v>
      </c>
    </row>
    <row r="38" spans="15:21" ht="15" customHeight="1" x14ac:dyDescent="0.2">
      <c r="O38" s="71"/>
      <c r="P38" s="146"/>
      <c r="Q38" s="147"/>
      <c r="R38" s="148"/>
      <c r="S38" s="149"/>
      <c r="T38" s="150"/>
      <c r="U38" s="151"/>
    </row>
    <row r="39" spans="15:21" ht="15" customHeight="1" x14ac:dyDescent="0.2"/>
    <row r="40" spans="15:21" ht="27" customHeight="1" x14ac:dyDescent="0.2">
      <c r="O40" s="276" t="s">
        <v>284</v>
      </c>
      <c r="P40" s="276"/>
      <c r="Q40" s="276"/>
      <c r="R40" s="276"/>
      <c r="S40" s="276"/>
      <c r="T40" s="276"/>
      <c r="U40" s="276"/>
    </row>
    <row r="41" spans="15:21" ht="15" customHeight="1" x14ac:dyDescent="0.2">
      <c r="O41" s="73"/>
      <c r="P41" s="74"/>
      <c r="Q41" s="74" t="str">
        <f>Resultaat_verzameling!M48</f>
        <v>Schetsontwerp Camper</v>
      </c>
      <c r="R41" s="75" t="str">
        <f>Resultaat_verzameling!N48</f>
        <v>1e verbeterslag</v>
      </c>
      <c r="S41" s="76" t="str">
        <f>Resultaat_verzameling!O48</f>
        <v>2e verbeterslag</v>
      </c>
      <c r="T41" s="96" t="str">
        <f>Resultaat_verzameling!P48</f>
        <v>3e verbeterslag</v>
      </c>
      <c r="U41" s="95" t="str">
        <f>Resultaat_verzameling!Q48</f>
        <v>4e verbetering</v>
      </c>
    </row>
    <row r="42" spans="15:21" ht="15" customHeight="1" x14ac:dyDescent="0.2">
      <c r="O42" s="70" t="str">
        <f>Resultaat_verzameling!K49</f>
        <v>Transmissie (buitengevels)</v>
      </c>
      <c r="Q42" s="136">
        <f>Resultaat_verzameling!M49</f>
        <v>0</v>
      </c>
      <c r="R42" s="137">
        <f>Resultaat_verzameling!N49</f>
        <v>0</v>
      </c>
      <c r="S42" s="138">
        <f>Resultaat_verzameling!O49</f>
        <v>0</v>
      </c>
      <c r="T42" s="139">
        <f>Resultaat_verzameling!P49</f>
        <v>0</v>
      </c>
      <c r="U42" s="140">
        <f>Resultaat_verzameling!Q49</f>
        <v>0</v>
      </c>
    </row>
    <row r="43" spans="15:21" ht="15" customHeight="1" x14ac:dyDescent="0.2">
      <c r="O43" s="70" t="str">
        <f>Resultaat_verzameling!K50</f>
        <v>Transmissie (dak)</v>
      </c>
      <c r="Q43" s="136">
        <f>Resultaat_verzameling!M50</f>
        <v>0</v>
      </c>
      <c r="R43" s="137">
        <f>Resultaat_verzameling!N50</f>
        <v>0</v>
      </c>
      <c r="S43" s="138">
        <f>Resultaat_verzameling!O50</f>
        <v>0</v>
      </c>
      <c r="T43" s="139">
        <f>Resultaat_verzameling!P50</f>
        <v>0</v>
      </c>
      <c r="U43" s="140">
        <f>Resultaat_verzameling!Q50</f>
        <v>0</v>
      </c>
    </row>
    <row r="44" spans="15:21" ht="15" customHeight="1" x14ac:dyDescent="0.2">
      <c r="O44" s="70" t="str">
        <f>Resultaat_verzameling!K51</f>
        <v>Transmissie (vloer)</v>
      </c>
      <c r="Q44" s="136">
        <f>Resultaat_verzameling!M51</f>
        <v>0</v>
      </c>
      <c r="R44" s="137">
        <f>Resultaat_verzameling!N51</f>
        <v>0</v>
      </c>
      <c r="S44" s="138">
        <f>Resultaat_verzameling!O51</f>
        <v>0</v>
      </c>
      <c r="T44" s="139">
        <f>Resultaat_verzameling!P51</f>
        <v>0</v>
      </c>
      <c r="U44" s="140">
        <f>Resultaat_verzameling!Q51</f>
        <v>0</v>
      </c>
    </row>
    <row r="45" spans="15:21" ht="15" customHeight="1" x14ac:dyDescent="0.2">
      <c r="O45" s="70" t="str">
        <f>Resultaat_verzameling!K52</f>
        <v>Transmissie (ramen)</v>
      </c>
      <c r="Q45" s="136">
        <f>Resultaat_verzameling!M52</f>
        <v>0</v>
      </c>
      <c r="R45" s="137">
        <f>Resultaat_verzameling!N52</f>
        <v>0</v>
      </c>
      <c r="S45" s="138">
        <f>Resultaat_verzameling!O52</f>
        <v>0</v>
      </c>
      <c r="T45" s="139">
        <f>Resultaat_verzameling!P52</f>
        <v>0</v>
      </c>
      <c r="U45" s="140">
        <f>Resultaat_verzameling!Q52</f>
        <v>0</v>
      </c>
    </row>
    <row r="46" spans="15:21" ht="15" customHeight="1" x14ac:dyDescent="0.2">
      <c r="O46" s="70" t="str">
        <f>Resultaat_verzameling!K53</f>
        <v>Transmissie (overige)</v>
      </c>
      <c r="Q46" s="136">
        <f>Resultaat_verzameling!M53</f>
        <v>0</v>
      </c>
      <c r="R46" s="137">
        <f>Resultaat_verzameling!N53</f>
        <v>0</v>
      </c>
      <c r="S46" s="138">
        <f>Resultaat_verzameling!O53</f>
        <v>0</v>
      </c>
      <c r="T46" s="139">
        <f>Resultaat_verzameling!P53</f>
        <v>0</v>
      </c>
      <c r="U46" s="140">
        <f>Resultaat_verzameling!Q53</f>
        <v>0</v>
      </c>
    </row>
    <row r="47" spans="15:21" ht="15" customHeight="1" x14ac:dyDescent="0.2">
      <c r="O47" s="70" t="str">
        <f>Resultaat_verzameling!K54</f>
        <v>Infiltratie</v>
      </c>
      <c r="Q47" s="136">
        <f>Resultaat_verzameling!M54</f>
        <v>0</v>
      </c>
      <c r="R47" s="137">
        <f>Resultaat_verzameling!N54</f>
        <v>0</v>
      </c>
      <c r="S47" s="138">
        <f>Resultaat_verzameling!O54</f>
        <v>0</v>
      </c>
      <c r="T47" s="139">
        <f>Resultaat_verzameling!P54</f>
        <v>0</v>
      </c>
      <c r="U47" s="140">
        <f>Resultaat_verzameling!Q54</f>
        <v>0</v>
      </c>
    </row>
    <row r="48" spans="15:21" ht="15" customHeight="1" x14ac:dyDescent="0.2">
      <c r="O48" s="70" t="str">
        <f>Resultaat_verzameling!K55</f>
        <v>Ventilatie</v>
      </c>
      <c r="Q48" s="136">
        <f>Resultaat_verzameling!M55</f>
        <v>0</v>
      </c>
      <c r="R48" s="137">
        <f>Resultaat_verzameling!N55</f>
        <v>0</v>
      </c>
      <c r="S48" s="138">
        <f>Resultaat_verzameling!O55</f>
        <v>0</v>
      </c>
      <c r="T48" s="139">
        <f>Resultaat_verzameling!P55</f>
        <v>0</v>
      </c>
      <c r="U48" s="140">
        <f>Resultaat_verzameling!Q55</f>
        <v>0</v>
      </c>
    </row>
    <row r="49" spans="15:21" ht="15" customHeight="1" x14ac:dyDescent="0.2">
      <c r="O49" s="70" t="str">
        <f>Resultaat_verzameling!K56</f>
        <v>Zoninstraling</v>
      </c>
      <c r="Q49" s="136">
        <f>Resultaat_verzameling!M56</f>
        <v>0</v>
      </c>
      <c r="R49" s="137">
        <f>Resultaat_verzameling!N56</f>
        <v>0</v>
      </c>
      <c r="S49" s="138">
        <f>Resultaat_verzameling!O56</f>
        <v>0</v>
      </c>
      <c r="T49" s="139">
        <f>Resultaat_verzameling!P56</f>
        <v>0</v>
      </c>
      <c r="U49" s="140">
        <f>Resultaat_verzameling!Q56</f>
        <v>0</v>
      </c>
    </row>
    <row r="50" spans="15:21" ht="15" customHeight="1" x14ac:dyDescent="0.2">
      <c r="O50" s="70" t="str">
        <f>Resultaat_verzameling!K57</f>
        <v>Interne warmtelast</v>
      </c>
      <c r="Q50" s="136">
        <f>Resultaat_verzameling!M57</f>
        <v>0</v>
      </c>
      <c r="R50" s="142">
        <f>Resultaat_verzameling!N57</f>
        <v>0</v>
      </c>
      <c r="S50" s="143">
        <f>Resultaat_verzameling!O57</f>
        <v>0</v>
      </c>
      <c r="T50" s="144">
        <f>Resultaat_verzameling!P57</f>
        <v>0</v>
      </c>
      <c r="U50" s="145">
        <f>Resultaat_verzameling!Q57</f>
        <v>0</v>
      </c>
    </row>
    <row r="51" spans="15:21" ht="15" customHeight="1" x14ac:dyDescent="0.2">
      <c r="O51" s="70" t="str">
        <f>Resultaat_verzameling!K58</f>
        <v>Netto warmtevraag</v>
      </c>
      <c r="Q51" s="136">
        <f>Resultaat_verzameling!M58</f>
        <v>0</v>
      </c>
      <c r="R51" s="142">
        <f>Resultaat_verzameling!N58</f>
        <v>0</v>
      </c>
      <c r="S51" s="143">
        <f>Resultaat_verzameling!O58</f>
        <v>0</v>
      </c>
      <c r="T51" s="144">
        <f>Resultaat_verzameling!P58</f>
        <v>0</v>
      </c>
      <c r="U51" s="145">
        <f>Resultaat_verzameling!Q58</f>
        <v>0</v>
      </c>
    </row>
    <row r="52" spans="15:21" ht="15" customHeight="1" x14ac:dyDescent="0.2">
      <c r="O52" s="71"/>
      <c r="P52" s="62"/>
      <c r="Q52" s="62"/>
      <c r="R52" s="63"/>
      <c r="S52" s="64"/>
      <c r="T52" s="64"/>
      <c r="U52" s="64"/>
    </row>
    <row r="53" spans="15:21" ht="15" customHeight="1" x14ac:dyDescent="0.2"/>
    <row r="54" spans="15:21" ht="27" customHeight="1" x14ac:dyDescent="0.2">
      <c r="O54" s="276" t="s">
        <v>185</v>
      </c>
      <c r="P54" s="276"/>
      <c r="Q54" s="276"/>
      <c r="R54" s="276"/>
      <c r="S54" s="276"/>
      <c r="T54" s="276"/>
      <c r="U54" s="276"/>
    </row>
    <row r="55" spans="15:21" ht="15" customHeight="1" x14ac:dyDescent="0.2">
      <c r="O55" s="73"/>
      <c r="P55" s="74"/>
      <c r="Q55" s="74" t="str">
        <f>Q41</f>
        <v>Schetsontwerp Camper</v>
      </c>
      <c r="R55" s="75" t="str">
        <f t="shared" ref="R55:U55" si="0">R41</f>
        <v>1e verbeterslag</v>
      </c>
      <c r="S55" s="76" t="str">
        <f t="shared" si="0"/>
        <v>2e verbeterslag</v>
      </c>
      <c r="T55" s="96" t="str">
        <f t="shared" si="0"/>
        <v>3e verbeterslag</v>
      </c>
      <c r="U55" s="95" t="str">
        <f t="shared" si="0"/>
        <v>4e verbetering</v>
      </c>
    </row>
    <row r="56" spans="15:21" ht="15" customHeight="1" x14ac:dyDescent="0.2">
      <c r="O56" s="70" t="s">
        <v>175</v>
      </c>
      <c r="Q56" s="136">
        <f>SUM(Rekensheet_0!$K$43:$K$46)</f>
        <v>0</v>
      </c>
      <c r="R56" s="137">
        <f>SUM(Rekensheet_1!$K$43:$K$46)</f>
        <v>0</v>
      </c>
      <c r="S56" s="138">
        <f>SUM(Rekensheet_2!$K$43:$K$46)</f>
        <v>0</v>
      </c>
      <c r="T56" s="139">
        <f>SUM(Rekensheet_3!$K$43:$K$46)</f>
        <v>0</v>
      </c>
      <c r="U56" s="140">
        <f>SUM(Rekensheet_4!$K$43:$K$46)</f>
        <v>0</v>
      </c>
    </row>
    <row r="57" spans="15:21" ht="15" customHeight="1" x14ac:dyDescent="0.2">
      <c r="O57" s="70" t="s">
        <v>173</v>
      </c>
      <c r="Q57" s="136">
        <f>SUM(Rekensheet_0!$K$38:$K$41)</f>
        <v>0</v>
      </c>
      <c r="R57" s="137">
        <f>SUM(Rekensheet_1!$K$38:$K$41)</f>
        <v>0</v>
      </c>
      <c r="S57" s="138">
        <f>SUM(Rekensheet_2!$K$38:$K$41)</f>
        <v>0</v>
      </c>
      <c r="T57" s="139">
        <f>SUM(Rekensheet_3!$K$38:$K$41)</f>
        <v>0</v>
      </c>
      <c r="U57" s="140">
        <f>SUM(Rekensheet_4!$K$38:$K$41)</f>
        <v>0</v>
      </c>
    </row>
    <row r="58" spans="15:21" ht="15" customHeight="1" x14ac:dyDescent="0.2">
      <c r="O58" s="70" t="s">
        <v>174</v>
      </c>
      <c r="Q58" s="136">
        <f>SUM(Rekensheet_0!$K$34:$K$36)</f>
        <v>0</v>
      </c>
      <c r="R58" s="137">
        <f>SUM(Rekensheet_1!$K$34:$K$36)</f>
        <v>0</v>
      </c>
      <c r="S58" s="138">
        <f>SUM(Rekensheet_2!$K$34:$K$36)</f>
        <v>0</v>
      </c>
      <c r="T58" s="139">
        <f>SUM(Rekensheet_3!$K$34:$K$36)</f>
        <v>0</v>
      </c>
      <c r="U58" s="140">
        <f>SUM(Rekensheet_4!$K$34:$K$36)</f>
        <v>0</v>
      </c>
    </row>
    <row r="59" spans="15:21" ht="15" customHeight="1" x14ac:dyDescent="0.2">
      <c r="O59" s="70" t="s">
        <v>170</v>
      </c>
      <c r="Q59" s="136">
        <f>SUM(Rekensheet_0!$K$61:$K$65)</f>
        <v>0</v>
      </c>
      <c r="R59" s="137">
        <f>SUM(Rekensheet_1!$K$61:$K$65)</f>
        <v>0</v>
      </c>
      <c r="S59" s="138">
        <f>SUM(Rekensheet_2!$K$61:$K$65)</f>
        <v>0</v>
      </c>
      <c r="T59" s="139">
        <f>SUM(Rekensheet_3!$K$61:$K$65)</f>
        <v>0</v>
      </c>
      <c r="U59" s="140">
        <f>SUM(Rekensheet_4!$K$61:$K$65)</f>
        <v>0</v>
      </c>
    </row>
    <row r="60" spans="15:21" ht="15" customHeight="1" x14ac:dyDescent="0.2">
      <c r="O60" s="70" t="s">
        <v>176</v>
      </c>
      <c r="Q60" s="136">
        <f>SUM(Rekensheet_0!$K$52:$K$59)+SUM(Rekensheet_0!$K$48:$K$50)</f>
        <v>0</v>
      </c>
      <c r="R60" s="137">
        <f>SUM(Rekensheet_1!$K$52:$K$59)+SUM(Rekensheet_1!$K$48:$K$50)</f>
        <v>0</v>
      </c>
      <c r="S60" s="138">
        <f>SUM(Rekensheet_2!$K$52:$K$59)+SUM(Rekensheet_2!$K$48:$K$50)</f>
        <v>0</v>
      </c>
      <c r="T60" s="139">
        <f>SUM(Rekensheet_3!$K$52:$K$59)+SUM(Rekensheet_3!$K$48:$K$50)</f>
        <v>0</v>
      </c>
      <c r="U60" s="140">
        <f>SUM(Rekensheet_4!$K$52:$K$59)+SUM(Rekensheet_4!$K$48:$K$50)</f>
        <v>0</v>
      </c>
    </row>
    <row r="61" spans="15:21" ht="15" customHeight="1" x14ac:dyDescent="0.2">
      <c r="O61" s="70" t="s">
        <v>171</v>
      </c>
      <c r="Q61" s="136">
        <f>IFERROR(Rekensheet_0!$J$76,0)</f>
        <v>0</v>
      </c>
      <c r="R61" s="137">
        <f>IFERROR(Rekensheet_1!$J$76,0)</f>
        <v>0</v>
      </c>
      <c r="S61" s="138">
        <f>IFERROR(Rekensheet_2!$J$76,0)</f>
        <v>0</v>
      </c>
      <c r="T61" s="139">
        <f>IFERROR(Rekensheet_3!$J$76,0)</f>
        <v>0</v>
      </c>
      <c r="U61" s="140">
        <f>IFERROR(Rekensheet_4!$J$76,0)</f>
        <v>0</v>
      </c>
    </row>
    <row r="62" spans="15:21" ht="15" customHeight="1" x14ac:dyDescent="0.2">
      <c r="O62" s="70" t="s">
        <v>172</v>
      </c>
      <c r="Q62" s="164">
        <f>Rekensheet_0!$J$83</f>
        <v>0</v>
      </c>
      <c r="R62" s="165">
        <f>Rekensheet_1!$J$83</f>
        <v>0</v>
      </c>
      <c r="S62" s="166">
        <f>Rekensheet_2!$J$83</f>
        <v>0</v>
      </c>
      <c r="T62" s="167">
        <f>Rekensheet_3!$J$83</f>
        <v>0</v>
      </c>
      <c r="U62" s="168">
        <f>Rekensheet_4!$J$83</f>
        <v>0</v>
      </c>
    </row>
    <row r="63" spans="15:21" ht="15" customHeight="1" x14ac:dyDescent="0.2">
      <c r="O63" s="71" t="s">
        <v>33</v>
      </c>
      <c r="P63" s="62"/>
      <c r="Q63" s="147">
        <f>SUM(Q56:Q62)</f>
        <v>0</v>
      </c>
      <c r="R63" s="148">
        <f t="shared" ref="R63:U63" si="1">SUM(R56:R62)</f>
        <v>0</v>
      </c>
      <c r="S63" s="149">
        <f t="shared" si="1"/>
        <v>0</v>
      </c>
      <c r="T63" s="150">
        <f t="shared" si="1"/>
        <v>0</v>
      </c>
      <c r="U63" s="151">
        <f t="shared" si="1"/>
        <v>0</v>
      </c>
    </row>
    <row r="64" spans="15:21" ht="15" customHeight="1" x14ac:dyDescent="0.2"/>
    <row r="65" ht="15" customHeight="1" x14ac:dyDescent="0.2"/>
    <row r="66" ht="15" customHeight="1" x14ac:dyDescent="0.2"/>
    <row r="67" ht="15" customHeight="1" x14ac:dyDescent="0.2"/>
    <row r="68" ht="15" customHeight="1" x14ac:dyDescent="0.2"/>
  </sheetData>
  <mergeCells count="4">
    <mergeCell ref="O2:U2"/>
    <mergeCell ref="O15:U15"/>
    <mergeCell ref="O40:U40"/>
    <mergeCell ref="O54:U54"/>
  </mergeCells>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4:Q61"/>
  <sheetViews>
    <sheetView workbookViewId="0">
      <selection activeCell="A6" sqref="A6"/>
    </sheetView>
  </sheetViews>
  <sheetFormatPr defaultColWidth="8.7109375" defaultRowHeight="12.75" x14ac:dyDescent="0.2"/>
  <cols>
    <col min="2" max="2" width="29.42578125" customWidth="1"/>
    <col min="3" max="8" width="16.28515625" customWidth="1"/>
    <col min="11" max="11" width="30.28515625" customWidth="1"/>
    <col min="12" max="17" width="15.42578125" customWidth="1"/>
  </cols>
  <sheetData>
    <row r="4" spans="2:17" ht="20.25" x14ac:dyDescent="0.2">
      <c r="B4" s="276" t="s">
        <v>177</v>
      </c>
      <c r="C4" s="276"/>
      <c r="D4" s="276"/>
      <c r="E4" s="276"/>
      <c r="F4" s="276"/>
      <c r="K4" s="276" t="s">
        <v>276</v>
      </c>
      <c r="L4" s="276"/>
      <c r="M4" s="276"/>
      <c r="N4" s="276"/>
      <c r="O4" s="276"/>
    </row>
    <row r="5" spans="2:17" x14ac:dyDescent="0.2">
      <c r="B5" s="70"/>
      <c r="C5" s="49" t="s">
        <v>167</v>
      </c>
      <c r="D5" s="50" t="str">
        <f>Invulsheet!E5</f>
        <v>Schetsontwerp Camper</v>
      </c>
      <c r="E5" s="51" t="str">
        <f>Invulsheet!I5</f>
        <v>1e verbeterslag</v>
      </c>
      <c r="F5" s="52" t="str">
        <f>Invulsheet!M5</f>
        <v>2e verbeterslag</v>
      </c>
      <c r="G5" s="88" t="str">
        <f>Invulsheet!Q5</f>
        <v>3e verbeterslag</v>
      </c>
      <c r="H5" s="49" t="str">
        <f>Invulsheet!U5</f>
        <v>4e verbetering</v>
      </c>
      <c r="K5" s="70"/>
      <c r="L5" s="49" t="str">
        <f t="shared" ref="L5:Q5" si="0">C5</f>
        <v>Meterstand</v>
      </c>
      <c r="M5" s="50" t="str">
        <f t="shared" si="0"/>
        <v>Schetsontwerp Camper</v>
      </c>
      <c r="N5" s="51" t="str">
        <f t="shared" si="0"/>
        <v>1e verbeterslag</v>
      </c>
      <c r="O5" s="52" t="str">
        <f t="shared" si="0"/>
        <v>2e verbeterslag</v>
      </c>
      <c r="P5" s="88" t="str">
        <f t="shared" si="0"/>
        <v>3e verbeterslag</v>
      </c>
      <c r="Q5" s="49" t="str">
        <f t="shared" si="0"/>
        <v>4e verbetering</v>
      </c>
    </row>
    <row r="6" spans="2:17" x14ac:dyDescent="0.2">
      <c r="B6" s="71" t="s">
        <v>50</v>
      </c>
      <c r="C6" s="66"/>
      <c r="D6" s="67">
        <f>IFERROR(Rekensheet_0!J209, 0)</f>
        <v>0</v>
      </c>
      <c r="E6" s="68">
        <f>IFERROR(Rekensheet_1!J209,0)</f>
        <v>0</v>
      </c>
      <c r="F6" s="69">
        <f>IFERROR(Rekensheet_2!J209,0)</f>
        <v>0</v>
      </c>
      <c r="G6" s="89">
        <f>IFERROR(Rekensheet_3!J209,0)</f>
        <v>0</v>
      </c>
      <c r="H6" s="93">
        <f>IFERROR(Rekensheet_4!J209,0)</f>
        <v>0</v>
      </c>
      <c r="K6" s="71" t="s">
        <v>50</v>
      </c>
      <c r="L6" s="66"/>
      <c r="M6" s="131">
        <f>IFERROR(D6/3.6/Rekensheet_0!$F$15,0)</f>
        <v>0</v>
      </c>
      <c r="N6" s="132">
        <f>IFERROR(E6/3.6/Rekensheet_0!$F$15,0)</f>
        <v>0</v>
      </c>
      <c r="O6" s="133">
        <f>IFERROR(F6/3.6/Rekensheet_0!$F$15,0)</f>
        <v>0</v>
      </c>
      <c r="P6" s="134">
        <f>IFERROR(G6/3.6/Rekensheet_0!$F$15,0)</f>
        <v>0</v>
      </c>
      <c r="Q6" s="135">
        <f>IFERROR(H6/3.6/Rekensheet_0!$F$15,0)</f>
        <v>0</v>
      </c>
    </row>
    <row r="7" spans="2:17" x14ac:dyDescent="0.2">
      <c r="B7" s="70" t="s">
        <v>166</v>
      </c>
      <c r="C7" s="53"/>
      <c r="D7" s="54">
        <f>IFERROR((Rekensheet_0!I126+Rekensheet_0!I133)*1000, 0)</f>
        <v>0</v>
      </c>
      <c r="E7" s="55">
        <f>IFERROR((Rekensheet_1!I126+Rekensheet_1!I133)*1000,0)</f>
        <v>0</v>
      </c>
      <c r="F7" s="56">
        <f>IFERROR((Rekensheet_2!I126+Rekensheet_2!I133)*1000,0)</f>
        <v>0</v>
      </c>
      <c r="G7" s="90">
        <f>IFERROR((Rekensheet_3!I126+Rekensheet_3!I133)*1000,0)</f>
        <v>0</v>
      </c>
      <c r="H7" s="61">
        <f>IFERROR((Rekensheet_4!I126+Rekensheet_4!I133)*1000,0)</f>
        <v>0</v>
      </c>
      <c r="K7" s="70" t="s">
        <v>166</v>
      </c>
      <c r="L7" s="53"/>
      <c r="M7" s="131">
        <f>IFERROR(D7/3.6/Rekensheet_0!$F$15,0)</f>
        <v>0</v>
      </c>
      <c r="N7" s="137">
        <f>IFERROR(E7/3.6/Rekensheet_0!$F$15,0)</f>
        <v>0</v>
      </c>
      <c r="O7" s="138">
        <f>IFERROR(F7/3.6/Rekensheet_0!$F$15,0)</f>
        <v>0</v>
      </c>
      <c r="P7" s="139">
        <f>IFERROR(G7/3.6/Rekensheet_0!$F$15,0)</f>
        <v>0</v>
      </c>
      <c r="Q7" s="140">
        <f>IFERROR(H7/3.6/Rekensheet_0!$F$15,0)</f>
        <v>0</v>
      </c>
    </row>
    <row r="8" spans="2:17" x14ac:dyDescent="0.2">
      <c r="B8" s="70" t="s">
        <v>172</v>
      </c>
      <c r="C8" s="53"/>
      <c r="D8" s="54">
        <f>IFERROR(Rekensheet_0!J88*3.6, 0)</f>
        <v>0</v>
      </c>
      <c r="E8" s="55">
        <f>IFERROR(Rekensheet_1!J88*3.6, 0)</f>
        <v>0</v>
      </c>
      <c r="F8" s="56">
        <f>IFERROR(Rekensheet_2!J88*3.6,0)</f>
        <v>0</v>
      </c>
      <c r="G8" s="90">
        <f>IFERROR(Rekensheet_3!J88*3.6,0)</f>
        <v>0</v>
      </c>
      <c r="H8" s="61">
        <f>IFERROR(Rekensheet_4!J88*3.6,0)</f>
        <v>0</v>
      </c>
      <c r="K8" s="70" t="s">
        <v>172</v>
      </c>
      <c r="L8" s="53"/>
      <c r="M8" s="131">
        <f>IFERROR(D8/3.6/Rekensheet_0!$F$15,0)</f>
        <v>0</v>
      </c>
      <c r="N8" s="137">
        <f>IFERROR(E8/3.6/Rekensheet_0!$F$15,0)</f>
        <v>0</v>
      </c>
      <c r="O8" s="138">
        <f>IFERROR(F8/3.6/Rekensheet_0!$F$15,0)</f>
        <v>0</v>
      </c>
      <c r="P8" s="139">
        <f>IFERROR(G8/3.6/Rekensheet_0!$F$15,0)</f>
        <v>0</v>
      </c>
      <c r="Q8" s="140">
        <f>IFERROR(H8/3.6/Rekensheet_0!$F$15,0)</f>
        <v>0</v>
      </c>
    </row>
    <row r="9" spans="2:17" x14ac:dyDescent="0.2">
      <c r="B9" s="70" t="s">
        <v>330</v>
      </c>
      <c r="C9" s="53"/>
      <c r="D9" s="54">
        <f>IFERROR((Rekensheet_0!I142+Rekensheet_0!I150)*3.6,0)</f>
        <v>0</v>
      </c>
      <c r="E9" s="55">
        <f>IFERROR((Rekensheet_1!I142+Rekensheet_1!I150)*3.6,0)</f>
        <v>0</v>
      </c>
      <c r="F9" s="56">
        <f>IFERROR((Rekensheet_2!I142+Rekensheet_2!I150)*3.6,0)</f>
        <v>0</v>
      </c>
      <c r="G9" s="90">
        <f>IFERROR((Rekensheet_3!I142+Rekensheet_3!I150)*3.6,0)</f>
        <v>0</v>
      </c>
      <c r="H9" s="61">
        <f>IFERROR((Rekensheet_4!I142+Rekensheet_4!I150)*3.6,0)</f>
        <v>0</v>
      </c>
      <c r="K9" s="70" t="s">
        <v>330</v>
      </c>
      <c r="L9" s="53"/>
      <c r="M9" s="131">
        <f>IFERROR(D9/3.6/Rekensheet_0!$F$15,0)</f>
        <v>0</v>
      </c>
      <c r="N9" s="137">
        <f>IFERROR(E9/3.6/Rekensheet_0!$F$15,0)</f>
        <v>0</v>
      </c>
      <c r="O9" s="138">
        <f>IFERROR(F9/3.6/Rekensheet_0!$F$15,0)</f>
        <v>0</v>
      </c>
      <c r="P9" s="139">
        <f>IFERROR(G9/3.6/Rekensheet_0!$F$15,0)</f>
        <v>0</v>
      </c>
      <c r="Q9" s="140">
        <f>IFERROR(H9/3.6/Rekensheet_0!$F$15,0)</f>
        <v>0</v>
      </c>
    </row>
    <row r="10" spans="2:17" x14ac:dyDescent="0.2">
      <c r="B10" s="70" t="s">
        <v>196</v>
      </c>
      <c r="C10" s="57"/>
      <c r="D10" s="58">
        <f>IFERROR(IF(Rekensheet_0!F170="GAS",Rekensheet_0!J172*35.17,Rekensheet_0!K172*3.6), 0)</f>
        <v>0</v>
      </c>
      <c r="E10" s="59">
        <f>IFERROR(IF(Rekensheet_1!F170="GAS",Rekensheet_1!J172*35.17,Rekensheet_1!K172*3.6),0)</f>
        <v>0</v>
      </c>
      <c r="F10" s="60">
        <f>IFERROR(IF(Rekensheet_2!F170="GAS",Rekensheet_2!J172*35.17,Rekensheet_2!K172*3.6),0)</f>
        <v>0</v>
      </c>
      <c r="G10" s="91">
        <f>IFERROR(IF(Rekensheet_3!F170="GAS",Rekensheet_3!J172*35.17,Rekensheet_3!K172*3.6),0)</f>
        <v>0</v>
      </c>
      <c r="H10" s="94">
        <f>IFERROR(IF(Rekensheet_4!F170="GAS",Rekensheet_4!J172*35.17,Rekensheet_4!K172*3.6),0)</f>
        <v>0</v>
      </c>
      <c r="K10" s="70" t="s">
        <v>196</v>
      </c>
      <c r="L10" s="57"/>
      <c r="M10" s="131">
        <f>IFERROR(D10/3.6/Rekensheet_0!$F$15,0)</f>
        <v>0</v>
      </c>
      <c r="N10" s="142">
        <f>IFERROR(E10/3.6/Rekensheet_0!$F$15,0)</f>
        <v>0</v>
      </c>
      <c r="O10" s="143">
        <f>IFERROR(F10/3.6/Rekensheet_0!$F$15,0)</f>
        <v>0</v>
      </c>
      <c r="P10" s="144">
        <f>IFERROR(G10/3.6/Rekensheet_0!$F$15,0)</f>
        <v>0</v>
      </c>
      <c r="Q10" s="145">
        <f>IFERROR(H10/3.6/Rekensheet_0!$F$15,0)</f>
        <v>0</v>
      </c>
    </row>
    <row r="11" spans="2:17" x14ac:dyDescent="0.2">
      <c r="B11" s="70" t="s">
        <v>168</v>
      </c>
      <c r="C11" s="57"/>
      <c r="D11" s="58">
        <f>IFERROR(Rekensheet_0!J187*3.6, 0)</f>
        <v>0</v>
      </c>
      <c r="E11" s="59">
        <f>IFERROR(Rekensheet_1!J187*3.6,0)</f>
        <v>0</v>
      </c>
      <c r="F11" s="60">
        <f>IFERROR(Rekensheet_2!J187*3.6,0)</f>
        <v>0</v>
      </c>
      <c r="G11" s="91">
        <f>Rekensheet_3!J187*3.6</f>
        <v>0</v>
      </c>
      <c r="H11" s="94">
        <f>IFERROR(Rekensheet_4!J187*3.6,0)</f>
        <v>0</v>
      </c>
      <c r="K11" s="70" t="s">
        <v>168</v>
      </c>
      <c r="L11" s="57"/>
      <c r="M11" s="131">
        <f>IFERROR(D11/3.6/Rekensheet_0!$F$15,0)</f>
        <v>0</v>
      </c>
      <c r="N11" s="142">
        <f>IFERROR(E11/3.6/Rekensheet_0!$F$15,0)</f>
        <v>0</v>
      </c>
      <c r="O11" s="143">
        <f>IFERROR(F11/3.6/Rekensheet_0!$F$15,0)</f>
        <v>0</v>
      </c>
      <c r="P11" s="144">
        <f>IFERROR(G11/3.6/Rekensheet_0!$F$15,0)</f>
        <v>0</v>
      </c>
      <c r="Q11" s="145">
        <f>IFERROR(H11/3.6/Rekensheet_0!$F$15,0)</f>
        <v>0</v>
      </c>
    </row>
    <row r="12" spans="2:17" x14ac:dyDescent="0.2">
      <c r="B12" s="70" t="s">
        <v>277</v>
      </c>
      <c r="C12" s="57"/>
      <c r="D12" s="58">
        <f>IFERROR(-1*Rekensheet_0!J219*3.6, 0)</f>
        <v>-4495.135135135135</v>
      </c>
      <c r="E12" s="59">
        <f>IFERROR(-1*Rekensheet_1!J219*3.6,0)</f>
        <v>-4495.135135135135</v>
      </c>
      <c r="F12" s="60">
        <f>IFERROR(-1*Rekensheet_2!J219*3.6,0)</f>
        <v>-4495.135135135135</v>
      </c>
      <c r="G12" s="91">
        <f>IFERROR(-1*Rekensheet_3!J219*3.6,0)</f>
        <v>-4495.135135135135</v>
      </c>
      <c r="H12" s="94">
        <f>IFERROR(-1*Rekensheet_4!J219*3.6,0)</f>
        <v>-4495.135135135135</v>
      </c>
      <c r="K12" s="70" t="s">
        <v>277</v>
      </c>
      <c r="L12" s="57"/>
      <c r="M12" s="131">
        <f>IFERROR(D12/3.6/Rekensheet_0!$F$15,0)</f>
        <v>0</v>
      </c>
      <c r="N12" s="142">
        <f>IFERROR(E12/3.6/Rekensheet_0!$F$15,0)</f>
        <v>0</v>
      </c>
      <c r="O12" s="143">
        <f>IFERROR(F12/3.6/Rekensheet_0!$F$15,0)</f>
        <v>0</v>
      </c>
      <c r="P12" s="144">
        <f>IFERROR(G12/3.6/Rekensheet_0!$F$15,0)</f>
        <v>0</v>
      </c>
      <c r="Q12" s="145">
        <f>IFERROR(H12/3.6/Rekensheet_0!$F$15,0)</f>
        <v>0</v>
      </c>
    </row>
    <row r="13" spans="2:17" x14ac:dyDescent="0.2">
      <c r="B13" s="70" t="s">
        <v>167</v>
      </c>
      <c r="C13" s="61">
        <f>Rekensheet_0!F10*35.17+Rekensheet_0!F11*3.6+Rekensheet_0!F12*16.2+Rekensheet_0!F13*1000</f>
        <v>0</v>
      </c>
      <c r="D13" s="58"/>
      <c r="E13" s="59"/>
      <c r="F13" s="60"/>
      <c r="G13" s="60"/>
      <c r="H13" s="94"/>
      <c r="K13" s="70" t="s">
        <v>167</v>
      </c>
      <c r="L13" s="61" t="e">
        <f>C13/3.6/Rekensheet_0!$F$15</f>
        <v>#DIV/0!</v>
      </c>
      <c r="M13" s="58"/>
      <c r="N13" s="59"/>
      <c r="O13" s="60"/>
      <c r="P13" s="60"/>
      <c r="Q13" s="94"/>
    </row>
    <row r="14" spans="2:17" x14ac:dyDescent="0.2">
      <c r="B14" s="71" t="s">
        <v>33</v>
      </c>
      <c r="C14" s="62">
        <f t="shared" ref="C14" si="1">SUM(C6:C13)</f>
        <v>0</v>
      </c>
      <c r="D14" s="63">
        <f>SUM(D6:D13)</f>
        <v>-4495.135135135135</v>
      </c>
      <c r="E14" s="64">
        <f t="shared" ref="E14:Q14" si="2">SUM(E6:E13)</f>
        <v>-4495.135135135135</v>
      </c>
      <c r="F14" s="65">
        <f t="shared" si="2"/>
        <v>-4495.135135135135</v>
      </c>
      <c r="G14" s="92">
        <f t="shared" si="2"/>
        <v>-4495.135135135135</v>
      </c>
      <c r="H14" s="130">
        <f t="shared" si="2"/>
        <v>-4495.135135135135</v>
      </c>
      <c r="K14" s="71" t="str">
        <f>B14</f>
        <v>TOTAAL</v>
      </c>
      <c r="L14" s="146" t="e">
        <f t="shared" si="2"/>
        <v>#DIV/0!</v>
      </c>
      <c r="M14" s="147">
        <f t="shared" si="2"/>
        <v>0</v>
      </c>
      <c r="N14" s="148">
        <f t="shared" si="2"/>
        <v>0</v>
      </c>
      <c r="O14" s="149">
        <f t="shared" si="2"/>
        <v>0</v>
      </c>
      <c r="P14" s="150">
        <f t="shared" si="2"/>
        <v>0</v>
      </c>
      <c r="Q14" s="151">
        <f t="shared" si="2"/>
        <v>0</v>
      </c>
    </row>
    <row r="20" spans="2:8" ht="20.25" x14ac:dyDescent="0.2">
      <c r="B20" s="276" t="s">
        <v>179</v>
      </c>
      <c r="C20" s="276"/>
      <c r="D20" s="276"/>
      <c r="E20" s="276"/>
      <c r="F20" s="276"/>
    </row>
    <row r="21" spans="2:8" x14ac:dyDescent="0.2">
      <c r="B21" s="70"/>
      <c r="C21" s="49" t="str">
        <f t="shared" ref="C21:H21" si="3">C5</f>
        <v>Meterstand</v>
      </c>
      <c r="D21" s="50" t="str">
        <f t="shared" si="3"/>
        <v>Schetsontwerp Camper</v>
      </c>
      <c r="E21" s="51" t="str">
        <f t="shared" si="3"/>
        <v>1e verbeterslag</v>
      </c>
      <c r="F21" s="52" t="str">
        <f t="shared" si="3"/>
        <v>2e verbeterslag</v>
      </c>
      <c r="G21" s="88" t="str">
        <f t="shared" si="3"/>
        <v>3e verbeterslag</v>
      </c>
      <c r="H21" s="49" t="str">
        <f t="shared" si="3"/>
        <v>4e verbetering</v>
      </c>
    </row>
    <row r="22" spans="2:8" x14ac:dyDescent="0.2">
      <c r="B22" s="71" t="s">
        <v>180</v>
      </c>
      <c r="C22" s="153">
        <f>Rekensheet_0!F11</f>
        <v>0</v>
      </c>
      <c r="D22" s="63">
        <f>SUM(D23:D29)</f>
        <v>-1248.6486486486485</v>
      </c>
      <c r="E22" s="64">
        <f t="shared" ref="E22:H22" si="4">SUM(E23:E29)</f>
        <v>-1248.6486486486485</v>
      </c>
      <c r="F22" s="65">
        <f t="shared" si="4"/>
        <v>-1248.6486486486485</v>
      </c>
      <c r="G22" s="92">
        <f t="shared" si="4"/>
        <v>-1248.6486486486485</v>
      </c>
      <c r="H22" s="130">
        <f t="shared" si="4"/>
        <v>-1248.6486486486485</v>
      </c>
    </row>
    <row r="23" spans="2:8" x14ac:dyDescent="0.2">
      <c r="B23" s="152" t="s">
        <v>50</v>
      </c>
      <c r="C23" s="57"/>
      <c r="D23" s="58">
        <f>(IF(Rekensheet_0!F140=Data!D4,Rekensheet_0!I144,0)+IF(Rekensheet_0!F148=Data!D4,Rekensheet_0!I151,0))*1000/3.6</f>
        <v>0</v>
      </c>
      <c r="E23" s="59">
        <f>(IF(Rekensheet_1!F140=Data!D4,Rekensheet_1!I144,0)+IF(Rekensheet_1!F148=Data!D4,Rekensheet_1!I151,0))*1000/3.6</f>
        <v>0</v>
      </c>
      <c r="F23" s="60">
        <f>(IF(Rekensheet_2!F140=Data!D4,Rekensheet_2!I144,0)+IF(Rekensheet_2!F148=Data!D4,Rekensheet_2!I151,0))*1000/3.6</f>
        <v>0</v>
      </c>
      <c r="G23" s="91">
        <f>(IF(Rekensheet_3!F140=Data!D4,Rekensheet_3!I144,0)+IF(Rekensheet_3!F148=Data!D4,Rekensheet_3!I151,0))*1000/3.6</f>
        <v>0</v>
      </c>
      <c r="H23" s="94">
        <f>(IF(Rekensheet_4!F140=Data!D4,Rekensheet_4!I144,0)+IF(Rekensheet_4!F148=Data!D4,Rekensheet_4!I151,0))*1000/3.6</f>
        <v>0</v>
      </c>
    </row>
    <row r="24" spans="2:8" x14ac:dyDescent="0.2">
      <c r="B24" s="152" t="s">
        <v>166</v>
      </c>
      <c r="C24" s="57"/>
      <c r="D24" s="58">
        <f>(IF(Rekensheet_0!F122=Data!D4,Rekensheet_0!I126,0)+IF(Rekensheet_0!F130=Data!D4,Rekensheet_0!I133,0))*1000/3.6</f>
        <v>0</v>
      </c>
      <c r="E24" s="59">
        <f>(IF(Rekensheet_1!F122=Data!D4,Rekensheet_1!I126,0)+IF(Rekensheet_1!F130=Data!D4,Rekensheet_1!I133,0))*1000/3.6</f>
        <v>0</v>
      </c>
      <c r="F24" s="60">
        <f>(IF(Rekensheet_2!F122=Data!D4,Rekensheet_2!I126,0)+IF(Rekensheet_2!F130=Data!D4,Rekensheet_2!I133,0))*1000/3.6</f>
        <v>0</v>
      </c>
      <c r="G24" s="91">
        <f>(IF(Rekensheet_3!F122=Data!D4,Rekensheet_3!I126,0)+IF(Rekensheet_3!F130=Data!D4,Rekensheet_3!I133,0))*1000/3.6</f>
        <v>0</v>
      </c>
      <c r="H24" s="94">
        <f>(IF(Rekensheet_4!F122=Data!D4,Rekensheet_4!I126,0)+IF(Rekensheet_4!F130=Data!D4,Rekensheet_4!I133,0))*1000/3.6</f>
        <v>0</v>
      </c>
    </row>
    <row r="25" spans="2:8" x14ac:dyDescent="0.2">
      <c r="B25" s="152" t="s">
        <v>172</v>
      </c>
      <c r="C25" s="57"/>
      <c r="D25" s="58">
        <f>D8/3.6</f>
        <v>0</v>
      </c>
      <c r="E25" s="55">
        <f t="shared" ref="E25:H25" si="5">E8/3.6</f>
        <v>0</v>
      </c>
      <c r="F25" s="60">
        <f t="shared" si="5"/>
        <v>0</v>
      </c>
      <c r="G25" s="91">
        <f>G8/3.6</f>
        <v>0</v>
      </c>
      <c r="H25" s="94">
        <f t="shared" si="5"/>
        <v>0</v>
      </c>
    </row>
    <row r="26" spans="2:8" x14ac:dyDescent="0.2">
      <c r="B26" s="152" t="s">
        <v>330</v>
      </c>
      <c r="C26" s="57"/>
      <c r="D26" s="58">
        <f t="shared" ref="D26:H29" si="6">D9/3.6</f>
        <v>0</v>
      </c>
      <c r="E26" s="55">
        <f t="shared" si="6"/>
        <v>0</v>
      </c>
      <c r="F26" s="60">
        <f t="shared" si="6"/>
        <v>0</v>
      </c>
      <c r="G26" s="91">
        <f t="shared" si="6"/>
        <v>0</v>
      </c>
      <c r="H26" s="94">
        <f t="shared" si="6"/>
        <v>0</v>
      </c>
    </row>
    <row r="27" spans="2:8" x14ac:dyDescent="0.2">
      <c r="B27" s="152" t="s">
        <v>196</v>
      </c>
      <c r="C27" s="57"/>
      <c r="D27" s="58">
        <f>IFERROR(Rekensheet_0!K172,0)</f>
        <v>0</v>
      </c>
      <c r="E27" s="55">
        <f>IFERROR(Rekensheet_1!K172,0)</f>
        <v>0</v>
      </c>
      <c r="F27" s="60">
        <f>IFERROR(Rekensheet_2!K172,0)</f>
        <v>0</v>
      </c>
      <c r="G27" s="91">
        <f>IFERROR(Rekensheet_3!K172,0)</f>
        <v>0</v>
      </c>
      <c r="H27" s="94">
        <f>IFERROR(Rekensheet_4!K172,0)</f>
        <v>0</v>
      </c>
    </row>
    <row r="28" spans="2:8" x14ac:dyDescent="0.2">
      <c r="B28" s="152" t="s">
        <v>168</v>
      </c>
      <c r="C28" s="57"/>
      <c r="D28" s="58">
        <f t="shared" si="6"/>
        <v>0</v>
      </c>
      <c r="E28" s="55">
        <f t="shared" si="6"/>
        <v>0</v>
      </c>
      <c r="F28" s="60">
        <f t="shared" si="6"/>
        <v>0</v>
      </c>
      <c r="G28" s="91">
        <f t="shared" si="6"/>
        <v>0</v>
      </c>
      <c r="H28" s="94">
        <f t="shared" si="6"/>
        <v>0</v>
      </c>
    </row>
    <row r="29" spans="2:8" x14ac:dyDescent="0.2">
      <c r="B29" s="152" t="s">
        <v>277</v>
      </c>
      <c r="C29" s="57"/>
      <c r="D29" s="58">
        <f t="shared" si="6"/>
        <v>-1248.6486486486485</v>
      </c>
      <c r="E29" s="55">
        <f t="shared" si="6"/>
        <v>-1248.6486486486485</v>
      </c>
      <c r="F29" s="60">
        <f t="shared" si="6"/>
        <v>-1248.6486486486485</v>
      </c>
      <c r="G29" s="91">
        <f t="shared" si="6"/>
        <v>-1248.6486486486485</v>
      </c>
      <c r="H29" s="94">
        <f t="shared" si="6"/>
        <v>-1248.6486486486485</v>
      </c>
    </row>
    <row r="30" spans="2:8" x14ac:dyDescent="0.2">
      <c r="B30" s="70"/>
      <c r="C30" s="57"/>
      <c r="D30" s="58"/>
      <c r="E30" s="59"/>
      <c r="F30" s="60"/>
      <c r="G30" s="91"/>
      <c r="H30" s="94"/>
    </row>
    <row r="31" spans="2:8" x14ac:dyDescent="0.2">
      <c r="B31" s="70" t="s">
        <v>181</v>
      </c>
      <c r="C31" s="49">
        <f>Rekensheet_0!F10</f>
        <v>0</v>
      </c>
      <c r="D31" s="154">
        <f>SUM(D32:D34)</f>
        <v>0</v>
      </c>
      <c r="E31" s="155">
        <f t="shared" ref="E31:H31" si="7">SUM(E32:E34)</f>
        <v>0</v>
      </c>
      <c r="F31" s="26">
        <f t="shared" si="7"/>
        <v>0</v>
      </c>
      <c r="G31" s="156">
        <f t="shared" si="7"/>
        <v>0</v>
      </c>
      <c r="H31" s="97">
        <f t="shared" si="7"/>
        <v>0</v>
      </c>
    </row>
    <row r="32" spans="2:8" x14ac:dyDescent="0.2">
      <c r="B32" s="152" t="s">
        <v>50</v>
      </c>
      <c r="C32" s="53"/>
      <c r="D32" s="54">
        <f>(IF(Rekensheet_0!F140=Data!D3,Rekensheet_0!I144,0)+IF(Rekensheet_0!F148=Data!D3,Rekensheet_0!I151,0))*1000/35.17</f>
        <v>0</v>
      </c>
      <c r="E32" s="55">
        <f>(IF(Rekensheet_1!F140=Data!D3,Rekensheet_1!I144,0)+IF(Rekensheet_1!F148=Data!D3,Rekensheet_1!I151,0))*1000/35.17</f>
        <v>0</v>
      </c>
      <c r="F32" s="60">
        <f>(IF(Rekensheet_2!F140=Data!D3,Rekensheet_2!I144,0)+IF(Rekensheet_2!F148=Data!D3,Rekensheet_2!I151,0))*1000/35.17</f>
        <v>0</v>
      </c>
      <c r="G32" s="91">
        <f>(IF(Rekensheet_3!F140=Data!D3,Rekensheet_3!I144,0)+IF(Rekensheet_3!F148=Data!D3,Rekensheet_3!I151,0))*1000/35.17</f>
        <v>0</v>
      </c>
      <c r="H32" s="94">
        <f>(IF(Rekensheet_4!F140=Data!D3,Rekensheet_4!I144,0)+IF(Rekensheet_4!F148=Data!D3,Rekensheet_4!I151,0))*1000/35.17</f>
        <v>0</v>
      </c>
    </row>
    <row r="33" spans="2:17" x14ac:dyDescent="0.2">
      <c r="B33" s="152" t="s">
        <v>166</v>
      </c>
      <c r="C33" s="53"/>
      <c r="D33" s="54">
        <f>(IF(Rekensheet_0!F122=Data!D3,Rekensheet_0!I126,0)+IF(Rekensheet_0!F130=Data!D3,Rekensheet_0!I133,0))*1000/35.17</f>
        <v>0</v>
      </c>
      <c r="E33" s="55">
        <f>(IF(Rekensheet_1!F122=Data!D3,Rekensheet_1!I126,0)+IF(Rekensheet_1!F130=Data!D3,Rekensheet_1!I133,0))*1000/35.17</f>
        <v>0</v>
      </c>
      <c r="F33" s="60">
        <f>(IF(Rekensheet_2!F122=Data!D3,Rekensheet_2!I126,0)+IF(Rekensheet_2!F130=Data!D3,Rekensheet_2!I133,0))*1000/35.17</f>
        <v>0</v>
      </c>
      <c r="G33" s="91">
        <f>(IF(Rekensheet_3!F122=Data!D3,Rekensheet_3!I126,0)+IF(Rekensheet_3!F130=Data!D3,Rekensheet_3!I133,0))*1000/35.17</f>
        <v>0</v>
      </c>
      <c r="H33" s="94">
        <f>(IF(Rekensheet_4!F122=Data!D3,Rekensheet_4!I126,0)+IF(Rekensheet_4!F130=Data!D3,Rekensheet_4!I133,0))*1000/35.17</f>
        <v>0</v>
      </c>
    </row>
    <row r="34" spans="2:17" x14ac:dyDescent="0.2">
      <c r="B34" s="152" t="s">
        <v>196</v>
      </c>
      <c r="C34" s="53"/>
      <c r="D34" s="54">
        <f>Rekensheet_0!J172</f>
        <v>0</v>
      </c>
      <c r="E34" s="55">
        <f>Rekensheet_1!J172</f>
        <v>0</v>
      </c>
      <c r="F34" s="60">
        <f>Rekensheet_2!J172</f>
        <v>0</v>
      </c>
      <c r="G34" s="91">
        <f>Rekensheet_3!J172</f>
        <v>0</v>
      </c>
      <c r="H34" s="94">
        <f>Rekensheet_4!J172</f>
        <v>0</v>
      </c>
    </row>
    <row r="35" spans="2:17" x14ac:dyDescent="0.2">
      <c r="B35" s="70"/>
      <c r="C35" s="53"/>
      <c r="D35" s="54"/>
      <c r="E35" s="55"/>
      <c r="F35" s="60"/>
      <c r="G35" s="91"/>
      <c r="H35" s="94"/>
    </row>
    <row r="36" spans="2:17" x14ac:dyDescent="0.2">
      <c r="B36" s="70" t="s">
        <v>182</v>
      </c>
      <c r="C36" s="101">
        <f>Rekensheet_0!F12</f>
        <v>0</v>
      </c>
      <c r="D36" s="24">
        <f>SUM(D37:D38)</f>
        <v>0</v>
      </c>
      <c r="E36" s="155">
        <f t="shared" ref="E36:H36" si="8">SUM(E37:E38)</f>
        <v>0</v>
      </c>
      <c r="F36" s="26">
        <f t="shared" si="8"/>
        <v>0</v>
      </c>
      <c r="G36" s="156">
        <f>SUM(G37:G38)</f>
        <v>0</v>
      </c>
      <c r="H36" s="97">
        <f t="shared" si="8"/>
        <v>0</v>
      </c>
    </row>
    <row r="37" spans="2:17" x14ac:dyDescent="0.2">
      <c r="B37" s="152" t="s">
        <v>50</v>
      </c>
      <c r="C37" s="57"/>
      <c r="D37" s="58">
        <f>(IF(Rekensheet_0!F140=Data!D6,Rekensheet_0!I144,0)+IF(Rekensheet_0!F148=Data!D6,Rekensheet_0!I151,0))*1000/16.2</f>
        <v>0</v>
      </c>
      <c r="E37" s="55">
        <f>(IF(Rekensheet_1!F140=Data!D6,Rekensheet_1!I144,0)+IF(Rekensheet_1!F148=Data!D6,Rekensheet_1!I151,0))*1000/16.2</f>
        <v>0</v>
      </c>
      <c r="F37" s="60">
        <f>(IF(Rekensheet_2!F140=Data!D6,Rekensheet_2!I144,0)+IF(Rekensheet_2!F148=Data!D6,Rekensheet_2!I151,0))*1000/16.2</f>
        <v>0</v>
      </c>
      <c r="G37" s="91">
        <f>(IF(Rekensheet_3!F140=Data!D6,Rekensheet_3!I144,0)+IF(Rekensheet_3!F148=Data!D6,Rekensheet_3!I151,0))*1000/16.2</f>
        <v>0</v>
      </c>
      <c r="H37" s="94">
        <f>(IF(Rekensheet_4!F140=Data!D6,Rekensheet_4!I144,0)+IF(Rekensheet_4!F148=Data!D6,Rekensheet_4!I151,0))*1000/16.2</f>
        <v>0</v>
      </c>
    </row>
    <row r="38" spans="2:17" x14ac:dyDescent="0.2">
      <c r="B38" s="152" t="s">
        <v>166</v>
      </c>
      <c r="C38" s="57"/>
      <c r="D38" s="58">
        <f>(IF(Rekensheet_0!F122=Data!D6,Rekensheet_0!I126,0)+IF(Rekensheet_0!F130=Data!D6,Rekensheet_0!I133,0))*1000/16.2</f>
        <v>0</v>
      </c>
      <c r="E38" s="55">
        <f>(IF(Rekensheet_1!F122=Data!D6,Rekensheet_1!I126,0)+IF(Rekensheet_1!F130=Data!D6,Rekensheet_1!I133,0))*1000/16.2</f>
        <v>0</v>
      </c>
      <c r="F38" s="60">
        <f>(IF(Rekensheet_2!F122=Data!D6,Rekensheet_2!I126,0)+IF(Rekensheet_2!F130=Data!D6,Rekensheet_2!I133,0))*1000/16.2</f>
        <v>0</v>
      </c>
      <c r="G38" s="91">
        <f>(IF(Rekensheet_3!F122=Data!D6,Rekensheet_3!I126,0)+IF(Rekensheet_3!F130=Data!D6,Rekensheet_3!I133,0))*1000/16.2</f>
        <v>0</v>
      </c>
      <c r="H38" s="94">
        <f>(IF(Rekensheet_4!F122=Data!D6,Rekensheet_4!I126,0)+IF(Rekensheet_4!F130=Data!D6,Rekensheet_4!I133,0))*1000/16.2</f>
        <v>0</v>
      </c>
    </row>
    <row r="39" spans="2:17" x14ac:dyDescent="0.2">
      <c r="B39" s="70"/>
      <c r="C39" s="57"/>
      <c r="D39" s="58"/>
      <c r="E39" s="55"/>
      <c r="F39" s="60"/>
      <c r="G39" s="91"/>
      <c r="H39" s="94"/>
    </row>
    <row r="40" spans="2:17" x14ac:dyDescent="0.2">
      <c r="B40" s="70" t="s">
        <v>183</v>
      </c>
      <c r="C40" s="157">
        <f>Rekensheet_0!F13</f>
        <v>0</v>
      </c>
      <c r="D40" s="24">
        <f>SUM(D41:D42)</f>
        <v>0</v>
      </c>
      <c r="E40" s="155">
        <f t="shared" ref="E40:H40" si="9">SUM(E41:E42)</f>
        <v>0</v>
      </c>
      <c r="F40" s="26">
        <f t="shared" si="9"/>
        <v>0</v>
      </c>
      <c r="G40" s="156">
        <f t="shared" si="9"/>
        <v>0</v>
      </c>
      <c r="H40" s="97">
        <f t="shared" si="9"/>
        <v>0</v>
      </c>
    </row>
    <row r="41" spans="2:17" x14ac:dyDescent="0.2">
      <c r="B41" s="152" t="s">
        <v>50</v>
      </c>
      <c r="C41" s="57"/>
      <c r="D41" s="58">
        <f>(IF(Rekensheet_0!F140=Data!D5,Rekensheet_0!I144,0)+IF(Rekensheet_0!F148=Data!D5,Rekensheet_0!I151,0))</f>
        <v>0</v>
      </c>
      <c r="E41" s="55">
        <f>(IF(Rekensheet_1!F140=Data!D5,Rekensheet_1!I144,0)+IF(Rekensheet_1!F148=Data!D5,Rekensheet_1!I151,0))</f>
        <v>0</v>
      </c>
      <c r="F41" s="60">
        <f>(IF(Rekensheet_2!F140=Data!D5,Rekensheet_2!I144,0)+IF(Rekensheet_2!F148=Data!D5,Rekensheet_2!I151,0))</f>
        <v>0</v>
      </c>
      <c r="G41" s="91">
        <f>(IF(Rekensheet_3!F140=Data!D5,Rekensheet_3!I144,0)+IF(Rekensheet_3!F148=Data!D5,Rekensheet_3!I151,0))</f>
        <v>0</v>
      </c>
      <c r="H41" s="94">
        <f>(IF(Rekensheet_4!F140=Data!D5,Rekensheet_4!I144,0)+IF(Rekensheet_4!F148=Data!D5,Rekensheet_4!I151,0))</f>
        <v>0</v>
      </c>
    </row>
    <row r="42" spans="2:17" x14ac:dyDescent="0.2">
      <c r="B42" s="152" t="s">
        <v>166</v>
      </c>
      <c r="C42" s="57"/>
      <c r="D42" s="58">
        <f>(IF(Rekensheet_0!F122=Data!D5,Rekensheet_0!I126,0)+IF(Rekensheet_0!F130=Data!D5,Rekensheet_0!I133,0))</f>
        <v>0</v>
      </c>
      <c r="E42" s="55">
        <f>(IF(Rekensheet_1!F122=Data!D5,Rekensheet_1!I126,0)+IF(Rekensheet_1!F130=Data!D5,Rekensheet_1!I133,0))</f>
        <v>0</v>
      </c>
      <c r="F42" s="60">
        <f>(IF(Rekensheet_2!F122=Data!D5,Rekensheet_2!I126,0)+IF(Rekensheet_2!F130=Data!D5,Rekensheet_2!I133,0))</f>
        <v>0</v>
      </c>
      <c r="G42" s="91">
        <f>(IF(Rekensheet_3!F122=Data!D5,Rekensheet_3!I126,0)+IF(Rekensheet_3!F130=Data!D5,Rekensheet_3!I133,0))</f>
        <v>0</v>
      </c>
      <c r="H42" s="94">
        <f>(IF(Rekensheet_4!F122=Data!D5,Rekensheet_4!I126,0)+IF(Rekensheet_4!F130=Data!D5,Rekensheet_4!I133,0))</f>
        <v>0</v>
      </c>
    </row>
    <row r="43" spans="2:17" x14ac:dyDescent="0.2">
      <c r="B43" s="70"/>
      <c r="C43" s="57"/>
      <c r="D43" s="58"/>
      <c r="E43" s="55"/>
      <c r="F43" s="60"/>
      <c r="G43" s="91"/>
      <c r="H43" s="94"/>
    </row>
    <row r="44" spans="2:17" x14ac:dyDescent="0.2">
      <c r="B44" s="71"/>
      <c r="C44" s="62"/>
      <c r="D44" s="63"/>
      <c r="E44" s="64"/>
      <c r="F44" s="65"/>
      <c r="G44" s="65"/>
      <c r="H44" s="65"/>
    </row>
    <row r="47" spans="2:17" ht="20.25" x14ac:dyDescent="0.2">
      <c r="B47" s="276" t="s">
        <v>169</v>
      </c>
      <c r="C47" s="276"/>
      <c r="D47" s="276"/>
      <c r="E47" s="276"/>
      <c r="F47" s="276"/>
      <c r="K47" s="276" t="s">
        <v>184</v>
      </c>
      <c r="L47" s="276"/>
      <c r="M47" s="276"/>
      <c r="N47" s="276"/>
      <c r="O47" s="276"/>
    </row>
    <row r="48" spans="2:17" ht="15" customHeight="1" x14ac:dyDescent="0.2">
      <c r="B48" s="73"/>
      <c r="C48" s="74"/>
      <c r="D48" s="74" t="str">
        <f>D5</f>
        <v>Schetsontwerp Camper</v>
      </c>
      <c r="E48" s="75" t="str">
        <f t="shared" ref="E48:H48" si="10">E5</f>
        <v>1e verbeterslag</v>
      </c>
      <c r="F48" s="76" t="str">
        <f t="shared" si="10"/>
        <v>2e verbeterslag</v>
      </c>
      <c r="G48" s="96" t="str">
        <f t="shared" si="10"/>
        <v>3e verbeterslag</v>
      </c>
      <c r="H48" s="95" t="str">
        <f t="shared" si="10"/>
        <v>4e verbetering</v>
      </c>
      <c r="K48" s="73"/>
      <c r="L48" s="74"/>
      <c r="M48" s="74" t="str">
        <f>D48</f>
        <v>Schetsontwerp Camper</v>
      </c>
      <c r="N48" s="75" t="str">
        <f t="shared" ref="N48:Q48" si="11">E48</f>
        <v>1e verbeterslag</v>
      </c>
      <c r="O48" s="76" t="str">
        <f t="shared" si="11"/>
        <v>2e verbeterslag</v>
      </c>
      <c r="P48" s="96" t="str">
        <f t="shared" si="11"/>
        <v>3e verbeterslag</v>
      </c>
      <c r="Q48" s="95" t="str">
        <f t="shared" si="11"/>
        <v>4e verbetering</v>
      </c>
    </row>
    <row r="49" spans="2:17" ht="15" customHeight="1" x14ac:dyDescent="0.2">
      <c r="B49" s="70" t="s">
        <v>175</v>
      </c>
      <c r="D49" s="54">
        <f>IFERROR(Rekensheet_0!L46,0)</f>
        <v>0</v>
      </c>
      <c r="E49" s="55">
        <f>IFERROR(Rekensheet_1!L46,0)</f>
        <v>0</v>
      </c>
      <c r="F49" s="56">
        <f>IFERROR(Rekensheet_2!L46,0)</f>
        <v>0</v>
      </c>
      <c r="G49" s="90">
        <f>IFERROR(Rekensheet_3!L46,0)</f>
        <v>0</v>
      </c>
      <c r="H49" s="61">
        <f>IFERROR(Rekensheet_4!L46,0)</f>
        <v>0</v>
      </c>
      <c r="K49" s="70" t="s">
        <v>175</v>
      </c>
      <c r="M49" s="136">
        <f>IFERROR(D49/3.6/Rekensheet_0!$F$15,0)</f>
        <v>0</v>
      </c>
      <c r="N49" s="137">
        <f>IFERROR(E49/3.6/Rekensheet_0!$F$15,0)</f>
        <v>0</v>
      </c>
      <c r="O49" s="138">
        <f>IFERROR(F49/3.6/Rekensheet_0!$F$15,0)</f>
        <v>0</v>
      </c>
      <c r="P49" s="139">
        <f>IFERROR(G49/3.6/Rekensheet_0!$F$15,0)</f>
        <v>0</v>
      </c>
      <c r="Q49" s="140">
        <f>IFERROR(H49/3.6/Rekensheet_0!$F$15,0)</f>
        <v>0</v>
      </c>
    </row>
    <row r="50" spans="2:17" ht="15" customHeight="1" x14ac:dyDescent="0.2">
      <c r="B50" s="70" t="s">
        <v>173</v>
      </c>
      <c r="D50" s="54">
        <f>IFERROR(Rekensheet_0!L41,0)</f>
        <v>0</v>
      </c>
      <c r="E50" s="55">
        <f>IFERROR(Rekensheet_1!L41,0)</f>
        <v>0</v>
      </c>
      <c r="F50" s="56">
        <f>IFERROR(Rekensheet_2!L41,0)</f>
        <v>0</v>
      </c>
      <c r="G50" s="90">
        <f>IFERROR(Rekensheet_3!L41, 0)</f>
        <v>0</v>
      </c>
      <c r="H50" s="61">
        <f>IFERROR(Rekensheet_4!L41,0)</f>
        <v>0</v>
      </c>
      <c r="K50" s="70" t="s">
        <v>173</v>
      </c>
      <c r="M50" s="136">
        <f>IFERROR(D50/3.6/Rekensheet_0!$F$15,0)</f>
        <v>0</v>
      </c>
      <c r="N50" s="137">
        <f>IFERROR(E50/3.6/Rekensheet_0!$F$15,0)</f>
        <v>0</v>
      </c>
      <c r="O50" s="138">
        <f>IFERROR(F50/3.6/Rekensheet_0!$F$15,0)</f>
        <v>0</v>
      </c>
      <c r="P50" s="139">
        <f>IFERROR(G50/3.6/Rekensheet_0!$F$15,0)</f>
        <v>0</v>
      </c>
      <c r="Q50" s="140">
        <f>IFERROR(H50/3.6/Rekensheet_0!$F$15,0)</f>
        <v>0</v>
      </c>
    </row>
    <row r="51" spans="2:17" ht="15" customHeight="1" x14ac:dyDescent="0.2">
      <c r="B51" s="70" t="s">
        <v>174</v>
      </c>
      <c r="D51" s="54">
        <f>IFERROR(Rekensheet_0!L36,0)</f>
        <v>0</v>
      </c>
      <c r="E51" s="55">
        <f>IFERROR(Rekensheet_1!L36,0)</f>
        <v>0</v>
      </c>
      <c r="F51" s="56">
        <f>IFERROR(Rekensheet_2!L36,0)</f>
        <v>0</v>
      </c>
      <c r="G51" s="90">
        <f>IFERROR(Rekensheet_3!L36,0)</f>
        <v>0</v>
      </c>
      <c r="H51" s="61">
        <f>IFERROR(Rekensheet_4!L36,0)</f>
        <v>0</v>
      </c>
      <c r="K51" s="70" t="s">
        <v>174</v>
      </c>
      <c r="M51" s="136">
        <f>IFERROR(D51/3.6/Rekensheet_0!$F$15,0)</f>
        <v>0</v>
      </c>
      <c r="N51" s="137">
        <f>IFERROR(E51/3.6/Rekensheet_0!$F$15,0)</f>
        <v>0</v>
      </c>
      <c r="O51" s="138">
        <f>IFERROR(F51/3.6/Rekensheet_0!$F$15,0)</f>
        <v>0</v>
      </c>
      <c r="P51" s="139">
        <f>IFERROR(G51/3.6/Rekensheet_0!$F$15,0)</f>
        <v>0</v>
      </c>
      <c r="Q51" s="140">
        <f>IFERROR(H51/3.6/Rekensheet_0!$F$15,0)</f>
        <v>0</v>
      </c>
    </row>
    <row r="52" spans="2:17" ht="15" customHeight="1" x14ac:dyDescent="0.2">
      <c r="B52" s="70" t="s">
        <v>170</v>
      </c>
      <c r="D52" s="54">
        <f>IFERROR(Rekensheet_0!L65,0)</f>
        <v>0</v>
      </c>
      <c r="E52" s="55">
        <f>IFERROR(Rekensheet_1!L65,0)</f>
        <v>0</v>
      </c>
      <c r="F52" s="56">
        <f>IFERROR(Rekensheet_2!L65,0)</f>
        <v>0</v>
      </c>
      <c r="G52" s="90">
        <f>IFERROR(Rekensheet_3!L65, 0)</f>
        <v>0</v>
      </c>
      <c r="H52" s="61">
        <f>IFERROR(Rekensheet_4!L65,0)</f>
        <v>0</v>
      </c>
      <c r="K52" s="70" t="s">
        <v>170</v>
      </c>
      <c r="M52" s="136">
        <f>IFERROR(D52/3.6/Rekensheet_0!$F$15,0)</f>
        <v>0</v>
      </c>
      <c r="N52" s="137">
        <f>IFERROR(E52/3.6/Rekensheet_0!$F$15,0)</f>
        <v>0</v>
      </c>
      <c r="O52" s="138">
        <f>IFERROR(F52/3.6/Rekensheet_0!$F$15,0)</f>
        <v>0</v>
      </c>
      <c r="P52" s="139">
        <f>IFERROR(G52/3.6/Rekensheet_0!$F$15,0)</f>
        <v>0</v>
      </c>
      <c r="Q52" s="140">
        <f>IFERROR(H52/3.6/Rekensheet_0!$F$15,0)</f>
        <v>0</v>
      </c>
    </row>
    <row r="53" spans="2:17" ht="15" customHeight="1" x14ac:dyDescent="0.2">
      <c r="B53" s="70" t="s">
        <v>176</v>
      </c>
      <c r="D53" s="54">
        <f>IFERROR(Rekensheet_0!L59+Rekensheet_0!L50,0)</f>
        <v>0</v>
      </c>
      <c r="E53" s="55">
        <f>IFERROR(Rekensheet_1!L59+Rekensheet_1!L50,0)</f>
        <v>0</v>
      </c>
      <c r="F53" s="56">
        <f>IFERROR(Rekensheet_2!L59+Rekensheet_2!L50,0)</f>
        <v>0</v>
      </c>
      <c r="G53" s="90">
        <f>IFERROR(Rekensheet_3!L59+Rekensheet_3!L50,0)</f>
        <v>0</v>
      </c>
      <c r="H53" s="61">
        <f>IFERROR(Rekensheet_4!L59+Rekensheet_4!L50,0)</f>
        <v>0</v>
      </c>
      <c r="K53" s="70" t="s">
        <v>176</v>
      </c>
      <c r="M53" s="136">
        <f>IFERROR(D53/3.6/Rekensheet_0!$F$15,0)</f>
        <v>0</v>
      </c>
      <c r="N53" s="137">
        <f>IFERROR(E53/3.6/Rekensheet_0!$F$15,0)</f>
        <v>0</v>
      </c>
      <c r="O53" s="138">
        <f>IFERROR(F53/3.6/Rekensheet_0!$F$15,0)</f>
        <v>0</v>
      </c>
      <c r="P53" s="139">
        <f>IFERROR(G53/3.6/Rekensheet_0!$F$15,0)</f>
        <v>0</v>
      </c>
      <c r="Q53" s="140">
        <f>IFERROR(H53/3.6/Rekensheet_0!$F$15,0)</f>
        <v>0</v>
      </c>
    </row>
    <row r="54" spans="2:17" ht="15" customHeight="1" x14ac:dyDescent="0.2">
      <c r="B54" s="70" t="s">
        <v>171</v>
      </c>
      <c r="D54" s="54">
        <f>IFERROR(Rekensheet_0!K76,0)</f>
        <v>0</v>
      </c>
      <c r="E54" s="55">
        <f>IFERROR(Rekensheet_1!K76,0)</f>
        <v>0</v>
      </c>
      <c r="F54" s="56">
        <f>IFERROR(Rekensheet_2!K76,0)</f>
        <v>0</v>
      </c>
      <c r="G54" s="90">
        <f>IFERROR(Rekensheet_3!K76,0)</f>
        <v>0</v>
      </c>
      <c r="H54" s="61">
        <f>IFERROR(Rekensheet_4!K76,0)</f>
        <v>0</v>
      </c>
      <c r="K54" s="70" t="s">
        <v>171</v>
      </c>
      <c r="M54" s="136">
        <f>IFERROR(D54/3.6/Rekensheet_0!$F$15,0)</f>
        <v>0</v>
      </c>
      <c r="N54" s="137">
        <f>IFERROR(E54/3.6/Rekensheet_0!$F$15,0)</f>
        <v>0</v>
      </c>
      <c r="O54" s="138">
        <f>IFERROR(F54/3.6/Rekensheet_0!$F$15,0)</f>
        <v>0</v>
      </c>
      <c r="P54" s="139">
        <f>IFERROR(G54/3.6/Rekensheet_0!$F$15,0)</f>
        <v>0</v>
      </c>
      <c r="Q54" s="140">
        <f>IFERROR(H54/3.6/Rekensheet_0!$F$15,0)</f>
        <v>0</v>
      </c>
    </row>
    <row r="55" spans="2:17" ht="15" customHeight="1" x14ac:dyDescent="0.2">
      <c r="B55" s="70" t="s">
        <v>172</v>
      </c>
      <c r="D55" s="54">
        <f>IFERROR(Rekensheet_0!K83,0)</f>
        <v>0</v>
      </c>
      <c r="E55" s="55">
        <f>IFERROR(Rekensheet_1!K83,0)</f>
        <v>0</v>
      </c>
      <c r="F55" s="56">
        <f>IFERROR(Rekensheet_2!K83,0)</f>
        <v>0</v>
      </c>
      <c r="G55" s="90">
        <f>IFERROR(Rekensheet_3!K83,0)</f>
        <v>0</v>
      </c>
      <c r="H55" s="61">
        <f>IFERROR(Rekensheet_4!K83,0)</f>
        <v>0</v>
      </c>
      <c r="K55" s="70" t="s">
        <v>172</v>
      </c>
      <c r="M55" s="136">
        <f>IFERROR(D55/3.6/Rekensheet_0!$F$15,0)</f>
        <v>0</v>
      </c>
      <c r="N55" s="137">
        <f>IFERROR(E55/3.6/Rekensheet_0!$F$15,0)</f>
        <v>0</v>
      </c>
      <c r="O55" s="138">
        <f>IFERROR(F55/3.6/Rekensheet_0!$F$15,0)</f>
        <v>0</v>
      </c>
      <c r="P55" s="139">
        <f>IFERROR(G55/3.6/Rekensheet_0!$F$15,0)</f>
        <v>0</v>
      </c>
      <c r="Q55" s="140">
        <f>IFERROR(H55/3.6/Rekensheet_0!$F$15,0)</f>
        <v>0</v>
      </c>
    </row>
    <row r="56" spans="2:17" ht="15" customHeight="1" x14ac:dyDescent="0.2">
      <c r="B56" s="70" t="s">
        <v>35</v>
      </c>
      <c r="D56" s="54">
        <f>-1*Rekensheet_0!K164</f>
        <v>0</v>
      </c>
      <c r="E56" s="55">
        <f>-Rekensheet_1!K164</f>
        <v>0</v>
      </c>
      <c r="F56" s="56">
        <f>-Rekensheet_2!K164</f>
        <v>0</v>
      </c>
      <c r="G56" s="90">
        <f>-Rekensheet_3!K164</f>
        <v>0</v>
      </c>
      <c r="H56" s="61">
        <f>-Rekensheet_4!K164</f>
        <v>0</v>
      </c>
      <c r="K56" s="70" t="s">
        <v>35</v>
      </c>
      <c r="M56" s="136">
        <f>IFERROR(D56/3.6/Rekensheet_0!$F$15,0)</f>
        <v>0</v>
      </c>
      <c r="N56" s="137">
        <f>IFERROR(E56/3.6/Rekensheet_0!$F$15,0)</f>
        <v>0</v>
      </c>
      <c r="O56" s="138">
        <f>IFERROR(F56/3.6/Rekensheet_0!$F$15,0)</f>
        <v>0</v>
      </c>
      <c r="P56" s="139">
        <f>IFERROR(G56/3.6/Rekensheet_0!$F$15,0)</f>
        <v>0</v>
      </c>
      <c r="Q56" s="140">
        <f>IFERROR(H56/3.6/Rekensheet_0!$F$15,0)</f>
        <v>0</v>
      </c>
    </row>
    <row r="57" spans="2:17" ht="15" customHeight="1" x14ac:dyDescent="0.2">
      <c r="B57" s="70" t="s">
        <v>47</v>
      </c>
      <c r="D57" s="58">
        <f>-Rekensheet_0!J198</f>
        <v>0</v>
      </c>
      <c r="E57" s="59">
        <f>-Rekensheet_1!J198</f>
        <v>0</v>
      </c>
      <c r="F57" s="60">
        <f>-Rekensheet_2!J198</f>
        <v>0</v>
      </c>
      <c r="G57" s="91">
        <f>-Rekensheet_3!J198</f>
        <v>0</v>
      </c>
      <c r="H57" s="94">
        <f>-Rekensheet_4!J198</f>
        <v>0</v>
      </c>
      <c r="K57" s="70" t="s">
        <v>47</v>
      </c>
      <c r="M57" s="141">
        <f>IFERROR(D57/3.6/Rekensheet_0!$F$15,0)</f>
        <v>0</v>
      </c>
      <c r="N57" s="142">
        <f>IFERROR(E57/3.6/Rekensheet_0!$F$15,0)</f>
        <v>0</v>
      </c>
      <c r="O57" s="143">
        <f>IFERROR(F57/3.6/Rekensheet_0!$F$15,0)</f>
        <v>0</v>
      </c>
      <c r="P57" s="144">
        <f>IFERROR(G57/3.6/Rekensheet_0!$F$15,0)</f>
        <v>0</v>
      </c>
      <c r="Q57" s="145">
        <f>IFERROR(H57/3.6/Rekensheet_0!$F$15,0)</f>
        <v>0</v>
      </c>
    </row>
    <row r="58" spans="2:17" ht="15" customHeight="1" x14ac:dyDescent="0.2">
      <c r="B58" s="70" t="s">
        <v>178</v>
      </c>
      <c r="D58" s="58">
        <f>-Rekensheet_0!J208</f>
        <v>0</v>
      </c>
      <c r="E58" s="59">
        <f>-Rekensheet_1!J208</f>
        <v>0</v>
      </c>
      <c r="F58" s="60">
        <f>-Rekensheet_2!J208</f>
        <v>0</v>
      </c>
      <c r="G58" s="91">
        <f>-Rekensheet_3!J208</f>
        <v>0</v>
      </c>
      <c r="H58" s="94">
        <f>-Rekensheet_4!J208</f>
        <v>0</v>
      </c>
      <c r="K58" s="70" t="s">
        <v>178</v>
      </c>
      <c r="M58" s="141">
        <f>IFERROR(D58/3.6/Rekensheet_0!$F$15,0)</f>
        <v>0</v>
      </c>
      <c r="N58" s="142">
        <f>IFERROR(E58/3.6/Rekensheet_0!$F$15,0)</f>
        <v>0</v>
      </c>
      <c r="O58" s="143">
        <f>IFERROR(F58/3.6/Rekensheet_0!$F$15,0)</f>
        <v>0</v>
      </c>
      <c r="P58" s="144">
        <f>IFERROR(G58/3.6/Rekensheet_0!$F$15,0)</f>
        <v>0</v>
      </c>
      <c r="Q58" s="145">
        <f>IFERROR(H58/3.6/Rekensheet_0!$F$15,0)</f>
        <v>0</v>
      </c>
    </row>
    <row r="59" spans="2:17" ht="15" customHeight="1" x14ac:dyDescent="0.2">
      <c r="B59" s="71"/>
      <c r="C59" s="62"/>
      <c r="D59" s="62"/>
      <c r="E59" s="63"/>
      <c r="F59" s="64"/>
      <c r="G59" s="64"/>
      <c r="H59" s="64"/>
      <c r="K59" s="71"/>
      <c r="L59" s="62"/>
      <c r="M59" s="62"/>
      <c r="N59" s="63"/>
      <c r="O59" s="64"/>
      <c r="P59" s="64"/>
      <c r="Q59" s="64"/>
    </row>
    <row r="60" spans="2:17" ht="15" customHeight="1" x14ac:dyDescent="0.2"/>
    <row r="61" spans="2:17" ht="15" customHeight="1" x14ac:dyDescent="0.2"/>
  </sheetData>
  <mergeCells count="5">
    <mergeCell ref="B47:F47"/>
    <mergeCell ref="K47:O47"/>
    <mergeCell ref="B4:F4"/>
    <mergeCell ref="B20:F20"/>
    <mergeCell ref="K4:O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48"/>
  <sheetViews>
    <sheetView showGridLines="0" workbookViewId="0">
      <selection activeCell="A6" sqref="A6"/>
    </sheetView>
  </sheetViews>
  <sheetFormatPr defaultColWidth="9.140625" defaultRowHeight="12.75" x14ac:dyDescent="0.2"/>
  <cols>
    <col min="1" max="1" width="7" style="112" customWidth="1"/>
    <col min="2" max="2" width="9.140625" style="3"/>
    <col min="3" max="3" width="52.28515625" style="3" customWidth="1"/>
    <col min="4" max="4" width="12.42578125" style="5" customWidth="1"/>
    <col min="5" max="11" width="15.42578125" style="11" customWidth="1"/>
    <col min="12" max="12" width="15.42578125" style="3" customWidth="1"/>
    <col min="13" max="13" width="34" style="3" customWidth="1"/>
    <col min="14" max="16" width="9.140625" style="3"/>
    <col min="17" max="17" width="14.42578125" style="3" customWidth="1"/>
    <col min="18" max="21" width="9.140625" style="3"/>
    <col min="22" max="22" width="8.28515625" style="3" customWidth="1"/>
    <col min="23" max="25" width="9.140625" style="3"/>
    <col min="26" max="26" width="12.140625" style="3" customWidth="1"/>
    <col min="27" max="27" width="10.42578125" style="3" bestFit="1" customWidth="1"/>
    <col min="28" max="28" width="9.140625" style="3"/>
    <col min="29" max="29" width="12.42578125" style="3" customWidth="1"/>
    <col min="30" max="16384" width="9.140625" style="3"/>
  </cols>
  <sheetData>
    <row r="1" spans="1:12" ht="13.5" thickBot="1" x14ac:dyDescent="0.25"/>
    <row r="2" spans="1:12" ht="30.75" thickBot="1" x14ac:dyDescent="0.45">
      <c r="B2" s="257" t="str">
        <f>CONCATENATE("REKENSHEET - ", Invulsheet!E5)</f>
        <v>REKENSHEET - Schetsontwerp Camper</v>
      </c>
      <c r="C2" s="257"/>
      <c r="D2" s="257"/>
      <c r="E2" s="257"/>
      <c r="F2" s="257"/>
      <c r="G2" s="257"/>
      <c r="H2" s="257"/>
      <c r="I2" s="257"/>
      <c r="J2" s="257"/>
      <c r="K2" s="257"/>
      <c r="L2" s="257"/>
    </row>
    <row r="5" spans="1:12" ht="20.25" x14ac:dyDescent="0.3">
      <c r="E5" s="279" t="s">
        <v>134</v>
      </c>
      <c r="F5" s="279"/>
      <c r="G5" s="279"/>
      <c r="H5" s="34" t="s">
        <v>133</v>
      </c>
      <c r="I5" s="280" t="s">
        <v>135</v>
      </c>
      <c r="J5" s="280"/>
      <c r="K5" s="280"/>
    </row>
    <row r="8" spans="1:12" ht="24" customHeight="1" x14ac:dyDescent="0.3">
      <c r="C8" s="9" t="s">
        <v>70</v>
      </c>
      <c r="D8" s="23"/>
      <c r="E8" s="12"/>
      <c r="F8" s="12"/>
      <c r="G8" s="12"/>
      <c r="H8" s="12"/>
      <c r="I8" s="12"/>
      <c r="J8" s="12"/>
      <c r="K8" s="12"/>
    </row>
    <row r="9" spans="1:12" ht="15" customHeight="1" x14ac:dyDescent="0.2"/>
    <row r="10" spans="1:12" ht="15" customHeight="1" x14ac:dyDescent="0.2">
      <c r="C10" s="3" t="s">
        <v>108</v>
      </c>
      <c r="D10" s="5" t="s">
        <v>110</v>
      </c>
      <c r="F10" s="32">
        <f>Invulsheet!F10</f>
        <v>0</v>
      </c>
    </row>
    <row r="11" spans="1:12" ht="15" customHeight="1" x14ac:dyDescent="0.2">
      <c r="C11" s="3" t="s">
        <v>109</v>
      </c>
      <c r="D11" s="5" t="s">
        <v>48</v>
      </c>
      <c r="F11" s="32">
        <f>Invulsheet!F11</f>
        <v>0</v>
      </c>
    </row>
    <row r="12" spans="1:12" s="107" customFormat="1" ht="15" customHeight="1" x14ac:dyDescent="0.2">
      <c r="A12" s="112"/>
      <c r="C12" s="107" t="s">
        <v>281</v>
      </c>
      <c r="D12" s="5" t="s">
        <v>280</v>
      </c>
      <c r="E12" s="11"/>
      <c r="F12" s="32">
        <f>Invulsheet!F12</f>
        <v>0</v>
      </c>
      <c r="G12" s="11"/>
      <c r="H12" s="11"/>
      <c r="I12" s="11"/>
      <c r="J12" s="11"/>
      <c r="K12" s="11"/>
    </row>
    <row r="13" spans="1:12" s="107" customFormat="1" ht="15" customHeight="1" x14ac:dyDescent="0.2">
      <c r="A13" s="112"/>
      <c r="C13" s="107" t="s">
        <v>279</v>
      </c>
      <c r="D13" s="5" t="s">
        <v>56</v>
      </c>
      <c r="E13" s="11"/>
      <c r="F13" s="32">
        <f>Invulsheet!F13</f>
        <v>0</v>
      </c>
      <c r="G13" s="11"/>
      <c r="H13" s="11"/>
      <c r="I13" s="11"/>
      <c r="J13" s="11"/>
      <c r="K13" s="11"/>
    </row>
    <row r="14" spans="1:12" ht="15" customHeight="1" x14ac:dyDescent="0.2"/>
    <row r="15" spans="1:12" ht="15" customHeight="1" x14ac:dyDescent="0.2">
      <c r="C15" s="3" t="s">
        <v>224</v>
      </c>
      <c r="D15" s="5" t="s">
        <v>225</v>
      </c>
      <c r="F15" s="32">
        <f>Invulsheet!F16</f>
        <v>0</v>
      </c>
    </row>
    <row r="16" spans="1:12" ht="15" customHeight="1" x14ac:dyDescent="0.2">
      <c r="C16" s="3" t="s">
        <v>57</v>
      </c>
      <c r="D16" s="5" t="s">
        <v>61</v>
      </c>
      <c r="F16" s="32">
        <f>Invulsheet!F15</f>
        <v>0</v>
      </c>
    </row>
    <row r="17" spans="3:13" ht="15" customHeight="1" x14ac:dyDescent="0.2">
      <c r="C17" s="3" t="s">
        <v>37</v>
      </c>
      <c r="D17" s="5" t="s">
        <v>58</v>
      </c>
      <c r="J17" s="33" t="e">
        <f>F16/F15</f>
        <v>#DIV/0!</v>
      </c>
    </row>
    <row r="18" spans="3:13" ht="15" customHeight="1" x14ac:dyDescent="0.2"/>
    <row r="19" spans="3:13" ht="15" customHeight="1" x14ac:dyDescent="0.2"/>
    <row r="20" spans="3:13" ht="15" customHeight="1" x14ac:dyDescent="0.2">
      <c r="C20" s="3" t="s">
        <v>222</v>
      </c>
      <c r="D20" s="5" t="s">
        <v>60</v>
      </c>
      <c r="F20" s="32">
        <f>Invulsheet!F18</f>
        <v>20</v>
      </c>
    </row>
    <row r="21" spans="3:13" ht="15" customHeight="1" x14ac:dyDescent="0.2">
      <c r="C21" s="3" t="s">
        <v>223</v>
      </c>
      <c r="D21" s="5" t="s">
        <v>60</v>
      </c>
      <c r="F21" s="32">
        <f>Invulsheet!F19</f>
        <v>15</v>
      </c>
    </row>
    <row r="22" spans="3:13" ht="15" customHeight="1" x14ac:dyDescent="0.2">
      <c r="C22" s="3" t="s">
        <v>72</v>
      </c>
      <c r="D22" s="5" t="s">
        <v>59</v>
      </c>
      <c r="F22" s="32">
        <f>Invulsheet!F20</f>
        <v>80</v>
      </c>
    </row>
    <row r="23" spans="3:13" ht="15" customHeight="1" x14ac:dyDescent="0.2">
      <c r="C23" s="3" t="s">
        <v>136</v>
      </c>
      <c r="D23" s="5" t="s">
        <v>60</v>
      </c>
      <c r="F23" s="35"/>
      <c r="J23" s="38">
        <f xml:space="preserve">  F20 * F22 * F26 / 20000  +  F21 * (1 - F26 * F22 / 20000)</f>
        <v>16.2</v>
      </c>
      <c r="M23" s="281" t="s">
        <v>218</v>
      </c>
    </row>
    <row r="24" spans="3:13" ht="15" customHeight="1" x14ac:dyDescent="0.2">
      <c r="M24" s="281"/>
    </row>
    <row r="25" spans="3:13" ht="15" customHeight="1" x14ac:dyDescent="0.2">
      <c r="C25" s="3" t="s">
        <v>71</v>
      </c>
      <c r="F25" s="32">
        <f>Invulsheet!F22</f>
        <v>0</v>
      </c>
      <c r="M25" s="281"/>
    </row>
    <row r="26" spans="3:13" ht="15" customHeight="1" x14ac:dyDescent="0.2">
      <c r="C26" s="3" t="s">
        <v>116</v>
      </c>
      <c r="D26" s="5" t="s">
        <v>59</v>
      </c>
      <c r="F26" s="32">
        <f>Invulsheet!F23</f>
        <v>60</v>
      </c>
      <c r="M26" s="281"/>
    </row>
    <row r="27" spans="3:13" ht="15" customHeight="1" x14ac:dyDescent="0.2">
      <c r="M27" s="281"/>
    </row>
    <row r="28" spans="3:13" ht="15" customHeight="1" x14ac:dyDescent="0.2"/>
    <row r="29" spans="3:13" ht="24" customHeight="1" x14ac:dyDescent="0.3">
      <c r="C29" s="9" t="s">
        <v>73</v>
      </c>
      <c r="D29" s="23"/>
      <c r="E29" s="12"/>
      <c r="F29" s="12"/>
      <c r="G29" s="12"/>
      <c r="H29" s="12"/>
      <c r="I29" s="12"/>
      <c r="J29" s="12"/>
      <c r="K29" s="12"/>
    </row>
    <row r="30" spans="3:13" ht="15" customHeight="1" x14ac:dyDescent="0.2"/>
    <row r="31" spans="3:13" ht="15" customHeight="1" x14ac:dyDescent="0.3">
      <c r="E31" s="4" t="s">
        <v>22</v>
      </c>
      <c r="F31" s="4" t="s">
        <v>7</v>
      </c>
      <c r="G31" s="4" t="s">
        <v>20</v>
      </c>
      <c r="H31" s="4"/>
      <c r="I31" s="4" t="s">
        <v>141</v>
      </c>
      <c r="J31" s="4" t="s">
        <v>34</v>
      </c>
      <c r="K31" s="4" t="s">
        <v>140</v>
      </c>
    </row>
    <row r="32" spans="3:13" ht="15" customHeight="1" x14ac:dyDescent="0.2">
      <c r="E32" s="4" t="s">
        <v>8</v>
      </c>
      <c r="F32" s="4" t="s">
        <v>9</v>
      </c>
      <c r="G32" s="4" t="s">
        <v>10</v>
      </c>
      <c r="H32" s="4"/>
      <c r="I32" s="4" t="s">
        <v>10</v>
      </c>
      <c r="J32" s="4"/>
      <c r="K32" s="4" t="s">
        <v>23</v>
      </c>
    </row>
    <row r="33" spans="3:12" ht="15" customHeight="1" x14ac:dyDescent="0.2">
      <c r="I33" s="3"/>
    </row>
    <row r="34" spans="3:12" ht="15" customHeight="1" x14ac:dyDescent="0.2">
      <c r="C34" s="3" t="s">
        <v>24</v>
      </c>
      <c r="E34" s="32">
        <f>Invulsheet!E34</f>
        <v>0</v>
      </c>
      <c r="F34" s="32">
        <f>Invulsheet!F34</f>
        <v>0</v>
      </c>
      <c r="I34" s="38">
        <f>1/(F34+0.17+0.17)</f>
        <v>2.9411764705882351</v>
      </c>
      <c r="J34" s="38">
        <v>0.5</v>
      </c>
      <c r="K34" s="38">
        <f>E34*I34*J34</f>
        <v>0</v>
      </c>
    </row>
    <row r="35" spans="3:12" ht="15" customHeight="1" x14ac:dyDescent="0.2">
      <c r="C35" s="3" t="s">
        <v>25</v>
      </c>
      <c r="E35" s="32">
        <f>Invulsheet!E35</f>
        <v>0</v>
      </c>
      <c r="F35" s="32">
        <f>Invulsheet!F35</f>
        <v>0</v>
      </c>
      <c r="I35" s="38">
        <f>1/(F35+0.17+0.17)</f>
        <v>2.9411764705882351</v>
      </c>
      <c r="J35" s="38">
        <v>0.5</v>
      </c>
      <c r="K35" s="38">
        <f t="shared" ref="K35:K36" si="0">E35*I35*J35</f>
        <v>0</v>
      </c>
    </row>
    <row r="36" spans="3:12" ht="15" customHeight="1" x14ac:dyDescent="0.2">
      <c r="C36" s="3" t="s">
        <v>26</v>
      </c>
      <c r="E36" s="32">
        <f>Invulsheet!E36</f>
        <v>0</v>
      </c>
      <c r="F36" s="32">
        <f>Invulsheet!F36</f>
        <v>0</v>
      </c>
      <c r="I36" s="38">
        <f>1/(F36+0.17+0.17)</f>
        <v>2.9411764705882351</v>
      </c>
      <c r="J36" s="38">
        <v>0.5</v>
      </c>
      <c r="K36" s="38">
        <f t="shared" si="0"/>
        <v>0</v>
      </c>
      <c r="L36" s="46" t="e">
        <f>-SUM(K34:K36)/$K$67*$AC$241</f>
        <v>#DIV/0!</v>
      </c>
    </row>
    <row r="37" spans="3:12" ht="15" customHeight="1" x14ac:dyDescent="0.2">
      <c r="I37" s="3"/>
      <c r="L37" s="72"/>
    </row>
    <row r="38" spans="3:12" ht="15" customHeight="1" x14ac:dyDescent="0.2">
      <c r="C38" s="3" t="s">
        <v>27</v>
      </c>
      <c r="E38" s="32">
        <f>Invulsheet!E38</f>
        <v>0</v>
      </c>
      <c r="F38" s="32">
        <f>Invulsheet!F38</f>
        <v>0</v>
      </c>
      <c r="I38" s="38">
        <f>1/(F38+0.1+0.04)</f>
        <v>7.1428571428571423</v>
      </c>
      <c r="J38" s="38">
        <v>1</v>
      </c>
      <c r="K38" s="38">
        <f t="shared" ref="K38:K41" si="1">E38*I38*J38</f>
        <v>0</v>
      </c>
      <c r="L38" s="72"/>
    </row>
    <row r="39" spans="3:12" ht="15" customHeight="1" x14ac:dyDescent="0.2">
      <c r="C39" s="3" t="s">
        <v>28</v>
      </c>
      <c r="E39" s="32">
        <f>Invulsheet!E39</f>
        <v>0</v>
      </c>
      <c r="F39" s="32">
        <f>Invulsheet!F39</f>
        <v>0</v>
      </c>
      <c r="I39" s="38">
        <f t="shared" ref="I39:I41" si="2">1/(F39+0.1+0.04)</f>
        <v>7.1428571428571423</v>
      </c>
      <c r="J39" s="38">
        <v>1</v>
      </c>
      <c r="K39" s="38">
        <f t="shared" si="1"/>
        <v>0</v>
      </c>
      <c r="L39" s="72"/>
    </row>
    <row r="40" spans="3:12" ht="15" customHeight="1" x14ac:dyDescent="0.2">
      <c r="C40" s="3" t="s">
        <v>29</v>
      </c>
      <c r="E40" s="32">
        <f>Invulsheet!E40</f>
        <v>0</v>
      </c>
      <c r="F40" s="32">
        <f>Invulsheet!F40</f>
        <v>0</v>
      </c>
      <c r="I40" s="38">
        <f t="shared" si="2"/>
        <v>7.1428571428571423</v>
      </c>
      <c r="J40" s="38">
        <v>1</v>
      </c>
      <c r="K40" s="38">
        <f t="shared" si="1"/>
        <v>0</v>
      </c>
      <c r="L40" s="72"/>
    </row>
    <row r="41" spans="3:12" ht="15" customHeight="1" x14ac:dyDescent="0.2">
      <c r="C41" s="3" t="s">
        <v>62</v>
      </c>
      <c r="E41" s="32">
        <f>Invulsheet!E41</f>
        <v>0</v>
      </c>
      <c r="F41" s="32">
        <f>Invulsheet!F41</f>
        <v>0</v>
      </c>
      <c r="I41" s="38">
        <f t="shared" si="2"/>
        <v>7.1428571428571423</v>
      </c>
      <c r="J41" s="38">
        <v>1</v>
      </c>
      <c r="K41" s="38">
        <f t="shared" si="1"/>
        <v>0</v>
      </c>
      <c r="L41" s="46" t="e">
        <f>-SUM(K38:K41)/$K$67*$AC$241</f>
        <v>#DIV/0!</v>
      </c>
    </row>
    <row r="42" spans="3:12" ht="15" customHeight="1" x14ac:dyDescent="0.2">
      <c r="I42" s="3"/>
      <c r="L42" s="72"/>
    </row>
    <row r="43" spans="3:12" ht="15" customHeight="1" x14ac:dyDescent="0.2">
      <c r="C43" s="3" t="s">
        <v>74</v>
      </c>
      <c r="E43" s="32">
        <f>Invulsheet!E43</f>
        <v>0</v>
      </c>
      <c r="F43" s="32">
        <f>Invulsheet!F43</f>
        <v>0</v>
      </c>
      <c r="I43" s="38">
        <f>1/(F43+0.13+0.04)</f>
        <v>5.8823529411764701</v>
      </c>
      <c r="J43" s="38">
        <v>1</v>
      </c>
      <c r="K43" s="38">
        <f t="shared" ref="K43:K46" si="3">E43*I43*J43</f>
        <v>0</v>
      </c>
      <c r="L43" s="72"/>
    </row>
    <row r="44" spans="3:12" ht="15" customHeight="1" x14ac:dyDescent="0.2">
      <c r="C44" s="3" t="s">
        <v>65</v>
      </c>
      <c r="E44" s="32">
        <f>Invulsheet!E44</f>
        <v>0</v>
      </c>
      <c r="F44" s="32">
        <f>Invulsheet!F44</f>
        <v>0</v>
      </c>
      <c r="I44" s="38">
        <f t="shared" ref="I44:I46" si="4">1/(F44+0.13+0.04)</f>
        <v>5.8823529411764701</v>
      </c>
      <c r="J44" s="38">
        <v>1</v>
      </c>
      <c r="K44" s="38">
        <f t="shared" si="3"/>
        <v>0</v>
      </c>
      <c r="L44" s="72"/>
    </row>
    <row r="45" spans="3:12" ht="15" customHeight="1" x14ac:dyDescent="0.2">
      <c r="C45" s="3" t="s">
        <v>64</v>
      </c>
      <c r="E45" s="32">
        <f>Invulsheet!E45</f>
        <v>0</v>
      </c>
      <c r="F45" s="32">
        <f>Invulsheet!F45</f>
        <v>0</v>
      </c>
      <c r="I45" s="38">
        <f t="shared" si="4"/>
        <v>5.8823529411764701</v>
      </c>
      <c r="J45" s="38">
        <v>1</v>
      </c>
      <c r="K45" s="38">
        <f t="shared" si="3"/>
        <v>0</v>
      </c>
      <c r="L45" s="72"/>
    </row>
    <row r="46" spans="3:12" ht="15" customHeight="1" x14ac:dyDescent="0.2">
      <c r="C46" s="3" t="s">
        <v>63</v>
      </c>
      <c r="E46" s="32">
        <f>Invulsheet!E46</f>
        <v>0</v>
      </c>
      <c r="F46" s="32">
        <f>Invulsheet!F46</f>
        <v>0</v>
      </c>
      <c r="I46" s="38">
        <f t="shared" si="4"/>
        <v>5.8823529411764701</v>
      </c>
      <c r="J46" s="38">
        <v>1</v>
      </c>
      <c r="K46" s="38">
        <f t="shared" si="3"/>
        <v>0</v>
      </c>
      <c r="L46" s="46" t="e">
        <f>-SUM(K43:K46)/$K$67*$AC$241</f>
        <v>#DIV/0!</v>
      </c>
    </row>
    <row r="47" spans="3:12" ht="15" customHeight="1" x14ac:dyDescent="0.2">
      <c r="I47" s="3"/>
      <c r="L47" s="72"/>
    </row>
    <row r="48" spans="3:12" ht="15" customHeight="1" x14ac:dyDescent="0.2">
      <c r="C48" s="3" t="s">
        <v>66</v>
      </c>
      <c r="E48" s="32">
        <f>Invulsheet!E48</f>
        <v>0</v>
      </c>
      <c r="F48" s="32">
        <f>Invulsheet!F48</f>
        <v>0</v>
      </c>
      <c r="I48" s="38">
        <f>1/(F48+0.13+0.13)</f>
        <v>3.8461538461538458</v>
      </c>
      <c r="J48" s="38">
        <v>0.6</v>
      </c>
      <c r="K48" s="38">
        <f t="shared" ref="K48:K50" si="5">E48*I48*J48</f>
        <v>0</v>
      </c>
      <c r="L48" s="72"/>
    </row>
    <row r="49" spans="3:15" ht="15" customHeight="1" x14ac:dyDescent="0.2">
      <c r="C49" s="3" t="s">
        <v>67</v>
      </c>
      <c r="E49" s="32">
        <f>Invulsheet!E49</f>
        <v>0</v>
      </c>
      <c r="F49" s="32">
        <f>Invulsheet!F49</f>
        <v>0</v>
      </c>
      <c r="I49" s="38">
        <f t="shared" ref="I49:I50" si="6">1/(F49+0.13+0.13)</f>
        <v>3.8461538461538458</v>
      </c>
      <c r="J49" s="38">
        <v>0.6</v>
      </c>
      <c r="K49" s="38">
        <f t="shared" si="5"/>
        <v>0</v>
      </c>
      <c r="L49" s="72"/>
    </row>
    <row r="50" spans="3:15" ht="15" customHeight="1" x14ac:dyDescent="0.2">
      <c r="C50" s="3" t="s">
        <v>68</v>
      </c>
      <c r="E50" s="32">
        <f>Invulsheet!E50</f>
        <v>0</v>
      </c>
      <c r="F50" s="32">
        <f>Invulsheet!F50</f>
        <v>0</v>
      </c>
      <c r="I50" s="38">
        <f t="shared" si="6"/>
        <v>3.8461538461538458</v>
      </c>
      <c r="J50" s="38">
        <v>0.6</v>
      </c>
      <c r="K50" s="38">
        <f t="shared" si="5"/>
        <v>0</v>
      </c>
      <c r="L50" s="46" t="e">
        <f>-SUM(K48:K50)/$K$67*$AC$241</f>
        <v>#DIV/0!</v>
      </c>
    </row>
    <row r="51" spans="3:15" ht="15" customHeight="1" x14ac:dyDescent="0.2">
      <c r="I51" s="3"/>
      <c r="L51" s="72"/>
    </row>
    <row r="52" spans="3:15" ht="15" customHeight="1" x14ac:dyDescent="0.2">
      <c r="C52" s="3" t="s">
        <v>249</v>
      </c>
      <c r="E52" s="32">
        <f>Invulsheet!E52</f>
        <v>0</v>
      </c>
      <c r="F52" s="32">
        <f>Invulsheet!F52</f>
        <v>0</v>
      </c>
      <c r="I52" s="38">
        <f>1/(F52+0.04+0.17)</f>
        <v>4.7619047619047619</v>
      </c>
      <c r="J52" s="38">
        <v>1</v>
      </c>
      <c r="K52" s="38">
        <f t="shared" ref="K52:K57" si="7">E52*I52*J52</f>
        <v>0</v>
      </c>
      <c r="L52" s="72"/>
    </row>
    <row r="53" spans="3:15" ht="15" customHeight="1" x14ac:dyDescent="0.2">
      <c r="C53" s="3" t="s">
        <v>257</v>
      </c>
      <c r="E53" s="32">
        <f>Invulsheet!E53</f>
        <v>0</v>
      </c>
      <c r="F53" s="32">
        <f>Invulsheet!F53</f>
        <v>0</v>
      </c>
      <c r="I53" s="38">
        <f t="shared" ref="I53:I55" si="8">1/(F53+0.04+0.17)</f>
        <v>4.7619047619047619</v>
      </c>
      <c r="J53" s="38">
        <v>1</v>
      </c>
      <c r="K53" s="38">
        <f t="shared" ref="K53:K55" si="9">E53*I53*J53</f>
        <v>0</v>
      </c>
      <c r="L53" s="72"/>
    </row>
    <row r="54" spans="3:15" ht="15" customHeight="1" x14ac:dyDescent="0.2">
      <c r="C54" s="3" t="s">
        <v>256</v>
      </c>
      <c r="E54" s="32">
        <f>Invulsheet!E54</f>
        <v>0</v>
      </c>
      <c r="F54" s="32">
        <f>Invulsheet!F54</f>
        <v>0</v>
      </c>
      <c r="I54" s="38">
        <f t="shared" si="8"/>
        <v>4.7619047619047619</v>
      </c>
      <c r="J54" s="38">
        <v>1</v>
      </c>
      <c r="K54" s="38">
        <f t="shared" si="9"/>
        <v>0</v>
      </c>
      <c r="L54" s="72"/>
    </row>
    <row r="55" spans="3:15" ht="15" customHeight="1" x14ac:dyDescent="0.2">
      <c r="C55" s="3" t="s">
        <v>255</v>
      </c>
      <c r="E55" s="32">
        <f>Invulsheet!E55</f>
        <v>0</v>
      </c>
      <c r="F55" s="32">
        <f>Invulsheet!F55</f>
        <v>0</v>
      </c>
      <c r="I55" s="38">
        <f t="shared" si="8"/>
        <v>4.7619047619047619</v>
      </c>
      <c r="J55" s="38">
        <v>1</v>
      </c>
      <c r="K55" s="38">
        <f t="shared" si="9"/>
        <v>0</v>
      </c>
      <c r="L55" s="72"/>
    </row>
    <row r="56" spans="3:15" ht="15" customHeight="1" x14ac:dyDescent="0.2">
      <c r="C56" s="3" t="s">
        <v>254</v>
      </c>
      <c r="E56" s="32">
        <f>Invulsheet!E56</f>
        <v>0</v>
      </c>
      <c r="G56" s="32">
        <f>Invulsheet!G56</f>
        <v>0</v>
      </c>
      <c r="H56" s="31"/>
      <c r="I56" s="38">
        <f>IFERROR(1/(1/G56+0.04+0.17), 0)</f>
        <v>0</v>
      </c>
      <c r="J56" s="38">
        <v>1</v>
      </c>
      <c r="K56" s="38">
        <f t="shared" si="7"/>
        <v>0</v>
      </c>
      <c r="L56" s="72"/>
    </row>
    <row r="57" spans="3:15" ht="15" customHeight="1" x14ac:dyDescent="0.2">
      <c r="C57" s="3" t="s">
        <v>253</v>
      </c>
      <c r="E57" s="32">
        <f>Invulsheet!E57</f>
        <v>0</v>
      </c>
      <c r="G57" s="32">
        <f>Invulsheet!G57</f>
        <v>0</v>
      </c>
      <c r="H57" s="31"/>
      <c r="I57" s="38">
        <f t="shared" ref="I57:I59" si="10">IFERROR(1/(1/G57+0.04+0.17), 0)</f>
        <v>0</v>
      </c>
      <c r="J57" s="38">
        <v>1</v>
      </c>
      <c r="K57" s="38">
        <f t="shared" si="7"/>
        <v>0</v>
      </c>
    </row>
    <row r="58" spans="3:15" ht="15" customHeight="1" x14ac:dyDescent="0.2">
      <c r="C58" s="3" t="s">
        <v>252</v>
      </c>
      <c r="E58" s="32">
        <f>Invulsheet!E58</f>
        <v>0</v>
      </c>
      <c r="G58" s="32">
        <f>Invulsheet!G58</f>
        <v>0</v>
      </c>
      <c r="H58" s="31"/>
      <c r="I58" s="38">
        <f t="shared" si="10"/>
        <v>0</v>
      </c>
      <c r="J58" s="38">
        <v>1</v>
      </c>
      <c r="K58" s="38">
        <f t="shared" ref="K58:K59" si="11">E58*I58*J58</f>
        <v>0</v>
      </c>
      <c r="L58" s="47"/>
    </row>
    <row r="59" spans="3:15" ht="15" customHeight="1" x14ac:dyDescent="0.2">
      <c r="C59" s="3" t="s">
        <v>250</v>
      </c>
      <c r="E59" s="32">
        <f>Invulsheet!E59</f>
        <v>0</v>
      </c>
      <c r="G59" s="32">
        <f>Invulsheet!G59</f>
        <v>0</v>
      </c>
      <c r="H59" s="31"/>
      <c r="I59" s="38">
        <f t="shared" si="10"/>
        <v>0</v>
      </c>
      <c r="J59" s="38">
        <v>1</v>
      </c>
      <c r="K59" s="38">
        <f t="shared" si="11"/>
        <v>0</v>
      </c>
      <c r="L59" s="46" t="e">
        <f>-SUM(K52:K59)/$K$67*$AC$241</f>
        <v>#DIV/0!</v>
      </c>
    </row>
    <row r="60" spans="3:15" ht="15" customHeight="1" x14ac:dyDescent="0.2">
      <c r="I60" s="3"/>
      <c r="L60" s="72"/>
    </row>
    <row r="61" spans="3:15" ht="15" customHeight="1" x14ac:dyDescent="0.2">
      <c r="C61" s="3" t="s">
        <v>251</v>
      </c>
      <c r="E61" s="32">
        <f>Invulsheet!E61</f>
        <v>0</v>
      </c>
      <c r="G61" s="32">
        <f>Invulsheet!G61</f>
        <v>0</v>
      </c>
      <c r="H61" s="31"/>
      <c r="I61" s="38">
        <f>G61</f>
        <v>0</v>
      </c>
      <c r="J61" s="38">
        <v>1</v>
      </c>
      <c r="K61" s="38">
        <f t="shared" ref="K61:K65" si="12">E61*I61*J61</f>
        <v>0</v>
      </c>
      <c r="L61" s="72"/>
    </row>
    <row r="62" spans="3:15" ht="15" customHeight="1" x14ac:dyDescent="0.2">
      <c r="C62" s="3" t="s">
        <v>30</v>
      </c>
      <c r="E62" s="32">
        <f>Invulsheet!E62</f>
        <v>0</v>
      </c>
      <c r="G62" s="32">
        <f>Invulsheet!G62</f>
        <v>0</v>
      </c>
      <c r="H62" s="31"/>
      <c r="I62" s="38">
        <f>G62</f>
        <v>0</v>
      </c>
      <c r="J62" s="38">
        <v>1</v>
      </c>
      <c r="K62" s="38">
        <f t="shared" si="12"/>
        <v>0</v>
      </c>
      <c r="L62" s="72"/>
    </row>
    <row r="63" spans="3:15" ht="15" customHeight="1" x14ac:dyDescent="0.2">
      <c r="C63" s="3" t="s">
        <v>31</v>
      </c>
      <c r="E63" s="32">
        <f>Invulsheet!E63</f>
        <v>0</v>
      </c>
      <c r="G63" s="32">
        <f>Invulsheet!G63</f>
        <v>0</v>
      </c>
      <c r="H63" s="31"/>
      <c r="I63" s="38">
        <f>G63</f>
        <v>0</v>
      </c>
      <c r="J63" s="38">
        <v>1</v>
      </c>
      <c r="K63" s="38">
        <f t="shared" si="12"/>
        <v>0</v>
      </c>
      <c r="L63" s="72"/>
    </row>
    <row r="64" spans="3:15" ht="15" customHeight="1" x14ac:dyDescent="0.2">
      <c r="C64" s="3" t="s">
        <v>75</v>
      </c>
      <c r="E64" s="32">
        <f>Invulsheet!E64</f>
        <v>0</v>
      </c>
      <c r="G64" s="32">
        <f>Invulsheet!G64</f>
        <v>0</v>
      </c>
      <c r="H64" s="31"/>
      <c r="I64" s="38">
        <f>G64</f>
        <v>0</v>
      </c>
      <c r="J64" s="38">
        <v>1</v>
      </c>
      <c r="K64" s="38">
        <f t="shared" si="12"/>
        <v>0</v>
      </c>
      <c r="L64" s="72"/>
      <c r="N64" s="3">
        <v>1100</v>
      </c>
      <c r="O64" s="3">
        <v>1100</v>
      </c>
    </row>
    <row r="65" spans="1:16" ht="15" customHeight="1" x14ac:dyDescent="0.2">
      <c r="C65" s="3" t="s">
        <v>76</v>
      </c>
      <c r="E65" s="32">
        <f>Invulsheet!E65</f>
        <v>0</v>
      </c>
      <c r="G65" s="32">
        <f>Invulsheet!G65</f>
        <v>0</v>
      </c>
      <c r="H65" s="31"/>
      <c r="I65" s="38">
        <f>G65</f>
        <v>0</v>
      </c>
      <c r="J65" s="38">
        <v>1</v>
      </c>
      <c r="K65" s="38">
        <f t="shared" si="12"/>
        <v>0</v>
      </c>
      <c r="L65" s="46" t="e">
        <f>-SUM(K61:K65)/$K$67*$AC$241</f>
        <v>#DIV/0!</v>
      </c>
      <c r="N65" s="3">
        <v>355</v>
      </c>
      <c r="O65" s="3">
        <f>N65-110</f>
        <v>245</v>
      </c>
    </row>
    <row r="66" spans="1:16" ht="15" customHeight="1" x14ac:dyDescent="0.2">
      <c r="E66" s="35"/>
      <c r="G66" s="35"/>
      <c r="H66" s="31"/>
      <c r="I66" s="40"/>
      <c r="J66" s="40"/>
      <c r="K66" s="40"/>
    </row>
    <row r="67" spans="1:16" ht="15" customHeight="1" x14ac:dyDescent="0.2">
      <c r="C67" s="3" t="s">
        <v>33</v>
      </c>
      <c r="D67" s="5" t="s">
        <v>5</v>
      </c>
      <c r="E67" s="35"/>
      <c r="G67" s="35"/>
      <c r="H67" s="31"/>
      <c r="I67" s="40"/>
      <c r="J67" s="40"/>
      <c r="K67" s="38">
        <f>SUM(K34:K65)</f>
        <v>0</v>
      </c>
      <c r="N67" s="202">
        <f>N64/N65</f>
        <v>3.0985915492957745</v>
      </c>
      <c r="O67" s="202">
        <f>O64/O65</f>
        <v>4.4897959183673466</v>
      </c>
    </row>
    <row r="68" spans="1:16" ht="15" customHeight="1" x14ac:dyDescent="0.2">
      <c r="C68" s="3" t="s">
        <v>21</v>
      </c>
      <c r="D68" s="5" t="s">
        <v>49</v>
      </c>
      <c r="E68" s="35"/>
      <c r="G68" s="35"/>
      <c r="H68" s="31"/>
      <c r="I68" s="40"/>
      <c r="J68" s="40"/>
      <c r="L68" s="46">
        <f>-AC241</f>
        <v>0</v>
      </c>
    </row>
    <row r="69" spans="1:16" ht="15" customHeight="1" x14ac:dyDescent="0.2">
      <c r="N69" s="202">
        <f>N71*N72/N67</f>
        <v>0.69709090909090921</v>
      </c>
      <c r="O69" s="202">
        <f>N71*N72/O67</f>
        <v>0.48109090909090918</v>
      </c>
      <c r="P69" s="190" t="s">
        <v>78</v>
      </c>
    </row>
    <row r="70" spans="1:16" ht="15" customHeight="1" x14ac:dyDescent="0.2">
      <c r="N70" s="3">
        <f>N69*N64</f>
        <v>766.80000000000018</v>
      </c>
      <c r="O70" s="107">
        <f>O69*O64</f>
        <v>529.20000000000005</v>
      </c>
      <c r="P70" s="190" t="s">
        <v>321</v>
      </c>
    </row>
    <row r="71" spans="1:16" ht="24" customHeight="1" x14ac:dyDescent="0.3">
      <c r="C71" s="9" t="s">
        <v>77</v>
      </c>
      <c r="D71" s="23"/>
      <c r="E71" s="12"/>
      <c r="F71" s="12"/>
      <c r="G71" s="12"/>
      <c r="H71" s="12"/>
      <c r="I71" s="12"/>
      <c r="J71" s="12"/>
      <c r="K71" s="12"/>
      <c r="N71" s="3">
        <v>0.72</v>
      </c>
    </row>
    <row r="72" spans="1:16" ht="15" customHeight="1" x14ac:dyDescent="0.2">
      <c r="N72" s="3">
        <v>3</v>
      </c>
    </row>
    <row r="73" spans="1:16" ht="15" customHeight="1" x14ac:dyDescent="0.2">
      <c r="C73" s="3" t="s">
        <v>46</v>
      </c>
      <c r="D73" s="5" t="s">
        <v>17</v>
      </c>
      <c r="F73" s="42">
        <f>Invulsheet!F70</f>
        <v>0</v>
      </c>
    </row>
    <row r="74" spans="1:16" ht="15" customHeight="1" x14ac:dyDescent="0.2">
      <c r="C74" s="3" t="s">
        <v>45</v>
      </c>
      <c r="D74" s="5" t="s">
        <v>78</v>
      </c>
      <c r="F74" s="44"/>
      <c r="J74" s="38" t="e">
        <f>F73*3.6/J17*(1/10)^0.7</f>
        <v>#DIV/0!</v>
      </c>
      <c r="N74" s="3">
        <f>O70-N70</f>
        <v>-237.60000000000014</v>
      </c>
    </row>
    <row r="75" spans="1:16" ht="15" customHeight="1" x14ac:dyDescent="0.2">
      <c r="C75" s="3" t="s">
        <v>44</v>
      </c>
      <c r="D75" s="5" t="s">
        <v>143</v>
      </c>
      <c r="F75" s="44"/>
      <c r="J75" s="37" t="e">
        <f>J74*F16/3600</f>
        <v>#DIV/0!</v>
      </c>
      <c r="N75" s="203">
        <f>N74/N70</f>
        <v>-0.30985915492957755</v>
      </c>
    </row>
    <row r="76" spans="1:16" ht="15" customHeight="1" x14ac:dyDescent="0.2">
      <c r="C76" s="3" t="s">
        <v>142</v>
      </c>
      <c r="D76" s="5" t="s">
        <v>5</v>
      </c>
      <c r="F76" s="44"/>
      <c r="J76" s="38" t="e">
        <f>J75*1230</f>
        <v>#DIV/0!</v>
      </c>
      <c r="K76" s="46" t="e">
        <f>-J76/$J$85*$AD$241</f>
        <v>#DIV/0!</v>
      </c>
    </row>
    <row r="77" spans="1:16" ht="15" customHeight="1" x14ac:dyDescent="0.2"/>
    <row r="78" spans="1:16" ht="15" customHeight="1" x14ac:dyDescent="0.2">
      <c r="C78" s="3" t="s">
        <v>39</v>
      </c>
      <c r="D78" s="5" t="s">
        <v>78</v>
      </c>
      <c r="F78" s="42">
        <f>Invulsheet!F72</f>
        <v>0</v>
      </c>
    </row>
    <row r="79" spans="1:16" s="107" customFormat="1" ht="15" customHeight="1" x14ac:dyDescent="0.2">
      <c r="A79" s="112"/>
      <c r="C79" s="107" t="s">
        <v>248</v>
      </c>
      <c r="D79" s="5"/>
      <c r="E79" s="11"/>
      <c r="F79" s="42">
        <f>Invulsheet!F73</f>
        <v>0</v>
      </c>
      <c r="G79" s="11"/>
      <c r="H79" s="11"/>
      <c r="I79" s="11"/>
      <c r="J79" s="11"/>
      <c r="K79" s="11"/>
      <c r="N79" s="107">
        <f>0.1^0.7</f>
        <v>0.199526231496888</v>
      </c>
    </row>
    <row r="80" spans="1:16" ht="15" customHeight="1" x14ac:dyDescent="0.2">
      <c r="C80" s="3" t="s">
        <v>43</v>
      </c>
      <c r="F80" s="32">
        <f>Invulsheet!F74</f>
        <v>0</v>
      </c>
      <c r="N80" s="3">
        <f>3.6*5</f>
        <v>18</v>
      </c>
    </row>
    <row r="81" spans="1:11" ht="15" customHeight="1" x14ac:dyDescent="0.2">
      <c r="C81" s="3" t="s">
        <v>38</v>
      </c>
      <c r="D81" s="5" t="s">
        <v>59</v>
      </c>
      <c r="F81" s="121">
        <f>Invulsheet!F75</f>
        <v>0</v>
      </c>
    </row>
    <row r="82" spans="1:11" ht="15" customHeight="1" x14ac:dyDescent="0.2">
      <c r="C82" s="3" t="s">
        <v>40</v>
      </c>
      <c r="D82" s="5" t="s">
        <v>143</v>
      </c>
      <c r="F82" s="44"/>
      <c r="J82" s="37">
        <f>F78*F16*IF(F80=Data!B3,0.5,1)/3600</f>
        <v>0</v>
      </c>
    </row>
    <row r="83" spans="1:11" ht="15" customHeight="1" x14ac:dyDescent="0.2">
      <c r="C83" s="3" t="s">
        <v>144</v>
      </c>
      <c r="D83" s="5" t="s">
        <v>5</v>
      </c>
      <c r="F83" s="44"/>
      <c r="J83" s="38">
        <f>J82*(1-F81)*1230</f>
        <v>0</v>
      </c>
      <c r="K83" s="46" t="e">
        <f>-J83/$J$85*$AD$241</f>
        <v>#DIV/0!</v>
      </c>
    </row>
    <row r="84" spans="1:11" ht="15" customHeight="1" x14ac:dyDescent="0.2">
      <c r="F84" s="44"/>
      <c r="J84" s="40"/>
    </row>
    <row r="85" spans="1:11" ht="15" customHeight="1" x14ac:dyDescent="0.2">
      <c r="C85" s="3" t="s">
        <v>33</v>
      </c>
      <c r="D85" s="5" t="s">
        <v>5</v>
      </c>
      <c r="F85" s="44"/>
      <c r="J85" s="38" t="e">
        <f>J83+J76</f>
        <v>#DIV/0!</v>
      </c>
    </row>
    <row r="86" spans="1:11" ht="15" customHeight="1" x14ac:dyDescent="0.2">
      <c r="C86" s="3" t="s">
        <v>163</v>
      </c>
      <c r="D86" s="5" t="s">
        <v>49</v>
      </c>
      <c r="F86" s="44"/>
      <c r="K86" s="46">
        <f>-$AD$241</f>
        <v>0</v>
      </c>
    </row>
    <row r="87" spans="1:11" s="107" customFormat="1" ht="15" customHeight="1" x14ac:dyDescent="0.2">
      <c r="A87" s="112"/>
      <c r="D87" s="5"/>
      <c r="E87" s="11"/>
      <c r="F87" s="44"/>
      <c r="G87" s="11"/>
      <c r="H87" s="11"/>
      <c r="I87" s="11"/>
      <c r="J87" s="11"/>
      <c r="K87" s="47"/>
    </row>
    <row r="88" spans="1:11" s="107" customFormat="1" ht="15" customHeight="1" x14ac:dyDescent="0.2">
      <c r="A88" s="112"/>
      <c r="C88" s="107" t="s">
        <v>264</v>
      </c>
      <c r="D88" s="5" t="s">
        <v>48</v>
      </c>
      <c r="E88" s="11"/>
      <c r="F88" s="44"/>
      <c r="G88" s="11"/>
      <c r="H88" s="11"/>
      <c r="I88" s="11"/>
      <c r="J88" s="46">
        <f>IFERROR(VLOOKUP(F79,Data!E27:F29,2,FALSE),0)</f>
        <v>0</v>
      </c>
      <c r="K88" s="47"/>
    </row>
    <row r="89" spans="1:11" ht="15" customHeight="1" x14ac:dyDescent="0.2">
      <c r="F89" s="24"/>
    </row>
    <row r="90" spans="1:11" ht="15" customHeight="1" x14ac:dyDescent="0.2"/>
    <row r="91" spans="1:11" ht="24" customHeight="1" x14ac:dyDescent="0.3">
      <c r="C91" s="9" t="s">
        <v>79</v>
      </c>
      <c r="D91" s="23"/>
      <c r="E91" s="12"/>
      <c r="F91" s="12"/>
      <c r="G91" s="12"/>
      <c r="H91" s="12"/>
      <c r="I91" s="12"/>
      <c r="J91" s="12"/>
      <c r="K91" s="12"/>
    </row>
    <row r="92" spans="1:11" ht="15" customHeight="1" x14ac:dyDescent="0.2"/>
    <row r="93" spans="1:11" ht="15" customHeight="1" x14ac:dyDescent="0.2">
      <c r="C93" s="3" t="s">
        <v>80</v>
      </c>
      <c r="D93" s="5" t="s">
        <v>0</v>
      </c>
      <c r="F93" s="32">
        <f>Invulsheet!F83</f>
        <v>10</v>
      </c>
      <c r="G93" s="3"/>
      <c r="H93" s="3"/>
      <c r="I93" s="3"/>
      <c r="J93" s="3"/>
      <c r="K93" s="3"/>
    </row>
    <row r="94" spans="1:11" ht="15" customHeight="1" x14ac:dyDescent="0.2">
      <c r="C94" s="3" t="s">
        <v>81</v>
      </c>
      <c r="D94" s="5" t="s">
        <v>0</v>
      </c>
      <c r="F94" s="32">
        <f>Invulsheet!F84</f>
        <v>40</v>
      </c>
    </row>
    <row r="95" spans="1:11" ht="15" customHeight="1" x14ac:dyDescent="0.2">
      <c r="C95" s="3" t="s">
        <v>147</v>
      </c>
      <c r="J95" s="38">
        <f>F94-F93</f>
        <v>30</v>
      </c>
    </row>
    <row r="96" spans="1:11" ht="15" customHeight="1" x14ac:dyDescent="0.2">
      <c r="C96" s="3" t="s">
        <v>51</v>
      </c>
      <c r="F96" s="32">
        <f>Invulsheet!F85</f>
        <v>5</v>
      </c>
    </row>
    <row r="97" spans="3:11" ht="15" customHeight="1" x14ac:dyDescent="0.2">
      <c r="C97" s="3" t="s">
        <v>145</v>
      </c>
      <c r="D97" s="5" t="s">
        <v>146</v>
      </c>
      <c r="J97" s="38">
        <f>VLOOKUP(F96,Data!B20:C25,2)</f>
        <v>12</v>
      </c>
    </row>
    <row r="98" spans="3:11" ht="15" customHeight="1" x14ac:dyDescent="0.2">
      <c r="C98" s="3" t="s">
        <v>90</v>
      </c>
      <c r="D98" s="5" t="s">
        <v>89</v>
      </c>
      <c r="F98" s="32">
        <f>Invulsheet!F86</f>
        <v>4</v>
      </c>
    </row>
    <row r="99" spans="3:11" ht="15" customHeight="1" x14ac:dyDescent="0.2"/>
    <row r="100" spans="3:11" ht="15" customHeight="1" x14ac:dyDescent="0.2">
      <c r="C100" s="3" t="s">
        <v>82</v>
      </c>
      <c r="D100" s="5" t="s">
        <v>54</v>
      </c>
      <c r="F100" s="32">
        <f>Invulsheet!F88</f>
        <v>0</v>
      </c>
    </row>
    <row r="101" spans="3:11" ht="15" customHeight="1" x14ac:dyDescent="0.2">
      <c r="C101" s="3" t="s">
        <v>85</v>
      </c>
      <c r="D101" s="5" t="s">
        <v>84</v>
      </c>
      <c r="F101" s="32">
        <f>Invulsheet!F89</f>
        <v>0</v>
      </c>
      <c r="J101" s="3"/>
    </row>
    <row r="102" spans="3:11" ht="15" customHeight="1" x14ac:dyDescent="0.2">
      <c r="C102" s="3" t="s">
        <v>83</v>
      </c>
      <c r="D102" s="5" t="s">
        <v>59</v>
      </c>
      <c r="F102" s="32">
        <f>Invulsheet!F90</f>
        <v>0</v>
      </c>
    </row>
    <row r="103" spans="3:11" ht="15" customHeight="1" x14ac:dyDescent="0.2">
      <c r="C103" s="3" t="s">
        <v>148</v>
      </c>
      <c r="F103" s="35"/>
      <c r="J103" s="33">
        <f>(52-F96)*F101</f>
        <v>0</v>
      </c>
    </row>
    <row r="104" spans="3:11" ht="15" customHeight="1" x14ac:dyDescent="0.2">
      <c r="C104" s="3" t="s">
        <v>149</v>
      </c>
      <c r="D104" s="5" t="s">
        <v>18</v>
      </c>
      <c r="F104" s="35"/>
      <c r="J104" s="36">
        <f>4.18*F100*J97*J95*(1-F102/100)/1000000</f>
        <v>0</v>
      </c>
    </row>
    <row r="105" spans="3:11" ht="15" customHeight="1" x14ac:dyDescent="0.2">
      <c r="C105" s="3" t="s">
        <v>150</v>
      </c>
      <c r="D105" s="5" t="s">
        <v>56</v>
      </c>
      <c r="F105" s="35"/>
      <c r="I105" s="39">
        <f>J104*J103</f>
        <v>0</v>
      </c>
      <c r="J105" s="3"/>
      <c r="K105" s="3"/>
    </row>
    <row r="106" spans="3:11" ht="15" customHeight="1" x14ac:dyDescent="0.2">
      <c r="F106" s="35"/>
      <c r="I106" s="48"/>
    </row>
    <row r="107" spans="3:11" ht="15" customHeight="1" x14ac:dyDescent="0.2">
      <c r="I107" s="48"/>
    </row>
    <row r="108" spans="3:11" ht="15" customHeight="1" x14ac:dyDescent="0.2">
      <c r="C108" s="3" t="s">
        <v>86</v>
      </c>
      <c r="D108" s="5" t="s">
        <v>84</v>
      </c>
      <c r="F108" s="32">
        <f>Invulsheet!F92</f>
        <v>0</v>
      </c>
      <c r="I108" s="48"/>
    </row>
    <row r="109" spans="3:11" ht="15" customHeight="1" x14ac:dyDescent="0.2">
      <c r="C109" s="3" t="s">
        <v>87</v>
      </c>
      <c r="D109" s="5" t="s">
        <v>88</v>
      </c>
      <c r="F109" s="32">
        <f>Invulsheet!F93</f>
        <v>110</v>
      </c>
      <c r="I109" s="48"/>
    </row>
    <row r="110" spans="3:11" ht="15" customHeight="1" x14ac:dyDescent="0.2">
      <c r="C110" s="3" t="s">
        <v>151</v>
      </c>
      <c r="F110" s="35"/>
      <c r="I110" s="48"/>
      <c r="J110" s="33">
        <f>(52-F103)*F108</f>
        <v>0</v>
      </c>
    </row>
    <row r="111" spans="3:11" ht="15" customHeight="1" x14ac:dyDescent="0.2">
      <c r="C111" s="3" t="s">
        <v>149</v>
      </c>
      <c r="D111" s="5" t="s">
        <v>18</v>
      </c>
      <c r="F111" s="35"/>
      <c r="I111" s="48"/>
      <c r="J111" s="36">
        <f>4.18*J95*F109/1000000</f>
        <v>1.3793999999999999E-2</v>
      </c>
    </row>
    <row r="112" spans="3:11" ht="15" customHeight="1" x14ac:dyDescent="0.2">
      <c r="C112" s="3" t="s">
        <v>150</v>
      </c>
      <c r="D112" s="5" t="s">
        <v>56</v>
      </c>
      <c r="F112" s="35"/>
      <c r="I112" s="39">
        <f>J111*J110</f>
        <v>0</v>
      </c>
      <c r="J112" s="3"/>
      <c r="K112" s="3"/>
    </row>
    <row r="113" spans="1:11" ht="15" customHeight="1" x14ac:dyDescent="0.2">
      <c r="I113" s="48"/>
    </row>
    <row r="114" spans="1:11" ht="15" customHeight="1" x14ac:dyDescent="0.2">
      <c r="C114" s="27" t="s">
        <v>91</v>
      </c>
      <c r="D114" s="5" t="s">
        <v>92</v>
      </c>
      <c r="F114" s="32">
        <f>Invulsheet!F95</f>
        <v>0</v>
      </c>
      <c r="I114" s="48"/>
    </row>
    <row r="115" spans="1:11" ht="15" customHeight="1" x14ac:dyDescent="0.2">
      <c r="C115" s="3" t="s">
        <v>152</v>
      </c>
      <c r="D115" s="5" t="s">
        <v>55</v>
      </c>
      <c r="F115" s="35"/>
      <c r="I115" s="48"/>
      <c r="J115" s="36">
        <f>F114*J97*J95*4.18/1000000</f>
        <v>0</v>
      </c>
    </row>
    <row r="116" spans="1:11" ht="15" customHeight="1" x14ac:dyDescent="0.2">
      <c r="C116" s="3" t="s">
        <v>150</v>
      </c>
      <c r="D116" s="5" t="s">
        <v>56</v>
      </c>
      <c r="F116" s="35"/>
      <c r="I116" s="39">
        <f>J115*(52-F98)*7</f>
        <v>0</v>
      </c>
      <c r="J116" s="3"/>
    </row>
    <row r="117" spans="1:11" ht="15" customHeight="1" x14ac:dyDescent="0.2">
      <c r="F117" s="35"/>
      <c r="I117" s="48"/>
    </row>
    <row r="118" spans="1:11" ht="15" customHeight="1" x14ac:dyDescent="0.2">
      <c r="C118" s="3" t="s">
        <v>153</v>
      </c>
      <c r="D118" s="5" t="s">
        <v>56</v>
      </c>
      <c r="F118" s="35"/>
      <c r="I118" s="39">
        <f>I116+I112+I105</f>
        <v>0</v>
      </c>
    </row>
    <row r="119" spans="1:11" ht="15" customHeight="1" x14ac:dyDescent="0.2">
      <c r="F119" s="24"/>
      <c r="I119" s="48"/>
    </row>
    <row r="120" spans="1:11" s="107" customFormat="1" ht="15" customHeight="1" x14ac:dyDescent="0.2">
      <c r="A120" s="112"/>
      <c r="C120" s="1" t="s">
        <v>265</v>
      </c>
      <c r="D120" s="5"/>
      <c r="E120" s="11"/>
      <c r="F120" s="24"/>
      <c r="G120" s="11"/>
      <c r="H120" s="11"/>
      <c r="I120" s="48"/>
      <c r="J120" s="11"/>
      <c r="K120" s="11"/>
    </row>
    <row r="121" spans="1:11" s="107" customFormat="1" ht="15" customHeight="1" x14ac:dyDescent="0.2">
      <c r="A121" s="112"/>
      <c r="C121" s="107" t="s">
        <v>266</v>
      </c>
      <c r="D121" s="5"/>
      <c r="E121" s="11"/>
      <c r="F121" s="121">
        <f>Invulsheet!F99</f>
        <v>1</v>
      </c>
      <c r="G121" s="11"/>
      <c r="H121" s="11"/>
      <c r="I121" s="39">
        <f>F121*I118</f>
        <v>0</v>
      </c>
      <c r="J121" s="5" t="s">
        <v>56</v>
      </c>
      <c r="K121" s="11"/>
    </row>
    <row r="122" spans="1:11" ht="15" customHeight="1" x14ac:dyDescent="0.2">
      <c r="C122" s="3" t="s">
        <v>93</v>
      </c>
      <c r="F122" s="32">
        <f>Invulsheet!F100</f>
        <v>0</v>
      </c>
      <c r="I122" s="48"/>
    </row>
    <row r="123" spans="1:11" ht="15" customHeight="1" x14ac:dyDescent="0.2">
      <c r="C123" s="3" t="s">
        <v>95</v>
      </c>
      <c r="F123" s="43">
        <f>Invulsheet!F101</f>
        <v>0</v>
      </c>
      <c r="I123" s="48"/>
    </row>
    <row r="124" spans="1:11" s="107" customFormat="1" ht="15" customHeight="1" x14ac:dyDescent="0.2">
      <c r="A124" s="112"/>
      <c r="C124" s="107" t="s">
        <v>268</v>
      </c>
      <c r="D124" s="5"/>
      <c r="E124" s="11"/>
      <c r="F124" s="43">
        <f>Invulsheet!F102</f>
        <v>0</v>
      </c>
      <c r="G124" s="11"/>
      <c r="H124" s="11"/>
      <c r="I124" s="39">
        <f>-1*F124</f>
        <v>0</v>
      </c>
      <c r="J124" s="5" t="s">
        <v>56</v>
      </c>
      <c r="K124" s="11" t="str">
        <f>IF(I125+I124+I121&lt;0,"Overproductie!","")</f>
        <v/>
      </c>
    </row>
    <row r="125" spans="1:11" s="107" customFormat="1" ht="15" customHeight="1" x14ac:dyDescent="0.2">
      <c r="A125" s="112"/>
      <c r="C125" s="107" t="s">
        <v>154</v>
      </c>
      <c r="D125" s="5"/>
      <c r="E125" s="11"/>
      <c r="F125" s="123">
        <f>Invulsheet!F103</f>
        <v>0</v>
      </c>
      <c r="G125" s="11"/>
      <c r="H125" s="11"/>
      <c r="I125" s="39">
        <f>IFERROR(VLOOKUP(F125,Data!$E$20:$F$23,2,FALSE)*F121,0)</f>
        <v>0</v>
      </c>
      <c r="J125" s="5" t="s">
        <v>56</v>
      </c>
      <c r="K125" s="11"/>
    </row>
    <row r="126" spans="1:11" ht="15" customHeight="1" x14ac:dyDescent="0.2">
      <c r="C126" s="3" t="s">
        <v>155</v>
      </c>
      <c r="D126" s="5" t="s">
        <v>56</v>
      </c>
      <c r="I126" s="39">
        <f>IFERROR(MAX(0, I121+I124+I125)/F123,0)</f>
        <v>0</v>
      </c>
      <c r="J126" s="5" t="s">
        <v>56</v>
      </c>
    </row>
    <row r="127" spans="1:11" s="107" customFormat="1" ht="15" customHeight="1" x14ac:dyDescent="0.2">
      <c r="A127" s="112"/>
      <c r="D127" s="5"/>
      <c r="E127" s="11"/>
      <c r="F127" s="45"/>
      <c r="G127" s="11"/>
      <c r="H127" s="11"/>
      <c r="I127" s="119"/>
      <c r="J127" s="11"/>
      <c r="K127" s="11"/>
    </row>
    <row r="128" spans="1:11" s="107" customFormat="1" ht="15" customHeight="1" x14ac:dyDescent="0.2">
      <c r="A128" s="112"/>
      <c r="C128" s="1" t="s">
        <v>267</v>
      </c>
      <c r="D128" s="5"/>
      <c r="E128" s="11"/>
      <c r="F128" s="45"/>
      <c r="G128" s="11"/>
      <c r="H128" s="11"/>
      <c r="I128" s="119"/>
      <c r="J128" s="11"/>
      <c r="K128" s="11"/>
    </row>
    <row r="129" spans="1:12" s="107" customFormat="1" ht="15" customHeight="1" x14ac:dyDescent="0.2">
      <c r="A129" s="112"/>
      <c r="C129" s="107" t="s">
        <v>266</v>
      </c>
      <c r="D129" s="5"/>
      <c r="E129" s="11"/>
      <c r="F129" s="121">
        <f>Invulsheet!G106</f>
        <v>0</v>
      </c>
      <c r="G129" s="11"/>
      <c r="H129" s="11"/>
      <c r="I129" s="39">
        <f>F129*I118</f>
        <v>0</v>
      </c>
      <c r="J129" s="5" t="s">
        <v>56</v>
      </c>
      <c r="K129" s="11"/>
    </row>
    <row r="130" spans="1:12" s="107" customFormat="1" ht="15" customHeight="1" x14ac:dyDescent="0.2">
      <c r="A130" s="112"/>
      <c r="C130" s="107" t="s">
        <v>93</v>
      </c>
      <c r="D130" s="5"/>
      <c r="E130" s="11"/>
      <c r="F130" s="32" t="str">
        <f>Invulsheet!F107</f>
        <v>Elektriciteit</v>
      </c>
      <c r="G130" s="11"/>
      <c r="H130" s="11"/>
      <c r="I130" s="119"/>
      <c r="J130" s="11"/>
      <c r="K130" s="11"/>
    </row>
    <row r="131" spans="1:12" s="107" customFormat="1" ht="15" customHeight="1" x14ac:dyDescent="0.2">
      <c r="A131" s="112"/>
      <c r="C131" s="107" t="s">
        <v>95</v>
      </c>
      <c r="D131" s="5"/>
      <c r="E131" s="11"/>
      <c r="F131" s="32">
        <f>Invulsheet!F108</f>
        <v>1</v>
      </c>
      <c r="G131" s="11"/>
      <c r="H131" s="11"/>
      <c r="I131" s="119"/>
      <c r="J131" s="11"/>
      <c r="K131" s="11"/>
    </row>
    <row r="132" spans="1:12" s="107" customFormat="1" ht="15" customHeight="1" x14ac:dyDescent="0.2">
      <c r="A132" s="112"/>
      <c r="C132" s="107" t="s">
        <v>154</v>
      </c>
      <c r="D132" s="5"/>
      <c r="E132" s="11"/>
      <c r="F132" s="32" t="str">
        <f>Invulsheet!F109</f>
        <v>Geen</v>
      </c>
      <c r="G132" s="11"/>
      <c r="H132" s="11"/>
      <c r="I132" s="39">
        <f>VLOOKUP(F132,Data!$E$20:$F$23,2,FALSE)*F129</f>
        <v>0</v>
      </c>
      <c r="J132" s="5" t="s">
        <v>56</v>
      </c>
      <c r="K132" s="11"/>
    </row>
    <row r="133" spans="1:12" s="107" customFormat="1" ht="15" customHeight="1" x14ac:dyDescent="0.2">
      <c r="A133" s="112"/>
      <c r="C133" s="107" t="s">
        <v>155</v>
      </c>
      <c r="D133" s="5" t="s">
        <v>56</v>
      </c>
      <c r="E133" s="11"/>
      <c r="F133" s="45"/>
      <c r="G133" s="11"/>
      <c r="H133" s="11"/>
      <c r="I133" s="39">
        <f>MAX(0, I129+I132)/F131</f>
        <v>0</v>
      </c>
      <c r="J133" s="5" t="s">
        <v>56</v>
      </c>
      <c r="K133" s="11"/>
    </row>
    <row r="134" spans="1:12" ht="15" customHeight="1" x14ac:dyDescent="0.2">
      <c r="F134" s="24"/>
    </row>
    <row r="135" spans="1:12" ht="15" customHeight="1" x14ac:dyDescent="0.2"/>
    <row r="136" spans="1:12" ht="24" customHeight="1" x14ac:dyDescent="0.3">
      <c r="C136" s="9" t="s">
        <v>96</v>
      </c>
      <c r="D136" s="23"/>
      <c r="E136" s="12"/>
      <c r="F136" s="12"/>
      <c r="G136" s="12"/>
      <c r="H136" s="12"/>
      <c r="I136" s="12"/>
      <c r="J136" s="12"/>
      <c r="K136" s="12"/>
    </row>
    <row r="137" spans="1:12" ht="15" customHeight="1" x14ac:dyDescent="0.2"/>
    <row r="138" spans="1:12" s="107" customFormat="1" ht="15" customHeight="1" x14ac:dyDescent="0.2">
      <c r="A138" s="112"/>
      <c r="C138" s="1" t="s">
        <v>265</v>
      </c>
      <c r="D138" s="5"/>
      <c r="E138" s="11"/>
      <c r="F138" s="11"/>
      <c r="G138" s="11"/>
      <c r="H138" s="11"/>
      <c r="I138" s="11"/>
      <c r="J138" s="11"/>
      <c r="K138" s="11"/>
    </row>
    <row r="139" spans="1:12" s="107" customFormat="1" ht="15" customHeight="1" x14ac:dyDescent="0.2">
      <c r="A139" s="112"/>
      <c r="C139" s="107" t="s">
        <v>266</v>
      </c>
      <c r="D139" s="5"/>
      <c r="E139" s="11"/>
      <c r="F139" s="121">
        <f>Invulsheet!F115</f>
        <v>1</v>
      </c>
      <c r="G139" s="11"/>
      <c r="H139" s="11"/>
      <c r="I139" s="38">
        <f>J208*F139/1000</f>
        <v>0</v>
      </c>
      <c r="J139" s="5" t="s">
        <v>56</v>
      </c>
      <c r="K139" s="11"/>
    </row>
    <row r="140" spans="1:12" ht="15" customHeight="1" x14ac:dyDescent="0.2">
      <c r="C140" s="3" t="s">
        <v>97</v>
      </c>
      <c r="F140" s="32">
        <f>Invulsheet!F116</f>
        <v>0</v>
      </c>
    </row>
    <row r="141" spans="1:12" ht="15" customHeight="1" x14ac:dyDescent="0.2">
      <c r="C141" s="3" t="s">
        <v>98</v>
      </c>
      <c r="F141" s="43">
        <f>Invulsheet!F117</f>
        <v>0</v>
      </c>
    </row>
    <row r="142" spans="1:12" s="107" customFormat="1" ht="15" customHeight="1" x14ac:dyDescent="0.2">
      <c r="A142" s="112"/>
      <c r="D142" s="5"/>
      <c r="E142" s="11"/>
      <c r="F142" s="11"/>
      <c r="G142" s="11"/>
      <c r="H142" s="11"/>
      <c r="I142" s="11"/>
      <c r="J142" s="5"/>
      <c r="K142" s="129"/>
      <c r="L142" s="231"/>
    </row>
    <row r="143" spans="1:12" s="107" customFormat="1" ht="15" customHeight="1" x14ac:dyDescent="0.2">
      <c r="A143" s="112"/>
      <c r="C143" s="107" t="s">
        <v>270</v>
      </c>
      <c r="D143" s="5" t="s">
        <v>56</v>
      </c>
      <c r="E143" s="11"/>
      <c r="F143" s="41">
        <f>Invulsheet!F119</f>
        <v>0</v>
      </c>
      <c r="G143" s="11"/>
      <c r="H143" s="11"/>
      <c r="I143" s="38">
        <f>-1*F143</f>
        <v>0</v>
      </c>
      <c r="J143" s="5" t="s">
        <v>56</v>
      </c>
      <c r="K143" s="129" t="str">
        <f>IF(I143+I139&lt;0,"Overproductie","")</f>
        <v/>
      </c>
      <c r="L143" s="129"/>
    </row>
    <row r="144" spans="1:12" s="107" customFormat="1" ht="15" customHeight="1" x14ac:dyDescent="0.2">
      <c r="A144" s="112"/>
      <c r="C144" s="107" t="s">
        <v>165</v>
      </c>
      <c r="D144" s="5" t="s">
        <v>56</v>
      </c>
      <c r="E144" s="11"/>
      <c r="F144" s="124"/>
      <c r="G144" s="11"/>
      <c r="H144" s="11"/>
      <c r="I144" s="38" t="e">
        <f>MAX(0,I143+I139)/F141</f>
        <v>#DIV/0!</v>
      </c>
      <c r="J144" s="5" t="s">
        <v>56</v>
      </c>
      <c r="K144" s="11"/>
    </row>
    <row r="145" spans="1:13" s="107" customFormat="1" ht="15" customHeight="1" x14ac:dyDescent="0.2">
      <c r="A145" s="112"/>
      <c r="D145" s="5"/>
      <c r="E145" s="11"/>
      <c r="F145" s="124"/>
      <c r="G145" s="11"/>
      <c r="H145" s="11"/>
      <c r="I145" s="11"/>
      <c r="J145" s="11"/>
      <c r="K145" s="11"/>
    </row>
    <row r="146" spans="1:13" s="107" customFormat="1" ht="15" customHeight="1" x14ac:dyDescent="0.2">
      <c r="A146" s="112"/>
      <c r="C146" s="1" t="s">
        <v>267</v>
      </c>
      <c r="D146" s="5"/>
      <c r="E146" s="11"/>
      <c r="F146" s="124"/>
      <c r="G146" s="11"/>
      <c r="H146" s="11"/>
      <c r="I146" s="11"/>
      <c r="J146" s="11"/>
      <c r="K146" s="11"/>
    </row>
    <row r="147" spans="1:13" s="107" customFormat="1" ht="15" customHeight="1" x14ac:dyDescent="0.2">
      <c r="A147" s="112"/>
      <c r="C147" s="107" t="s">
        <v>266</v>
      </c>
      <c r="D147" s="5"/>
      <c r="E147" s="11"/>
      <c r="F147" s="121">
        <f>Invulsheet!G122</f>
        <v>0</v>
      </c>
      <c r="G147" s="11"/>
      <c r="H147" s="11"/>
      <c r="I147" s="38">
        <f>J208*F147/1000</f>
        <v>0</v>
      </c>
      <c r="J147" s="5" t="s">
        <v>56</v>
      </c>
      <c r="K147" s="11"/>
    </row>
    <row r="148" spans="1:13" s="107" customFormat="1" ht="15" customHeight="1" x14ac:dyDescent="0.2">
      <c r="A148" s="112"/>
      <c r="C148" s="107" t="s">
        <v>97</v>
      </c>
      <c r="D148" s="5"/>
      <c r="E148" s="11"/>
      <c r="F148" s="32" t="str">
        <f>Invulsheet!F123</f>
        <v>Gas</v>
      </c>
      <c r="G148" s="11"/>
      <c r="H148" s="11"/>
      <c r="I148" s="11"/>
      <c r="J148" s="11"/>
      <c r="K148" s="11"/>
    </row>
    <row r="149" spans="1:13" s="107" customFormat="1" ht="15" customHeight="1" x14ac:dyDescent="0.2">
      <c r="A149" s="112"/>
      <c r="C149" s="107" t="s">
        <v>98</v>
      </c>
      <c r="D149" s="5"/>
      <c r="E149" s="11"/>
      <c r="F149" s="43">
        <f>Invulsheet!F124</f>
        <v>1</v>
      </c>
      <c r="G149" s="11"/>
      <c r="H149" s="11"/>
      <c r="I149" s="11"/>
      <c r="J149" s="11"/>
      <c r="K149" s="11"/>
    </row>
    <row r="150" spans="1:13" ht="15" customHeight="1" x14ac:dyDescent="0.2">
      <c r="C150" s="107" t="s">
        <v>269</v>
      </c>
      <c r="D150" s="5" t="s">
        <v>247</v>
      </c>
      <c r="F150" s="41">
        <f>Invulsheet!F125</f>
        <v>0</v>
      </c>
      <c r="I150" s="38">
        <f>F150*1.5*F147</f>
        <v>0</v>
      </c>
      <c r="J150" s="5" t="s">
        <v>48</v>
      </c>
      <c r="L150" s="231" t="s">
        <v>338</v>
      </c>
    </row>
    <row r="151" spans="1:13" s="107" customFormat="1" ht="15" customHeight="1" x14ac:dyDescent="0.2">
      <c r="A151" s="112"/>
      <c r="C151" s="107" t="s">
        <v>165</v>
      </c>
      <c r="D151" s="5" t="s">
        <v>56</v>
      </c>
      <c r="E151" s="11"/>
      <c r="F151" s="124"/>
      <c r="G151" s="11"/>
      <c r="H151" s="11"/>
      <c r="I151" s="38">
        <f>I147/F149</f>
        <v>0</v>
      </c>
      <c r="J151" s="5" t="s">
        <v>56</v>
      </c>
      <c r="K151" s="11"/>
    </row>
    <row r="152" spans="1:13" s="107" customFormat="1" ht="15" customHeight="1" x14ac:dyDescent="0.2">
      <c r="A152" s="112"/>
      <c r="D152" s="5"/>
      <c r="E152" s="11"/>
      <c r="F152" s="124"/>
      <c r="G152" s="11"/>
      <c r="H152" s="11"/>
      <c r="I152" s="11"/>
      <c r="J152" s="11"/>
      <c r="K152" s="11"/>
    </row>
    <row r="153" spans="1:13" ht="15" customHeight="1" x14ac:dyDescent="0.2"/>
    <row r="154" spans="1:13" ht="24" customHeight="1" x14ac:dyDescent="0.3">
      <c r="C154" s="9" t="s">
        <v>162</v>
      </c>
      <c r="D154" s="23"/>
      <c r="E154" s="12"/>
      <c r="F154" s="12"/>
      <c r="G154" s="12"/>
      <c r="H154" s="12"/>
      <c r="I154" s="12"/>
      <c r="J154" s="12"/>
      <c r="K154" s="12"/>
    </row>
    <row r="155" spans="1:13" ht="15" customHeight="1" x14ac:dyDescent="0.2"/>
    <row r="156" spans="1:13" ht="15" customHeight="1" x14ac:dyDescent="0.2">
      <c r="E156" s="4" t="s">
        <v>22</v>
      </c>
      <c r="F156" s="4" t="s">
        <v>104</v>
      </c>
      <c r="G156" s="4" t="s">
        <v>106</v>
      </c>
      <c r="H156" s="4"/>
      <c r="I156" s="4" t="s">
        <v>132</v>
      </c>
      <c r="J156" s="4"/>
      <c r="K156" s="4" t="s">
        <v>292</v>
      </c>
    </row>
    <row r="157" spans="1:13" ht="15" customHeight="1" x14ac:dyDescent="0.2">
      <c r="E157" s="4" t="s">
        <v>8</v>
      </c>
      <c r="F157" s="4" t="s">
        <v>105</v>
      </c>
      <c r="G157" s="4" t="s">
        <v>107</v>
      </c>
      <c r="H157" s="4"/>
      <c r="I157" s="4" t="s">
        <v>59</v>
      </c>
      <c r="J157" s="4"/>
      <c r="K157" s="4" t="s">
        <v>49</v>
      </c>
    </row>
    <row r="158" spans="1:13" ht="15" customHeight="1" x14ac:dyDescent="0.2"/>
    <row r="159" spans="1:13" ht="15" customHeight="1" x14ac:dyDescent="0.2">
      <c r="C159" s="3" t="s">
        <v>100</v>
      </c>
      <c r="E159" s="43">
        <f>Invulsheet!E132</f>
        <v>0</v>
      </c>
      <c r="F159" s="43">
        <f>Invulsheet!F132</f>
        <v>0</v>
      </c>
      <c r="G159" s="43">
        <f>Invulsheet!G132</f>
        <v>0</v>
      </c>
      <c r="H159" s="24"/>
      <c r="I159" s="46">
        <f>50+(100-G159)/2</f>
        <v>100</v>
      </c>
      <c r="J159" s="46"/>
      <c r="K159" s="46"/>
      <c r="M159" s="281" t="s">
        <v>219</v>
      </c>
    </row>
    <row r="160" spans="1:13" ht="15" customHeight="1" x14ac:dyDescent="0.2">
      <c r="C160" s="3" t="s">
        <v>101</v>
      </c>
      <c r="E160" s="43">
        <f>Invulsheet!E133</f>
        <v>0</v>
      </c>
      <c r="F160" s="43">
        <f>Invulsheet!F133</f>
        <v>0</v>
      </c>
      <c r="G160" s="43">
        <f>Invulsheet!G133</f>
        <v>0</v>
      </c>
      <c r="H160" s="24"/>
      <c r="I160" s="46">
        <f>70+(100-G160)*3/10</f>
        <v>100</v>
      </c>
      <c r="J160" s="46"/>
      <c r="K160" s="46"/>
      <c r="L160" s="107"/>
      <c r="M160" s="281"/>
    </row>
    <row r="161" spans="3:13" ht="15" customHeight="1" x14ac:dyDescent="0.2">
      <c r="C161" s="3" t="s">
        <v>102</v>
      </c>
      <c r="E161" s="43">
        <f>Invulsheet!E134</f>
        <v>0</v>
      </c>
      <c r="F161" s="43">
        <f>Invulsheet!F134</f>
        <v>0</v>
      </c>
      <c r="G161" s="43">
        <f>Invulsheet!G134</f>
        <v>0</v>
      </c>
      <c r="H161" s="24"/>
      <c r="I161" s="46">
        <v>100</v>
      </c>
      <c r="J161" s="46"/>
      <c r="K161" s="46"/>
      <c r="L161" s="107"/>
      <c r="M161" s="281"/>
    </row>
    <row r="162" spans="3:13" ht="15" customHeight="1" x14ac:dyDescent="0.2">
      <c r="C162" s="3" t="s">
        <v>103</v>
      </c>
      <c r="E162" s="43">
        <f>Invulsheet!E135</f>
        <v>0</v>
      </c>
      <c r="F162" s="43">
        <f>Invulsheet!F135</f>
        <v>0</v>
      </c>
      <c r="G162" s="43">
        <f>Invulsheet!G135</f>
        <v>0</v>
      </c>
      <c r="H162" s="24"/>
      <c r="I162" s="46">
        <f>70+(100-G162)*3/10</f>
        <v>100</v>
      </c>
      <c r="J162" s="46"/>
      <c r="K162" s="46"/>
      <c r="L162" s="107"/>
      <c r="M162" s="281"/>
    </row>
    <row r="163" spans="3:13" ht="15" customHeight="1" x14ac:dyDescent="0.2">
      <c r="E163" s="45"/>
      <c r="F163" s="45"/>
      <c r="G163" s="45"/>
      <c r="H163" s="24"/>
      <c r="I163" s="47"/>
      <c r="J163" s="47"/>
      <c r="K163" s="47"/>
      <c r="M163" s="281"/>
    </row>
    <row r="164" spans="3:13" ht="15" customHeight="1" x14ac:dyDescent="0.2">
      <c r="C164" s="3" t="s">
        <v>33</v>
      </c>
      <c r="D164" s="5" t="s">
        <v>49</v>
      </c>
      <c r="E164" s="45"/>
      <c r="F164" s="45"/>
      <c r="G164" s="45"/>
      <c r="H164" s="24"/>
      <c r="I164" s="47"/>
      <c r="J164" s="47"/>
      <c r="K164" s="46">
        <f>Z241</f>
        <v>0</v>
      </c>
      <c r="M164" s="281"/>
    </row>
    <row r="165" spans="3:13" ht="15" customHeight="1" x14ac:dyDescent="0.2"/>
    <row r="166" spans="3:13" ht="15" customHeight="1" x14ac:dyDescent="0.2"/>
    <row r="167" spans="3:13" ht="24" customHeight="1" x14ac:dyDescent="0.3">
      <c r="C167" s="9" t="s">
        <v>200</v>
      </c>
      <c r="D167" s="23"/>
      <c r="E167" s="12"/>
      <c r="F167" s="12"/>
      <c r="G167" s="12"/>
      <c r="H167" s="12"/>
      <c r="I167" s="12"/>
      <c r="J167" s="12"/>
      <c r="K167" s="12"/>
    </row>
    <row r="168" spans="3:13" ht="15" customHeight="1" x14ac:dyDescent="0.2"/>
    <row r="169" spans="3:13" ht="15" customHeight="1" x14ac:dyDescent="0.2">
      <c r="C169" s="3" t="s">
        <v>194</v>
      </c>
      <c r="F169" s="41">
        <f>Invulsheet!F140</f>
        <v>0</v>
      </c>
    </row>
    <row r="170" spans="3:13" ht="15" customHeight="1" x14ac:dyDescent="0.2">
      <c r="C170" s="3" t="s">
        <v>195</v>
      </c>
      <c r="F170" s="41">
        <f>Invulsheet!F141</f>
        <v>0</v>
      </c>
      <c r="J170" s="11" t="s">
        <v>94</v>
      </c>
      <c r="K170" s="11" t="s">
        <v>117</v>
      </c>
    </row>
    <row r="171" spans="3:13" ht="15" customHeight="1" x14ac:dyDescent="0.2">
      <c r="I171" s="11" t="s">
        <v>204</v>
      </c>
      <c r="J171" s="11" t="s">
        <v>206</v>
      </c>
      <c r="K171" s="11" t="s">
        <v>205</v>
      </c>
    </row>
    <row r="172" spans="3:13" ht="15" customHeight="1" x14ac:dyDescent="0.2">
      <c r="C172" s="3" t="s">
        <v>157</v>
      </c>
      <c r="I172" s="215" t="e">
        <f>VLOOKUP(F169,Data!B9:C11,2,FALSE)</f>
        <v>#N/A</v>
      </c>
      <c r="J172" s="46">
        <f>IF(F170="Gas",I172/35.17/Data!B15,0)</f>
        <v>0</v>
      </c>
      <c r="K172" s="46" t="e">
        <f>IF(F170&lt;&gt;"Gas",I172/3.6/Data!C15,0)</f>
        <v>#N/A</v>
      </c>
    </row>
    <row r="173" spans="3:13" ht="15" customHeight="1" x14ac:dyDescent="0.2">
      <c r="I173" s="47"/>
      <c r="J173" s="47"/>
      <c r="K173" s="47"/>
    </row>
    <row r="174" spans="3:13" ht="15" customHeight="1" x14ac:dyDescent="0.2"/>
    <row r="175" spans="3:13" ht="24" customHeight="1" x14ac:dyDescent="0.3">
      <c r="C175" s="9" t="s">
        <v>201</v>
      </c>
      <c r="D175" s="23"/>
      <c r="E175" s="12"/>
      <c r="F175" s="12"/>
      <c r="G175" s="12"/>
      <c r="H175" s="12"/>
      <c r="I175" s="12"/>
      <c r="J175" s="12"/>
      <c r="K175" s="12"/>
    </row>
    <row r="176" spans="3:13" ht="15" customHeight="1" x14ac:dyDescent="0.2"/>
    <row r="177" spans="3:11" ht="15" customHeight="1" x14ac:dyDescent="0.2">
      <c r="I177" s="11" t="s">
        <v>157</v>
      </c>
      <c r="J177" s="11" t="s">
        <v>157</v>
      </c>
      <c r="K177" s="11" t="s">
        <v>159</v>
      </c>
    </row>
    <row r="178" spans="3:11" ht="15" customHeight="1" x14ac:dyDescent="0.2">
      <c r="I178" s="11" t="s">
        <v>156</v>
      </c>
      <c r="J178" s="11" t="s">
        <v>48</v>
      </c>
      <c r="K178" s="11" t="s">
        <v>48</v>
      </c>
    </row>
    <row r="179" spans="3:11" ht="15" customHeight="1" x14ac:dyDescent="0.2"/>
    <row r="180" spans="3:11" ht="15" customHeight="1" x14ac:dyDescent="0.2">
      <c r="C180" s="3" t="s">
        <v>111</v>
      </c>
      <c r="D180" s="5" t="s">
        <v>112</v>
      </c>
      <c r="F180" s="43">
        <f>Invulsheet!F146</f>
        <v>0</v>
      </c>
      <c r="I180" s="200">
        <f>1.39</f>
        <v>1.39</v>
      </c>
      <c r="J180" s="46">
        <f>I180*F180*52</f>
        <v>0</v>
      </c>
      <c r="K180" s="46">
        <f>J180*0.2</f>
        <v>0</v>
      </c>
    </row>
    <row r="181" spans="3:11" ht="15" customHeight="1" x14ac:dyDescent="0.2">
      <c r="C181" s="3" t="s">
        <v>113</v>
      </c>
      <c r="D181" s="5" t="s">
        <v>112</v>
      </c>
      <c r="F181" s="43">
        <f>Invulsheet!F147</f>
        <v>0</v>
      </c>
      <c r="I181" s="201">
        <v>1.1000000000000001</v>
      </c>
      <c r="J181" s="46">
        <f>I181*F181*52</f>
        <v>0</v>
      </c>
      <c r="K181" s="46">
        <v>0</v>
      </c>
    </row>
    <row r="182" spans="3:11" ht="15" customHeight="1" x14ac:dyDescent="0.2">
      <c r="C182" s="3" t="s">
        <v>114</v>
      </c>
      <c r="D182" s="5" t="s">
        <v>112</v>
      </c>
      <c r="F182" s="43">
        <f>Invulsheet!F148</f>
        <v>0</v>
      </c>
      <c r="I182" s="200">
        <f>2.85</f>
        <v>2.85</v>
      </c>
      <c r="J182" s="46">
        <f>I182*F182*52</f>
        <v>0</v>
      </c>
      <c r="K182" s="46">
        <f>J182*0.2</f>
        <v>0</v>
      </c>
    </row>
    <row r="183" spans="3:11" ht="15" customHeight="1" x14ac:dyDescent="0.2">
      <c r="C183" s="107" t="s">
        <v>313</v>
      </c>
      <c r="D183" s="5" t="s">
        <v>48</v>
      </c>
      <c r="F183" s="41">
        <f>Invulsheet!F152</f>
        <v>0</v>
      </c>
      <c r="I183" s="169"/>
      <c r="J183" s="46">
        <f>F183</f>
        <v>0</v>
      </c>
      <c r="K183" s="46">
        <f>J183</f>
        <v>0</v>
      </c>
    </row>
    <row r="184" spans="3:11" ht="15" customHeight="1" x14ac:dyDescent="0.2">
      <c r="C184" s="3" t="s">
        <v>115</v>
      </c>
      <c r="D184" s="5" t="s">
        <v>48</v>
      </c>
      <c r="F184" s="41">
        <f>Invulsheet!F150</f>
        <v>0</v>
      </c>
      <c r="J184" s="46">
        <f>F184</f>
        <v>0</v>
      </c>
      <c r="K184" s="46">
        <f>F184</f>
        <v>0</v>
      </c>
    </row>
    <row r="185" spans="3:11" ht="15" customHeight="1" x14ac:dyDescent="0.2">
      <c r="C185" s="190" t="s">
        <v>32</v>
      </c>
      <c r="D185" s="5" t="s">
        <v>48</v>
      </c>
      <c r="F185" s="41">
        <f>Invulsheet!G166</f>
        <v>0</v>
      </c>
      <c r="J185" s="46">
        <f>F185</f>
        <v>0</v>
      </c>
      <c r="K185" s="46">
        <f>F185</f>
        <v>0</v>
      </c>
    </row>
    <row r="186" spans="3:11" ht="15" customHeight="1" x14ac:dyDescent="0.2"/>
    <row r="187" spans="3:11" ht="15" customHeight="1" x14ac:dyDescent="0.2">
      <c r="C187" s="3" t="s">
        <v>33</v>
      </c>
      <c r="J187" s="46">
        <f>SUM(J180:J185)</f>
        <v>0</v>
      </c>
      <c r="K187" s="46">
        <f>SUM(K180:K185)</f>
        <v>0</v>
      </c>
    </row>
    <row r="188" spans="3:11" ht="15" customHeight="1" x14ac:dyDescent="0.2"/>
    <row r="189" spans="3:11" ht="15" customHeight="1" x14ac:dyDescent="0.2"/>
    <row r="190" spans="3:11" ht="24" customHeight="1" x14ac:dyDescent="0.3">
      <c r="C190" s="9" t="s">
        <v>202</v>
      </c>
      <c r="D190" s="23"/>
      <c r="E190" s="12"/>
      <c r="F190" s="12"/>
      <c r="G190" s="12"/>
      <c r="H190" s="12"/>
      <c r="I190" s="12"/>
      <c r="J190" s="12"/>
      <c r="K190" s="12"/>
    </row>
    <row r="191" spans="3:11" ht="15" customHeight="1" x14ac:dyDescent="0.2"/>
    <row r="192" spans="3:11" ht="15" customHeight="1" x14ac:dyDescent="0.2">
      <c r="C192" s="3" t="s">
        <v>160</v>
      </c>
      <c r="D192" s="5" t="s">
        <v>288</v>
      </c>
      <c r="J192" s="46">
        <f>F25*0.1*F26/100*30.4*24</f>
        <v>0</v>
      </c>
    </row>
    <row r="193" spans="1:11" ht="15" customHeight="1" x14ac:dyDescent="0.2">
      <c r="C193" s="3" t="s">
        <v>161</v>
      </c>
      <c r="D193" s="5" t="s">
        <v>288</v>
      </c>
      <c r="J193" s="46">
        <f>K187/12</f>
        <v>0</v>
      </c>
    </row>
    <row r="194" spans="1:11" s="107" customFormat="1" ht="15" customHeight="1" x14ac:dyDescent="0.2">
      <c r="A194" s="112"/>
      <c r="D194" s="5"/>
      <c r="E194" s="11"/>
      <c r="F194" s="11"/>
      <c r="G194" s="11"/>
      <c r="H194" s="11"/>
      <c r="I194" s="11"/>
      <c r="J194" s="11"/>
      <c r="K194" s="11"/>
    </row>
    <row r="195" spans="1:11" s="107" customFormat="1" ht="15" customHeight="1" x14ac:dyDescent="0.2">
      <c r="A195" s="112"/>
      <c r="C195" s="107" t="s">
        <v>271</v>
      </c>
      <c r="D195" s="5" t="s">
        <v>288</v>
      </c>
      <c r="E195" s="11"/>
      <c r="F195" s="11"/>
      <c r="G195" s="11"/>
      <c r="H195" s="11"/>
      <c r="I195" s="11"/>
      <c r="J195" s="46">
        <f>J88/12</f>
        <v>0</v>
      </c>
      <c r="K195" s="11"/>
    </row>
    <row r="196" spans="1:11" ht="15" customHeight="1" x14ac:dyDescent="0.2"/>
    <row r="197" spans="1:11" ht="15" customHeight="1" x14ac:dyDescent="0.2">
      <c r="C197" s="3" t="s">
        <v>308</v>
      </c>
      <c r="D197" s="5" t="s">
        <v>289</v>
      </c>
      <c r="J197" s="46">
        <f>SUM(J192:J195)*3.6</f>
        <v>0</v>
      </c>
    </row>
    <row r="198" spans="1:11" s="107" customFormat="1" ht="15" customHeight="1" x14ac:dyDescent="0.2">
      <c r="A198" s="112"/>
      <c r="C198" s="107" t="s">
        <v>309</v>
      </c>
      <c r="D198" s="176" t="s">
        <v>49</v>
      </c>
      <c r="E198" s="11"/>
      <c r="F198" s="11"/>
      <c r="G198" s="11"/>
      <c r="H198" s="11"/>
      <c r="I198" s="11"/>
      <c r="J198" s="46">
        <f>AA241</f>
        <v>0</v>
      </c>
      <c r="K198" s="11"/>
    </row>
    <row r="199" spans="1:11" ht="15" customHeight="1" x14ac:dyDescent="0.2"/>
    <row r="200" spans="1:11" ht="15" customHeight="1" x14ac:dyDescent="0.2"/>
    <row r="201" spans="1:11" ht="24" customHeight="1" x14ac:dyDescent="0.3">
      <c r="C201" s="9" t="s">
        <v>203</v>
      </c>
      <c r="D201" s="23"/>
      <c r="E201" s="12"/>
      <c r="F201" s="12"/>
      <c r="G201" s="12"/>
      <c r="H201" s="12"/>
      <c r="I201" s="12"/>
      <c r="J201" s="12"/>
      <c r="K201" s="12"/>
    </row>
    <row r="202" spans="1:11" ht="15" customHeight="1" x14ac:dyDescent="0.2"/>
    <row r="203" spans="1:11" ht="15" customHeight="1" x14ac:dyDescent="0.2">
      <c r="C203" s="3" t="s">
        <v>36</v>
      </c>
      <c r="D203" s="5" t="s">
        <v>49</v>
      </c>
      <c r="J203" s="46">
        <f>-AD241</f>
        <v>0</v>
      </c>
    </row>
    <row r="204" spans="1:11" ht="15" customHeight="1" x14ac:dyDescent="0.2">
      <c r="C204" s="3" t="s">
        <v>21</v>
      </c>
      <c r="D204" s="5" t="s">
        <v>49</v>
      </c>
      <c r="J204" s="46">
        <f>-AC241</f>
        <v>0</v>
      </c>
    </row>
    <row r="205" spans="1:11" ht="15" customHeight="1" x14ac:dyDescent="0.2">
      <c r="C205" s="3" t="s">
        <v>35</v>
      </c>
      <c r="D205" s="5" t="s">
        <v>49</v>
      </c>
      <c r="J205" s="46">
        <f>-K164</f>
        <v>0</v>
      </c>
    </row>
    <row r="206" spans="1:11" ht="15" customHeight="1" x14ac:dyDescent="0.2">
      <c r="C206" s="3" t="s">
        <v>47</v>
      </c>
      <c r="D206" s="5" t="s">
        <v>49</v>
      </c>
      <c r="J206" s="46">
        <f>-J198</f>
        <v>0</v>
      </c>
    </row>
    <row r="207" spans="1:11" ht="15" customHeight="1" x14ac:dyDescent="0.2"/>
    <row r="208" spans="1:11" ht="15" customHeight="1" x14ac:dyDescent="0.2">
      <c r="C208" s="3" t="s">
        <v>164</v>
      </c>
      <c r="D208" s="5" t="s">
        <v>49</v>
      </c>
      <c r="J208" s="46">
        <f>MAX(0, SUM(J203:J206))</f>
        <v>0</v>
      </c>
    </row>
    <row r="209" spans="1:11" ht="15" customHeight="1" x14ac:dyDescent="0.2">
      <c r="C209" s="3" t="s">
        <v>165</v>
      </c>
      <c r="D209" s="5" t="s">
        <v>49</v>
      </c>
      <c r="J209" s="46" t="e">
        <f>(I151+I144)*1000</f>
        <v>#DIV/0!</v>
      </c>
    </row>
    <row r="210" spans="1:11" ht="15" customHeight="1" x14ac:dyDescent="0.2"/>
    <row r="211" spans="1:11" ht="15" customHeight="1" x14ac:dyDescent="0.2"/>
    <row r="212" spans="1:11" s="107" customFormat="1" ht="24" customHeight="1" x14ac:dyDescent="0.3">
      <c r="A212" s="112"/>
      <c r="C212" s="9" t="s">
        <v>272</v>
      </c>
      <c r="D212" s="23"/>
      <c r="E212" s="12"/>
      <c r="F212" s="12"/>
      <c r="G212" s="12"/>
      <c r="H212" s="12"/>
      <c r="I212" s="12"/>
      <c r="J212" s="12"/>
      <c r="K212" s="12"/>
    </row>
    <row r="213" spans="1:11" s="107" customFormat="1" ht="15" customHeight="1" x14ac:dyDescent="0.2">
      <c r="A213" s="112"/>
      <c r="D213" s="5"/>
      <c r="E213" s="11"/>
      <c r="F213" s="11"/>
      <c r="G213" s="11"/>
      <c r="H213" s="11"/>
      <c r="I213" s="11"/>
      <c r="J213" s="11"/>
      <c r="K213" s="11"/>
    </row>
    <row r="214" spans="1:11" ht="15" customHeight="1" x14ac:dyDescent="0.2">
      <c r="C214" s="107" t="s">
        <v>233</v>
      </c>
      <c r="D214" s="5" t="s">
        <v>236</v>
      </c>
      <c r="F214" s="41">
        <f>Invulsheet!F172</f>
        <v>7</v>
      </c>
    </row>
    <row r="215" spans="1:11" ht="15" customHeight="1" x14ac:dyDescent="0.2">
      <c r="C215" s="107" t="s">
        <v>234</v>
      </c>
      <c r="D215" s="5" t="s">
        <v>235</v>
      </c>
      <c r="F215" s="41">
        <f>Invulsheet!F173</f>
        <v>225</v>
      </c>
    </row>
    <row r="216" spans="1:11" ht="15" customHeight="1" x14ac:dyDescent="0.2">
      <c r="C216" s="107" t="s">
        <v>237</v>
      </c>
      <c r="F216" s="41" t="str">
        <f>Invulsheet!F174</f>
        <v>West</v>
      </c>
      <c r="J216" s="38">
        <f>IFERROR(VLOOKUP(F216,Data!F33:H37,2,FALSE),0)</f>
        <v>0.8</v>
      </c>
    </row>
    <row r="217" spans="1:11" ht="15" customHeight="1" x14ac:dyDescent="0.2">
      <c r="C217" s="107" t="s">
        <v>238</v>
      </c>
      <c r="D217" s="5" t="s">
        <v>243</v>
      </c>
      <c r="F217" s="41">
        <f>Invulsheet!F175</f>
        <v>40</v>
      </c>
      <c r="J217" s="38">
        <f>VLOOKUP(F217,Data!I33:J51,2,FALSE)</f>
        <v>0.99099099099099097</v>
      </c>
    </row>
    <row r="218" spans="1:11" ht="15" customHeight="1" x14ac:dyDescent="0.2">
      <c r="C218" s="190" t="s">
        <v>310</v>
      </c>
      <c r="F218" s="41">
        <f>Invulsheet!F176</f>
        <v>0</v>
      </c>
    </row>
    <row r="219" spans="1:11" ht="15" customHeight="1" x14ac:dyDescent="0.2">
      <c r="C219" s="107" t="s">
        <v>244</v>
      </c>
      <c r="D219" s="5" t="s">
        <v>48</v>
      </c>
      <c r="J219" s="46">
        <f>F214*F215*J216*J217*(1-F218)</f>
        <v>1248.6486486486485</v>
      </c>
    </row>
    <row r="220" spans="1:11" ht="15" customHeight="1" x14ac:dyDescent="0.2"/>
    <row r="221" spans="1:11" ht="15" customHeight="1" x14ac:dyDescent="0.2"/>
    <row r="222" spans="1:11" ht="15" customHeight="1" x14ac:dyDescent="0.2"/>
    <row r="223" spans="1:11" ht="15" customHeight="1" x14ac:dyDescent="0.2"/>
    <row r="224" spans="1:11" ht="24" customHeight="1" x14ac:dyDescent="0.3">
      <c r="C224" s="9" t="s">
        <v>287</v>
      </c>
      <c r="D224" s="23"/>
      <c r="E224" s="12"/>
      <c r="F224" s="12"/>
      <c r="G224" s="12"/>
      <c r="H224" s="12"/>
      <c r="I224" s="12"/>
      <c r="J224" s="12"/>
      <c r="K224" s="12"/>
    </row>
    <row r="225" spans="1:36" s="107" customFormat="1" ht="15" customHeight="1" x14ac:dyDescent="0.2">
      <c r="A225" s="112"/>
      <c r="D225" s="5"/>
      <c r="E225" s="11"/>
      <c r="F225" s="11"/>
      <c r="G225" s="11"/>
      <c r="H225" s="11"/>
      <c r="I225" s="11"/>
      <c r="J225" s="11"/>
      <c r="K225" s="11"/>
    </row>
    <row r="226" spans="1:36" s="107" customFormat="1" ht="15" customHeight="1" x14ac:dyDescent="0.2">
      <c r="A226" s="112"/>
      <c r="D226" s="176"/>
      <c r="E226" s="11"/>
      <c r="F226" s="11"/>
      <c r="G226" s="11"/>
      <c r="H226" s="11"/>
      <c r="I226" s="11"/>
      <c r="J226" s="11"/>
      <c r="K226" s="11"/>
      <c r="R226" s="277" t="s">
        <v>302</v>
      </c>
      <c r="S226" s="277"/>
      <c r="T226" s="277"/>
      <c r="U226" s="277"/>
      <c r="V226" s="277"/>
      <c r="W226" s="277"/>
      <c r="X226" s="277"/>
      <c r="Z226" s="278" t="s">
        <v>303</v>
      </c>
      <c r="AA226" s="278"/>
    </row>
    <row r="227" spans="1:36" s="179" customFormat="1" ht="21" customHeight="1" x14ac:dyDescent="0.2">
      <c r="A227" s="178"/>
      <c r="C227" s="179" t="s">
        <v>293</v>
      </c>
      <c r="D227" s="173"/>
      <c r="Q227" s="180" t="s">
        <v>137</v>
      </c>
      <c r="R227" s="180" t="s">
        <v>1</v>
      </c>
      <c r="S227" s="180" t="s">
        <v>2</v>
      </c>
      <c r="T227" s="180" t="s">
        <v>3</v>
      </c>
      <c r="U227" s="180" t="s">
        <v>4</v>
      </c>
      <c r="V227" s="181" t="s">
        <v>158</v>
      </c>
      <c r="W227" s="11" t="s">
        <v>295</v>
      </c>
      <c r="X227" s="181" t="s">
        <v>296</v>
      </c>
      <c r="Z227" s="181" t="s">
        <v>304</v>
      </c>
      <c r="AA227" s="181" t="s">
        <v>295</v>
      </c>
      <c r="AB227" s="181"/>
      <c r="AC227" s="181" t="s">
        <v>297</v>
      </c>
      <c r="AD227" s="181" t="s">
        <v>298</v>
      </c>
      <c r="AE227" s="181" t="s">
        <v>299</v>
      </c>
      <c r="AF227" s="181"/>
      <c r="AG227" s="181" t="s">
        <v>300</v>
      </c>
      <c r="AH227" s="181" t="s">
        <v>301</v>
      </c>
      <c r="AJ227" s="182" t="s">
        <v>33</v>
      </c>
    </row>
    <row r="228" spans="1:36" ht="15" customHeight="1" x14ac:dyDescent="0.2">
      <c r="Q228" s="169">
        <f>Data!J4</f>
        <v>6</v>
      </c>
      <c r="R228" s="183">
        <f>$E$159*$F$159*$I$159/100*Data!L4</f>
        <v>0</v>
      </c>
      <c r="S228" s="183">
        <f>$E$160*$F$160*$I$160/100*Data!M4</f>
        <v>0</v>
      </c>
      <c r="T228" s="183">
        <f>$E$161*$F$161*$I$161/100*Data!N4</f>
        <v>0</v>
      </c>
      <c r="U228" s="183">
        <f>$E$162*$F$162*$I$162/100*Data!O4</f>
        <v>0</v>
      </c>
      <c r="V228" s="183">
        <f t="shared" ref="V228:V234" si="13">SUM(R228:U228)</f>
        <v>0</v>
      </c>
      <c r="W228" s="183">
        <f>$J$197</f>
        <v>0</v>
      </c>
      <c r="X228" s="183">
        <f>SUM(V228:W228)</f>
        <v>0</v>
      </c>
      <c r="Y228" s="27"/>
      <c r="Z228" s="183" t="e">
        <f>V228*AH228</f>
        <v>#DIV/0!</v>
      </c>
      <c r="AA228" s="183" t="e">
        <f>W228*AH228</f>
        <v>#DIV/0!</v>
      </c>
      <c r="AB228" s="27"/>
      <c r="AC228" s="183">
        <f>$K$67*(Data!$K4-$J$23)*30.5*86400/1000000</f>
        <v>0</v>
      </c>
      <c r="AD228" s="183" t="e">
        <f>$J$85*(Data!$K4-$J$23)*30.5*86400/1000000</f>
        <v>#DIV/0!</v>
      </c>
      <c r="AE228" s="183" t="e">
        <f>IF(-1*SUM(AC228:AD228) &lt; 1,1,-1*SUM(AC228:AD228) )</f>
        <v>#DIV/0!</v>
      </c>
      <c r="AF228" s="27"/>
      <c r="AG228" s="184" t="e">
        <f t="shared" ref="AG228:AG239" si="14">X228/AE228</f>
        <v>#DIV/0!</v>
      </c>
      <c r="AH228" s="184" t="e">
        <f>VLOOKUP(AG228,Data!$B$35:$C$55,2)</f>
        <v>#DIV/0!</v>
      </c>
      <c r="AJ228" s="174" t="e">
        <f>SUM(Z228,AA228,AC228,AD228)</f>
        <v>#DIV/0!</v>
      </c>
    </row>
    <row r="229" spans="1:36" ht="15" customHeight="1" x14ac:dyDescent="0.2">
      <c r="Q229" s="169">
        <f>Data!J5</f>
        <v>7</v>
      </c>
      <c r="R229" s="183">
        <f>$E$159*$F$159*$I$159/100*Data!L5</f>
        <v>0</v>
      </c>
      <c r="S229" s="183">
        <f>$E$160*$F$160*$I$160/100*Data!M5</f>
        <v>0</v>
      </c>
      <c r="T229" s="183">
        <f>$E$161*$F$161*$I$161/100*Data!N5</f>
        <v>0</v>
      </c>
      <c r="U229" s="183">
        <f>$E$162*$F$162*$I$162/100*Data!O5</f>
        <v>0</v>
      </c>
      <c r="V229" s="183">
        <f t="shared" si="13"/>
        <v>0</v>
      </c>
      <c r="W229" s="183">
        <f t="shared" ref="W229:W239" si="15">$J$197</f>
        <v>0</v>
      </c>
      <c r="X229" s="183">
        <f t="shared" ref="X229:X239" si="16">SUM(V229:W229)</f>
        <v>0</v>
      </c>
      <c r="Y229" s="27"/>
      <c r="Z229" s="183" t="e">
        <f t="shared" ref="Z229:Z239" si="17">V229*AH229</f>
        <v>#DIV/0!</v>
      </c>
      <c r="AA229" s="183" t="e">
        <f t="shared" ref="AA229:AA239" si="18">W229*AH229</f>
        <v>#DIV/0!</v>
      </c>
      <c r="AB229" s="27"/>
      <c r="AC229" s="183">
        <f>$K$67*(Data!$K5-$J$23)*30.5*86400/1000000</f>
        <v>0</v>
      </c>
      <c r="AD229" s="183" t="e">
        <f>$J$85*(Data!$K5-$J$23)*30.5*86400/1000000</f>
        <v>#DIV/0!</v>
      </c>
      <c r="AE229" s="183" t="e">
        <f t="shared" ref="AE229:AE239" si="19">IF(-1*SUM(AC229:AD229) &lt; 1,1,-1*SUM(AC229:AD229) )</f>
        <v>#DIV/0!</v>
      </c>
      <c r="AF229" s="27"/>
      <c r="AG229" s="184" t="e">
        <f t="shared" si="14"/>
        <v>#DIV/0!</v>
      </c>
      <c r="AH229" s="184" t="e">
        <f>VLOOKUP(AG229,Data!$B$35:$C$55,2)</f>
        <v>#DIV/0!</v>
      </c>
      <c r="AJ229" s="174" t="e">
        <f t="shared" ref="AJ229:AJ239" si="20">SUM(Z229,AA229,AC229,AD229)</f>
        <v>#DIV/0!</v>
      </c>
    </row>
    <row r="230" spans="1:36" ht="15" customHeight="1" x14ac:dyDescent="0.2">
      <c r="Q230" s="169">
        <f>Data!J6</f>
        <v>8</v>
      </c>
      <c r="R230" s="183">
        <f>$E$159*$F$159*$I$159/100*Data!L6</f>
        <v>0</v>
      </c>
      <c r="S230" s="183">
        <f>$E$160*$F$160*$I$160/100*Data!M6</f>
        <v>0</v>
      </c>
      <c r="T230" s="183">
        <f>$E$161*$F$161*$I$161/100*Data!N6</f>
        <v>0</v>
      </c>
      <c r="U230" s="183">
        <f>$E$162*$F$162*$I$162/100*Data!O6</f>
        <v>0</v>
      </c>
      <c r="V230" s="183">
        <f t="shared" si="13"/>
        <v>0</v>
      </c>
      <c r="W230" s="183">
        <f t="shared" si="15"/>
        <v>0</v>
      </c>
      <c r="X230" s="183">
        <f t="shared" si="16"/>
        <v>0</v>
      </c>
      <c r="Y230" s="27"/>
      <c r="Z230" s="183" t="e">
        <f t="shared" si="17"/>
        <v>#DIV/0!</v>
      </c>
      <c r="AA230" s="183" t="e">
        <f t="shared" si="18"/>
        <v>#DIV/0!</v>
      </c>
      <c r="AB230" s="27"/>
      <c r="AC230" s="183">
        <f>$K$67*(Data!$K6-$J$23)*30.5*86400/1000000</f>
        <v>0</v>
      </c>
      <c r="AD230" s="183" t="e">
        <f>$J$85*(Data!$K6-$J$23)*30.5*86400/1000000</f>
        <v>#DIV/0!</v>
      </c>
      <c r="AE230" s="183" t="e">
        <f t="shared" si="19"/>
        <v>#DIV/0!</v>
      </c>
      <c r="AF230" s="27"/>
      <c r="AG230" s="184" t="e">
        <f t="shared" si="14"/>
        <v>#DIV/0!</v>
      </c>
      <c r="AH230" s="184" t="e">
        <f>VLOOKUP(AG230,Data!$B$35:$C$55,2)</f>
        <v>#DIV/0!</v>
      </c>
      <c r="AJ230" s="174" t="e">
        <f t="shared" si="20"/>
        <v>#DIV/0!</v>
      </c>
    </row>
    <row r="231" spans="1:36" ht="15" customHeight="1" x14ac:dyDescent="0.2">
      <c r="Q231" s="169">
        <f>Data!J7</f>
        <v>9</v>
      </c>
      <c r="R231" s="183">
        <f>$E$159*$F$159*$I$159/100*Data!L7</f>
        <v>0</v>
      </c>
      <c r="S231" s="183">
        <f>$E$160*$F$160*$I$160/100*Data!M7</f>
        <v>0</v>
      </c>
      <c r="T231" s="183">
        <f>$E$161*$F$161*$I$161/100*Data!N7</f>
        <v>0</v>
      </c>
      <c r="U231" s="183">
        <f>$E$162*$F$162*$I$162/100*Data!O7</f>
        <v>0</v>
      </c>
      <c r="V231" s="183">
        <f t="shared" si="13"/>
        <v>0</v>
      </c>
      <c r="W231" s="183">
        <f t="shared" si="15"/>
        <v>0</v>
      </c>
      <c r="X231" s="183">
        <f t="shared" si="16"/>
        <v>0</v>
      </c>
      <c r="Y231" s="27"/>
      <c r="Z231" s="183" t="e">
        <f t="shared" si="17"/>
        <v>#DIV/0!</v>
      </c>
      <c r="AA231" s="183" t="e">
        <f t="shared" si="18"/>
        <v>#DIV/0!</v>
      </c>
      <c r="AB231" s="27"/>
      <c r="AC231" s="183">
        <f>$K$67*(Data!$K7-$J$23)*30.5*86400/1000000</f>
        <v>0</v>
      </c>
      <c r="AD231" s="183" t="e">
        <f>$J$85*(Data!$K7-$J$23)*30.5*86400/1000000</f>
        <v>#DIV/0!</v>
      </c>
      <c r="AE231" s="183" t="e">
        <f t="shared" si="19"/>
        <v>#DIV/0!</v>
      </c>
      <c r="AF231" s="27"/>
      <c r="AG231" s="184" t="e">
        <f t="shared" si="14"/>
        <v>#DIV/0!</v>
      </c>
      <c r="AH231" s="184" t="e">
        <f>VLOOKUP(AG231,Data!$B$35:$C$55,2)</f>
        <v>#DIV/0!</v>
      </c>
      <c r="AJ231" s="174" t="e">
        <f t="shared" si="20"/>
        <v>#DIV/0!</v>
      </c>
    </row>
    <row r="232" spans="1:36" ht="15" customHeight="1" x14ac:dyDescent="0.2">
      <c r="Q232" s="169">
        <f>Data!J8</f>
        <v>10</v>
      </c>
      <c r="R232" s="183">
        <f>$E$159*$F$159*$I$159/100*Data!L8</f>
        <v>0</v>
      </c>
      <c r="S232" s="183">
        <f>$E$160*$F$160*$I$160/100*Data!M8</f>
        <v>0</v>
      </c>
      <c r="T232" s="183">
        <f>$E$161*$F$161*$I$161/100*Data!N8</f>
        <v>0</v>
      </c>
      <c r="U232" s="183">
        <f>$E$162*$F$162*$I$162/100*Data!O8</f>
        <v>0</v>
      </c>
      <c r="V232" s="183">
        <f t="shared" si="13"/>
        <v>0</v>
      </c>
      <c r="W232" s="183">
        <f t="shared" si="15"/>
        <v>0</v>
      </c>
      <c r="X232" s="183">
        <f t="shared" si="16"/>
        <v>0</v>
      </c>
      <c r="Y232" s="27"/>
      <c r="Z232" s="183" t="e">
        <f t="shared" si="17"/>
        <v>#DIV/0!</v>
      </c>
      <c r="AA232" s="183" t="e">
        <f t="shared" si="18"/>
        <v>#DIV/0!</v>
      </c>
      <c r="AB232" s="27"/>
      <c r="AC232" s="183">
        <f>$K$67*(Data!$K8-$J$23)*30.5*86400/1000000</f>
        <v>0</v>
      </c>
      <c r="AD232" s="183" t="e">
        <f>$J$85*(Data!$K8-$J$23)*30.5*86400/1000000</f>
        <v>#DIV/0!</v>
      </c>
      <c r="AE232" s="183" t="e">
        <f t="shared" si="19"/>
        <v>#DIV/0!</v>
      </c>
      <c r="AF232" s="27"/>
      <c r="AG232" s="184" t="e">
        <f t="shared" si="14"/>
        <v>#DIV/0!</v>
      </c>
      <c r="AH232" s="184" t="e">
        <f>VLOOKUP(AG232,Data!$B$35:$C$55,2)</f>
        <v>#DIV/0!</v>
      </c>
      <c r="AJ232" s="174" t="e">
        <f t="shared" si="20"/>
        <v>#DIV/0!</v>
      </c>
    </row>
    <row r="233" spans="1:36" ht="15" customHeight="1" x14ac:dyDescent="0.2">
      <c r="Q233" s="169">
        <f>Data!J9</f>
        <v>11</v>
      </c>
      <c r="R233" s="183">
        <f>$E$159*$F$159*$I$159/100*Data!L9</f>
        <v>0</v>
      </c>
      <c r="S233" s="183">
        <f>$E$160*$F$160*$I$160/100*Data!M9</f>
        <v>0</v>
      </c>
      <c r="T233" s="183">
        <f>$E$161*$F$161*$I$161/100*Data!N9</f>
        <v>0</v>
      </c>
      <c r="U233" s="183">
        <f>$E$162*$F$162*$I$162/100*Data!O9</f>
        <v>0</v>
      </c>
      <c r="V233" s="183">
        <f t="shared" si="13"/>
        <v>0</v>
      </c>
      <c r="W233" s="183">
        <f t="shared" si="15"/>
        <v>0</v>
      </c>
      <c r="X233" s="183">
        <f t="shared" si="16"/>
        <v>0</v>
      </c>
      <c r="Y233" s="27"/>
      <c r="Z233" s="183" t="e">
        <f t="shared" si="17"/>
        <v>#DIV/0!</v>
      </c>
      <c r="AA233" s="183" t="e">
        <f t="shared" si="18"/>
        <v>#DIV/0!</v>
      </c>
      <c r="AB233" s="27"/>
      <c r="AC233" s="183">
        <f>$K$67*(Data!$K9-$J$23)*30.5*86400/1000000</f>
        <v>0</v>
      </c>
      <c r="AD233" s="183" t="e">
        <f>$J$85*(Data!$K9-$J$23)*30.5*86400/1000000</f>
        <v>#DIV/0!</v>
      </c>
      <c r="AE233" s="183" t="e">
        <f t="shared" si="19"/>
        <v>#DIV/0!</v>
      </c>
      <c r="AF233" s="27"/>
      <c r="AG233" s="184" t="e">
        <f t="shared" si="14"/>
        <v>#DIV/0!</v>
      </c>
      <c r="AH233" s="184" t="e">
        <f>VLOOKUP(AG233,Data!$B$35:$C$55,2)</f>
        <v>#DIV/0!</v>
      </c>
      <c r="AJ233" s="174" t="e">
        <f t="shared" si="20"/>
        <v>#DIV/0!</v>
      </c>
    </row>
    <row r="234" spans="1:36" ht="15" customHeight="1" x14ac:dyDescent="0.2">
      <c r="Q234" s="169">
        <f>Data!J10</f>
        <v>12</v>
      </c>
      <c r="R234" s="183">
        <f>$E$159*$F$159*$I$159/100*Data!L10</f>
        <v>0</v>
      </c>
      <c r="S234" s="183">
        <f>$E$160*$F$160*$I$160/100*Data!M10</f>
        <v>0</v>
      </c>
      <c r="T234" s="183">
        <f>$E$161*$F$161*$I$161/100*Data!N10</f>
        <v>0</v>
      </c>
      <c r="U234" s="183">
        <f>$E$162*$F$162*$I$162/100*Data!O10</f>
        <v>0</v>
      </c>
      <c r="V234" s="183">
        <f t="shared" si="13"/>
        <v>0</v>
      </c>
      <c r="W234" s="183">
        <f t="shared" si="15"/>
        <v>0</v>
      </c>
      <c r="X234" s="183">
        <f t="shared" si="16"/>
        <v>0</v>
      </c>
      <c r="Y234" s="27"/>
      <c r="Z234" s="183" t="e">
        <f t="shared" si="17"/>
        <v>#DIV/0!</v>
      </c>
      <c r="AA234" s="183" t="e">
        <f t="shared" si="18"/>
        <v>#DIV/0!</v>
      </c>
      <c r="AB234" s="27"/>
      <c r="AC234" s="183">
        <f>$K$67*(Data!$K10-$J$23)*30.5*86400/1000000</f>
        <v>0</v>
      </c>
      <c r="AD234" s="183" t="e">
        <f>$J$85*(Data!$K10-$J$23)*30.5*86400/1000000</f>
        <v>#DIV/0!</v>
      </c>
      <c r="AE234" s="183" t="e">
        <f t="shared" si="19"/>
        <v>#DIV/0!</v>
      </c>
      <c r="AF234" s="27"/>
      <c r="AG234" s="184" t="e">
        <f t="shared" si="14"/>
        <v>#DIV/0!</v>
      </c>
      <c r="AH234" s="184" t="e">
        <f>VLOOKUP(AG234,Data!$B$35:$C$55,2)</f>
        <v>#DIV/0!</v>
      </c>
      <c r="AJ234" s="174" t="e">
        <f t="shared" si="20"/>
        <v>#DIV/0!</v>
      </c>
    </row>
    <row r="235" spans="1:36" ht="15" customHeight="1" x14ac:dyDescent="0.2">
      <c r="Q235" s="169">
        <f>Data!J11</f>
        <v>1</v>
      </c>
      <c r="R235" s="183">
        <f>$E$159*$F$159*$I$159/100*Data!L11</f>
        <v>0</v>
      </c>
      <c r="S235" s="183">
        <f>$E$160*$F$160*$I$160/100*Data!M11</f>
        <v>0</v>
      </c>
      <c r="T235" s="183">
        <f>$E$161*$F$161*$I$161/100*Data!N11</f>
        <v>0</v>
      </c>
      <c r="U235" s="183">
        <f>$E$162*$F$162*$I$162/100*Data!O11</f>
        <v>0</v>
      </c>
      <c r="V235" s="183">
        <f>SUM(R235:U235)</f>
        <v>0</v>
      </c>
      <c r="W235" s="183">
        <f t="shared" si="15"/>
        <v>0</v>
      </c>
      <c r="X235" s="183">
        <f t="shared" si="16"/>
        <v>0</v>
      </c>
      <c r="Y235" s="27"/>
      <c r="Z235" s="183" t="e">
        <f t="shared" si="17"/>
        <v>#DIV/0!</v>
      </c>
      <c r="AA235" s="183" t="e">
        <f t="shared" si="18"/>
        <v>#DIV/0!</v>
      </c>
      <c r="AB235" s="27"/>
      <c r="AC235" s="183">
        <f>$K$67*(Data!$K11-$J$23)*30.5*86400/1000000</f>
        <v>0</v>
      </c>
      <c r="AD235" s="183" t="e">
        <f>$J$85*(Data!$K11-$J$23)*30.5*86400/1000000</f>
        <v>#DIV/0!</v>
      </c>
      <c r="AE235" s="183" t="e">
        <f t="shared" si="19"/>
        <v>#DIV/0!</v>
      </c>
      <c r="AF235" s="27"/>
      <c r="AG235" s="184" t="e">
        <f t="shared" si="14"/>
        <v>#DIV/0!</v>
      </c>
      <c r="AH235" s="184" t="e">
        <f>VLOOKUP(AG235,Data!$B$35:$C$55,2)</f>
        <v>#DIV/0!</v>
      </c>
      <c r="AJ235" s="174" t="e">
        <f t="shared" si="20"/>
        <v>#DIV/0!</v>
      </c>
    </row>
    <row r="236" spans="1:36" ht="15" customHeight="1" x14ac:dyDescent="0.2">
      <c r="Q236" s="169">
        <f>Data!J12</f>
        <v>2</v>
      </c>
      <c r="R236" s="183">
        <f>$E$159*$F$159*$I$159/100*Data!L12</f>
        <v>0</v>
      </c>
      <c r="S236" s="183">
        <f>$E$160*$F$160*$I$160/100*Data!M12</f>
        <v>0</v>
      </c>
      <c r="T236" s="183">
        <f>$E$161*$F$161*$I$161/100*Data!N12</f>
        <v>0</v>
      </c>
      <c r="U236" s="183">
        <f>$E$162*$F$162*$I$162/100*Data!O12</f>
        <v>0</v>
      </c>
      <c r="V236" s="183">
        <f t="shared" ref="V236:V239" si="21">SUM(R236:U236)</f>
        <v>0</v>
      </c>
      <c r="W236" s="183">
        <f t="shared" si="15"/>
        <v>0</v>
      </c>
      <c r="X236" s="183">
        <f t="shared" si="16"/>
        <v>0</v>
      </c>
      <c r="Y236" s="27"/>
      <c r="Z236" s="183" t="e">
        <f t="shared" si="17"/>
        <v>#DIV/0!</v>
      </c>
      <c r="AA236" s="183" t="e">
        <f t="shared" si="18"/>
        <v>#DIV/0!</v>
      </c>
      <c r="AB236" s="27"/>
      <c r="AC236" s="183">
        <f>$K$67*(Data!$K12-$J$23)*30.5*86400/1000000</f>
        <v>0</v>
      </c>
      <c r="AD236" s="183" t="e">
        <f>$J$85*(Data!$K12-$J$23)*30.5*86400/1000000</f>
        <v>#DIV/0!</v>
      </c>
      <c r="AE236" s="183" t="e">
        <f t="shared" si="19"/>
        <v>#DIV/0!</v>
      </c>
      <c r="AF236" s="27"/>
      <c r="AG236" s="184" t="e">
        <f t="shared" si="14"/>
        <v>#DIV/0!</v>
      </c>
      <c r="AH236" s="184" t="e">
        <f>VLOOKUP(AG236,Data!$B$35:$C$55,2)</f>
        <v>#DIV/0!</v>
      </c>
      <c r="AJ236" s="174" t="e">
        <f t="shared" si="20"/>
        <v>#DIV/0!</v>
      </c>
    </row>
    <row r="237" spans="1:36" ht="15" customHeight="1" x14ac:dyDescent="0.2">
      <c r="Q237" s="169">
        <f>Data!J13</f>
        <v>3</v>
      </c>
      <c r="R237" s="183">
        <f>$E$159*$F$159*$I$159/100*Data!L13</f>
        <v>0</v>
      </c>
      <c r="S237" s="183">
        <f>$E$160*$F$160*$I$160/100*Data!M13</f>
        <v>0</v>
      </c>
      <c r="T237" s="183">
        <f>$E$161*$F$161*$I$161/100*Data!N13</f>
        <v>0</v>
      </c>
      <c r="U237" s="183">
        <f>$E$162*$F$162*$I$162/100*Data!O13</f>
        <v>0</v>
      </c>
      <c r="V237" s="183">
        <f t="shared" si="21"/>
        <v>0</v>
      </c>
      <c r="W237" s="183">
        <f t="shared" si="15"/>
        <v>0</v>
      </c>
      <c r="X237" s="183">
        <f t="shared" si="16"/>
        <v>0</v>
      </c>
      <c r="Y237" s="27"/>
      <c r="Z237" s="183" t="e">
        <f t="shared" si="17"/>
        <v>#DIV/0!</v>
      </c>
      <c r="AA237" s="183" t="e">
        <f t="shared" si="18"/>
        <v>#DIV/0!</v>
      </c>
      <c r="AB237" s="27"/>
      <c r="AC237" s="183">
        <f>$K$67*(Data!$K13-$J$23)*30.5*86400/1000000</f>
        <v>0</v>
      </c>
      <c r="AD237" s="183" t="e">
        <f>$J$85*(Data!$K13-$J$23)*30.5*86400/1000000</f>
        <v>#DIV/0!</v>
      </c>
      <c r="AE237" s="183" t="e">
        <f t="shared" si="19"/>
        <v>#DIV/0!</v>
      </c>
      <c r="AF237" s="27"/>
      <c r="AG237" s="184" t="e">
        <f t="shared" si="14"/>
        <v>#DIV/0!</v>
      </c>
      <c r="AH237" s="184" t="e">
        <f>VLOOKUP(AG237,Data!$B$35:$C$55,2)</f>
        <v>#DIV/0!</v>
      </c>
      <c r="AJ237" s="174" t="e">
        <f t="shared" si="20"/>
        <v>#DIV/0!</v>
      </c>
    </row>
    <row r="238" spans="1:36" ht="15" customHeight="1" x14ac:dyDescent="0.2">
      <c r="Q238" s="169">
        <f>Data!J14</f>
        <v>4</v>
      </c>
      <c r="R238" s="183">
        <f>$E$159*$F$159*$I$159/100*Data!L14</f>
        <v>0</v>
      </c>
      <c r="S238" s="183">
        <f>$E$160*$F$160*$I$160/100*Data!M14</f>
        <v>0</v>
      </c>
      <c r="T238" s="183">
        <f>$E$161*$F$161*$I$161/100*Data!N14</f>
        <v>0</v>
      </c>
      <c r="U238" s="183">
        <f>$E$162*$F$162*$I$162/100*Data!O14</f>
        <v>0</v>
      </c>
      <c r="V238" s="183">
        <f t="shared" si="21"/>
        <v>0</v>
      </c>
      <c r="W238" s="183">
        <f t="shared" si="15"/>
        <v>0</v>
      </c>
      <c r="X238" s="183">
        <f t="shared" si="16"/>
        <v>0</v>
      </c>
      <c r="Y238" s="27"/>
      <c r="Z238" s="183" t="e">
        <f t="shared" si="17"/>
        <v>#DIV/0!</v>
      </c>
      <c r="AA238" s="183" t="e">
        <f t="shared" si="18"/>
        <v>#DIV/0!</v>
      </c>
      <c r="AB238" s="27"/>
      <c r="AC238" s="183">
        <f>$K$67*(Data!$K14-$J$23)*30.5*86400/1000000</f>
        <v>0</v>
      </c>
      <c r="AD238" s="183" t="e">
        <f>$J$85*(Data!$K14-$J$23)*30.5*86400/1000000</f>
        <v>#DIV/0!</v>
      </c>
      <c r="AE238" s="183" t="e">
        <f t="shared" si="19"/>
        <v>#DIV/0!</v>
      </c>
      <c r="AF238" s="27"/>
      <c r="AG238" s="184" t="e">
        <f t="shared" si="14"/>
        <v>#DIV/0!</v>
      </c>
      <c r="AH238" s="184" t="e">
        <f>VLOOKUP(AG238,Data!$B$35:$C$55,2)</f>
        <v>#DIV/0!</v>
      </c>
      <c r="AJ238" s="174" t="e">
        <f t="shared" si="20"/>
        <v>#DIV/0!</v>
      </c>
    </row>
    <row r="239" spans="1:36" ht="15" customHeight="1" x14ac:dyDescent="0.2">
      <c r="Q239" s="169">
        <f>Data!J15</f>
        <v>5</v>
      </c>
      <c r="R239" s="183">
        <f>$E$159*$F$159*$I$159/100*Data!L15</f>
        <v>0</v>
      </c>
      <c r="S239" s="183">
        <f>$E$160*$F$160*$I$160/100*Data!M15</f>
        <v>0</v>
      </c>
      <c r="T239" s="183">
        <f>$E$161*$F$161*$I$161/100*Data!N15</f>
        <v>0</v>
      </c>
      <c r="U239" s="183">
        <f>$E$162*$F$162*$I$162/100*Data!O15</f>
        <v>0</v>
      </c>
      <c r="V239" s="183">
        <f t="shared" si="21"/>
        <v>0</v>
      </c>
      <c r="W239" s="183">
        <f t="shared" si="15"/>
        <v>0</v>
      </c>
      <c r="X239" s="183">
        <f t="shared" si="16"/>
        <v>0</v>
      </c>
      <c r="Y239" s="27"/>
      <c r="Z239" s="183" t="e">
        <f t="shared" si="17"/>
        <v>#DIV/0!</v>
      </c>
      <c r="AA239" s="183" t="e">
        <f t="shared" si="18"/>
        <v>#DIV/0!</v>
      </c>
      <c r="AB239" s="27"/>
      <c r="AC239" s="183">
        <f>$K$67*(Data!$K15-$J$23)*30.5*86400/1000000</f>
        <v>0</v>
      </c>
      <c r="AD239" s="183" t="e">
        <f>$J$85*(Data!$K15-$J$23)*30.5*86400/1000000</f>
        <v>#DIV/0!</v>
      </c>
      <c r="AE239" s="183" t="e">
        <f t="shared" si="19"/>
        <v>#DIV/0!</v>
      </c>
      <c r="AF239" s="27"/>
      <c r="AG239" s="184" t="e">
        <f t="shared" si="14"/>
        <v>#DIV/0!</v>
      </c>
      <c r="AH239" s="184" t="e">
        <f>VLOOKUP(AG239,Data!$B$35:$C$55,2)</f>
        <v>#DIV/0!</v>
      </c>
      <c r="AJ239" s="174" t="e">
        <f t="shared" si="20"/>
        <v>#DIV/0!</v>
      </c>
    </row>
    <row r="240" spans="1:36" ht="15" customHeight="1" x14ac:dyDescent="0.2">
      <c r="Q240" s="11"/>
      <c r="R240" s="27"/>
      <c r="S240" s="27"/>
      <c r="T240" s="27"/>
      <c r="U240" s="27"/>
      <c r="V240" s="27"/>
      <c r="W240" s="27"/>
      <c r="X240" s="27"/>
      <c r="Y240" s="27"/>
      <c r="Z240" s="27"/>
      <c r="AA240" s="27"/>
      <c r="AB240" s="27"/>
      <c r="AC240" s="27"/>
      <c r="AD240" s="27"/>
      <c r="AE240" s="27"/>
      <c r="AF240" s="27"/>
      <c r="AG240" s="27"/>
      <c r="AH240" s="27"/>
    </row>
    <row r="241" spans="17:36" ht="15" customHeight="1" x14ac:dyDescent="0.2">
      <c r="Q241" s="175" t="s">
        <v>290</v>
      </c>
      <c r="R241" s="185"/>
      <c r="S241" s="185"/>
      <c r="T241" s="185"/>
      <c r="U241" s="185"/>
      <c r="V241" s="185"/>
      <c r="W241" s="185"/>
      <c r="X241" s="27"/>
      <c r="Y241" s="27"/>
      <c r="Z241" s="185">
        <f>SUMIF($AJ228:$AJ239,"&lt;0",Z228:Z239)</f>
        <v>0</v>
      </c>
      <c r="AA241" s="185">
        <f>SUMIF($AJ228:$AJ239,"&lt;0",AA228:AA239)</f>
        <v>0</v>
      </c>
      <c r="AB241" s="27"/>
      <c r="AC241" s="185">
        <f>SUMIF($AJ228:$AJ239,"&lt;0",AC228:AC239)</f>
        <v>0</v>
      </c>
      <c r="AD241" s="185">
        <f>SUMIF($AJ228:$AJ239,"&lt;0",AD228:AD239)</f>
        <v>0</v>
      </c>
      <c r="AE241" s="27"/>
      <c r="AF241" s="27"/>
      <c r="AG241" s="27"/>
      <c r="AH241" s="27"/>
      <c r="AJ241" s="174">
        <f>SUMIF($AJ228:$AJ239,"&lt;0",AJ228:AJ239)</f>
        <v>0</v>
      </c>
    </row>
    <row r="242" spans="17:36" ht="15" customHeight="1" x14ac:dyDescent="0.2"/>
    <row r="243" spans="17:36" ht="15" customHeight="1" x14ac:dyDescent="0.2"/>
    <row r="244" spans="17:36" ht="15" customHeight="1" x14ac:dyDescent="0.2">
      <c r="R244" s="3" t="s">
        <v>294</v>
      </c>
    </row>
    <row r="245" spans="17:36" ht="15" customHeight="1" x14ac:dyDescent="0.2"/>
    <row r="246" spans="17:36" ht="15" customHeight="1" x14ac:dyDescent="0.2">
      <c r="R246" s="3" t="s">
        <v>305</v>
      </c>
    </row>
    <row r="247" spans="17:36" ht="15" customHeight="1" x14ac:dyDescent="0.2">
      <c r="R247" s="3" t="s">
        <v>306</v>
      </c>
    </row>
    <row r="248" spans="17:36" ht="15" customHeight="1" x14ac:dyDescent="0.2">
      <c r="R248" s="3" t="s">
        <v>307</v>
      </c>
    </row>
  </sheetData>
  <mergeCells count="7">
    <mergeCell ref="R226:X226"/>
    <mergeCell ref="Z226:AA226"/>
    <mergeCell ref="B2:L2"/>
    <mergeCell ref="E5:G5"/>
    <mergeCell ref="I5:K5"/>
    <mergeCell ref="M159:M164"/>
    <mergeCell ref="M23:M27"/>
  </mergeCells>
  <dataValidations disablePrompts="1" count="2">
    <dataValidation type="list" showInputMessage="1" showErrorMessage="1" sqref="E80" xr:uid="{00000000-0002-0000-0300-000000000000}">
      <formula1>#REF!</formula1>
    </dataValidation>
    <dataValidation type="list" allowBlank="1" showInputMessage="1" showErrorMessage="1" sqref="E92" xr:uid="{00000000-0002-0000-0300-000001000000}">
      <formula1>#REF!</formula1>
    </dataValidation>
  </dataValidations>
  <pageMargins left="0.7" right="0.7" top="0.75" bottom="0.75" header="0.3" footer="0.3"/>
  <pageSetup paperSize="9" orientation="portrait"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48"/>
  <sheetViews>
    <sheetView showGridLines="0" topLeftCell="A207" workbookViewId="0">
      <selection activeCell="A6" sqref="A6"/>
    </sheetView>
  </sheetViews>
  <sheetFormatPr defaultColWidth="9.140625" defaultRowHeight="12.75" x14ac:dyDescent="0.2"/>
  <cols>
    <col min="1" max="1" width="7" style="112" customWidth="1"/>
    <col min="2" max="2" width="9.140625" style="3"/>
    <col min="3" max="3" width="52.28515625" style="3" customWidth="1"/>
    <col min="4" max="4" width="12.42578125" style="5" customWidth="1"/>
    <col min="5" max="11" width="15.42578125" style="11" customWidth="1"/>
    <col min="12" max="12" width="15.42578125" style="3" customWidth="1"/>
    <col min="13" max="16" width="9.140625" style="3"/>
    <col min="17" max="17" width="14.42578125" style="3" customWidth="1"/>
    <col min="18" max="21" width="9.140625" style="3"/>
    <col min="22" max="22" width="8.28515625" style="3" customWidth="1"/>
    <col min="23" max="25" width="9.140625" style="3"/>
    <col min="26" max="26" width="12.140625" style="3" customWidth="1"/>
    <col min="27" max="27" width="10.42578125" style="3" bestFit="1" customWidth="1"/>
    <col min="28" max="28" width="9.140625" style="3"/>
    <col min="29" max="29" width="12.42578125" style="3" customWidth="1"/>
    <col min="30" max="16384" width="9.140625" style="3"/>
  </cols>
  <sheetData>
    <row r="1" spans="1:12" ht="13.5" thickBot="1" x14ac:dyDescent="0.25"/>
    <row r="2" spans="1:12" ht="30.75" thickBot="1" x14ac:dyDescent="0.45">
      <c r="B2" s="257" t="str">
        <f>CONCATENATE("REKENSHEET - ", Invulsheet!I5)</f>
        <v>REKENSHEET - 1e verbeterslag</v>
      </c>
      <c r="C2" s="257"/>
      <c r="D2" s="257"/>
      <c r="E2" s="257"/>
      <c r="F2" s="257"/>
      <c r="G2" s="257"/>
      <c r="H2" s="257"/>
      <c r="I2" s="257"/>
      <c r="J2" s="257"/>
      <c r="K2" s="257"/>
      <c r="L2" s="257"/>
    </row>
    <row r="5" spans="1:12" ht="20.25" x14ac:dyDescent="0.3">
      <c r="E5" s="279" t="s">
        <v>134</v>
      </c>
      <c r="F5" s="279"/>
      <c r="G5" s="279"/>
      <c r="H5" s="34" t="s">
        <v>133</v>
      </c>
      <c r="I5" s="280" t="s">
        <v>135</v>
      </c>
      <c r="J5" s="280"/>
      <c r="K5" s="280"/>
    </row>
    <row r="8" spans="1:12" ht="24" customHeight="1" x14ac:dyDescent="0.3">
      <c r="C8" s="9" t="s">
        <v>70</v>
      </c>
      <c r="D8" s="23"/>
      <c r="E8" s="12"/>
      <c r="F8" s="12"/>
      <c r="G8" s="12"/>
      <c r="H8" s="12"/>
      <c r="I8" s="12"/>
      <c r="J8" s="12"/>
      <c r="K8" s="12"/>
    </row>
    <row r="9" spans="1:12" ht="15" customHeight="1" x14ac:dyDescent="0.2"/>
    <row r="10" spans="1:12" ht="15" customHeight="1" x14ac:dyDescent="0.2">
      <c r="C10" s="3" t="s">
        <v>108</v>
      </c>
      <c r="D10" s="5" t="s">
        <v>110</v>
      </c>
      <c r="F10" s="32">
        <f>Invulsheet!F10</f>
        <v>0</v>
      </c>
    </row>
    <row r="11" spans="1:12" ht="15" customHeight="1" x14ac:dyDescent="0.2">
      <c r="C11" s="3" t="s">
        <v>109</v>
      </c>
      <c r="D11" s="5" t="s">
        <v>48</v>
      </c>
      <c r="F11" s="32">
        <f>Invulsheet!F11</f>
        <v>0</v>
      </c>
    </row>
    <row r="12" spans="1:12" s="107" customFormat="1" ht="15" customHeight="1" x14ac:dyDescent="0.2">
      <c r="A12" s="112"/>
      <c r="C12" s="107" t="s">
        <v>281</v>
      </c>
      <c r="D12" s="5" t="s">
        <v>280</v>
      </c>
      <c r="E12" s="11"/>
      <c r="F12" s="32">
        <f>Invulsheet!F12</f>
        <v>0</v>
      </c>
      <c r="G12" s="11"/>
      <c r="H12" s="11"/>
      <c r="I12" s="11"/>
      <c r="J12" s="11"/>
      <c r="K12" s="11"/>
    </row>
    <row r="13" spans="1:12" s="107" customFormat="1" ht="15" customHeight="1" x14ac:dyDescent="0.2">
      <c r="A13" s="112"/>
      <c r="C13" s="107" t="s">
        <v>279</v>
      </c>
      <c r="D13" s="5" t="s">
        <v>56</v>
      </c>
      <c r="E13" s="11"/>
      <c r="F13" s="32">
        <f>Invulsheet!F13</f>
        <v>0</v>
      </c>
      <c r="G13" s="11"/>
      <c r="H13" s="11"/>
      <c r="I13" s="11"/>
      <c r="J13" s="11"/>
      <c r="K13" s="11"/>
    </row>
    <row r="14" spans="1:12" ht="15" customHeight="1" x14ac:dyDescent="0.2"/>
    <row r="15" spans="1:12" ht="15" customHeight="1" x14ac:dyDescent="0.2">
      <c r="C15" s="3" t="s">
        <v>224</v>
      </c>
      <c r="D15" s="5" t="s">
        <v>225</v>
      </c>
      <c r="F15" s="32">
        <f>Invulsheet!J16</f>
        <v>0</v>
      </c>
    </row>
    <row r="16" spans="1:12" ht="15" customHeight="1" x14ac:dyDescent="0.2">
      <c r="C16" s="3" t="s">
        <v>57</v>
      </c>
      <c r="D16" s="5" t="s">
        <v>61</v>
      </c>
      <c r="F16" s="32">
        <f>Invulsheet!J15</f>
        <v>0</v>
      </c>
    </row>
    <row r="17" spans="3:13" ht="15" customHeight="1" x14ac:dyDescent="0.2">
      <c r="C17" s="3" t="s">
        <v>37</v>
      </c>
      <c r="D17" s="5" t="s">
        <v>58</v>
      </c>
      <c r="F17" s="3"/>
      <c r="J17" s="33" t="e">
        <f>F16/F15</f>
        <v>#DIV/0!</v>
      </c>
    </row>
    <row r="18" spans="3:13" ht="15" customHeight="1" x14ac:dyDescent="0.2"/>
    <row r="19" spans="3:13" ht="15" customHeight="1" x14ac:dyDescent="0.2"/>
    <row r="20" spans="3:13" ht="15" customHeight="1" x14ac:dyDescent="0.2">
      <c r="C20" s="107" t="s">
        <v>222</v>
      </c>
      <c r="D20" s="5" t="s">
        <v>60</v>
      </c>
      <c r="F20" s="32">
        <f>Invulsheet!J18</f>
        <v>20</v>
      </c>
    </row>
    <row r="21" spans="3:13" ht="15" customHeight="1" x14ac:dyDescent="0.2">
      <c r="C21" s="107" t="s">
        <v>223</v>
      </c>
      <c r="D21" s="5" t="s">
        <v>60</v>
      </c>
      <c r="F21" s="32">
        <f>Invulsheet!J19</f>
        <v>15</v>
      </c>
    </row>
    <row r="22" spans="3:13" ht="15" customHeight="1" x14ac:dyDescent="0.2">
      <c r="C22" s="3" t="s">
        <v>72</v>
      </c>
      <c r="D22" s="5" t="s">
        <v>59</v>
      </c>
      <c r="F22" s="32">
        <f>Invulsheet!J20</f>
        <v>80</v>
      </c>
    </row>
    <row r="23" spans="3:13" ht="15" customHeight="1" x14ac:dyDescent="0.2">
      <c r="C23" s="3" t="s">
        <v>136</v>
      </c>
      <c r="D23" s="5" t="s">
        <v>60</v>
      </c>
      <c r="F23" s="35"/>
      <c r="J23" s="38">
        <f xml:space="preserve">  F20 * F22 * F26 / 20000  +  F21 * (1 - F26 * F22 / 20000)</f>
        <v>16.2</v>
      </c>
      <c r="M23" s="282"/>
    </row>
    <row r="24" spans="3:13" ht="15" customHeight="1" x14ac:dyDescent="0.2">
      <c r="M24" s="282"/>
    </row>
    <row r="25" spans="3:13" ht="15" customHeight="1" x14ac:dyDescent="0.2">
      <c r="C25" s="3" t="s">
        <v>71</v>
      </c>
      <c r="F25" s="32">
        <f>Invulsheet!J22</f>
        <v>0</v>
      </c>
      <c r="M25" s="282"/>
    </row>
    <row r="26" spans="3:13" ht="15" customHeight="1" x14ac:dyDescent="0.2">
      <c r="C26" s="3" t="s">
        <v>116</v>
      </c>
      <c r="D26" s="5" t="s">
        <v>59</v>
      </c>
      <c r="F26" s="32">
        <f>Invulsheet!J23</f>
        <v>60</v>
      </c>
      <c r="M26" s="282"/>
    </row>
    <row r="27" spans="3:13" ht="15" customHeight="1" x14ac:dyDescent="0.2">
      <c r="M27" s="282"/>
    </row>
    <row r="28" spans="3:13" ht="15" customHeight="1" x14ac:dyDescent="0.2"/>
    <row r="29" spans="3:13" ht="24" customHeight="1" x14ac:dyDescent="0.3">
      <c r="C29" s="9" t="s">
        <v>73</v>
      </c>
      <c r="D29" s="23"/>
      <c r="E29" s="12"/>
      <c r="F29" s="12"/>
      <c r="G29" s="12"/>
      <c r="H29" s="12"/>
      <c r="I29" s="12"/>
      <c r="J29" s="12"/>
      <c r="K29" s="12"/>
    </row>
    <row r="30" spans="3:13" ht="15" customHeight="1" x14ac:dyDescent="0.2"/>
    <row r="31" spans="3:13" ht="15" customHeight="1" x14ac:dyDescent="0.3">
      <c r="E31" s="4" t="s">
        <v>22</v>
      </c>
      <c r="F31" s="4" t="s">
        <v>7</v>
      </c>
      <c r="G31" s="4" t="s">
        <v>20</v>
      </c>
      <c r="H31" s="4"/>
      <c r="I31" s="4" t="s">
        <v>141</v>
      </c>
      <c r="J31" s="4" t="s">
        <v>34</v>
      </c>
      <c r="K31" s="4" t="s">
        <v>140</v>
      </c>
    </row>
    <row r="32" spans="3:13" ht="15" customHeight="1" x14ac:dyDescent="0.2">
      <c r="E32" s="4" t="s">
        <v>8</v>
      </c>
      <c r="F32" s="4" t="s">
        <v>9</v>
      </c>
      <c r="G32" s="4" t="s">
        <v>10</v>
      </c>
      <c r="H32" s="4"/>
      <c r="I32" s="4" t="s">
        <v>10</v>
      </c>
      <c r="J32" s="4"/>
      <c r="K32" s="4" t="s">
        <v>23</v>
      </c>
    </row>
    <row r="33" spans="3:12" ht="15" customHeight="1" x14ac:dyDescent="0.2">
      <c r="I33" s="3"/>
    </row>
    <row r="34" spans="3:12" ht="15" customHeight="1" x14ac:dyDescent="0.2">
      <c r="C34" s="3" t="s">
        <v>24</v>
      </c>
      <c r="E34" s="32">
        <f>Invulsheet!I34</f>
        <v>0</v>
      </c>
      <c r="F34" s="32">
        <f>Invulsheet!J34</f>
        <v>0</v>
      </c>
      <c r="I34" s="38">
        <f>1/(F34+0.17+0.17)</f>
        <v>2.9411764705882351</v>
      </c>
      <c r="J34" s="38">
        <v>0.5</v>
      </c>
      <c r="K34" s="38">
        <f>E34*I34*J34</f>
        <v>0</v>
      </c>
    </row>
    <row r="35" spans="3:12" ht="15" customHeight="1" x14ac:dyDescent="0.2">
      <c r="C35" s="3" t="s">
        <v>25</v>
      </c>
      <c r="E35" s="32">
        <f>Invulsheet!I35</f>
        <v>0</v>
      </c>
      <c r="F35" s="32">
        <f>Invulsheet!J35</f>
        <v>0</v>
      </c>
      <c r="I35" s="38">
        <f>1/(F35+0.17+0.17)</f>
        <v>2.9411764705882351</v>
      </c>
      <c r="J35" s="38">
        <v>0.5</v>
      </c>
      <c r="K35" s="38">
        <f t="shared" ref="K35:K36" si="0">E35*I35*J35</f>
        <v>0</v>
      </c>
    </row>
    <row r="36" spans="3:12" ht="15" customHeight="1" x14ac:dyDescent="0.2">
      <c r="C36" s="3" t="s">
        <v>26</v>
      </c>
      <c r="E36" s="32">
        <f>Invulsheet!I36</f>
        <v>0</v>
      </c>
      <c r="F36" s="32">
        <f>Invulsheet!J36</f>
        <v>0</v>
      </c>
      <c r="I36" s="38">
        <f>1/(F36+0.17+0.17)</f>
        <v>2.9411764705882351</v>
      </c>
      <c r="J36" s="38">
        <v>0.5</v>
      </c>
      <c r="K36" s="38">
        <f t="shared" si="0"/>
        <v>0</v>
      </c>
      <c r="L36" s="46" t="e">
        <f>-SUM(K34:K36)/$K$67*$AC$241</f>
        <v>#DIV/0!</v>
      </c>
    </row>
    <row r="37" spans="3:12" ht="15" customHeight="1" x14ac:dyDescent="0.2">
      <c r="I37" s="3"/>
      <c r="L37" s="72"/>
    </row>
    <row r="38" spans="3:12" ht="15" customHeight="1" x14ac:dyDescent="0.2">
      <c r="C38" s="3" t="s">
        <v>27</v>
      </c>
      <c r="E38" s="32">
        <f>Invulsheet!I38</f>
        <v>0</v>
      </c>
      <c r="F38" s="32">
        <f>Invulsheet!J38</f>
        <v>0</v>
      </c>
      <c r="I38" s="38">
        <f>1/(F38+0.1+0.04)</f>
        <v>7.1428571428571423</v>
      </c>
      <c r="J38" s="38">
        <v>1</v>
      </c>
      <c r="K38" s="38">
        <f t="shared" ref="K38:K41" si="1">E38*I38*J38</f>
        <v>0</v>
      </c>
      <c r="L38" s="72"/>
    </row>
    <row r="39" spans="3:12" ht="15" customHeight="1" x14ac:dyDescent="0.2">
      <c r="C39" s="3" t="s">
        <v>28</v>
      </c>
      <c r="E39" s="32">
        <f>Invulsheet!I39</f>
        <v>0</v>
      </c>
      <c r="F39" s="32">
        <f>Invulsheet!J39</f>
        <v>0</v>
      </c>
      <c r="I39" s="38">
        <f t="shared" ref="I39:I41" si="2">1/(F39+0.1+0.04)</f>
        <v>7.1428571428571423</v>
      </c>
      <c r="J39" s="38">
        <v>1</v>
      </c>
      <c r="K39" s="38">
        <f t="shared" si="1"/>
        <v>0</v>
      </c>
      <c r="L39" s="72"/>
    </row>
    <row r="40" spans="3:12" ht="15" customHeight="1" x14ac:dyDescent="0.2">
      <c r="C40" s="3" t="s">
        <v>29</v>
      </c>
      <c r="E40" s="32">
        <f>Invulsheet!I40</f>
        <v>0</v>
      </c>
      <c r="F40" s="32">
        <f>Invulsheet!J40</f>
        <v>0</v>
      </c>
      <c r="I40" s="38">
        <f t="shared" si="2"/>
        <v>7.1428571428571423</v>
      </c>
      <c r="J40" s="38">
        <v>1</v>
      </c>
      <c r="K40" s="38">
        <f t="shared" si="1"/>
        <v>0</v>
      </c>
      <c r="L40" s="72"/>
    </row>
    <row r="41" spans="3:12" ht="15" customHeight="1" x14ac:dyDescent="0.2">
      <c r="C41" s="3" t="s">
        <v>62</v>
      </c>
      <c r="E41" s="32">
        <f>Invulsheet!I41</f>
        <v>0</v>
      </c>
      <c r="F41" s="32">
        <f>Invulsheet!J41</f>
        <v>0</v>
      </c>
      <c r="I41" s="38">
        <f t="shared" si="2"/>
        <v>7.1428571428571423</v>
      </c>
      <c r="J41" s="38">
        <v>1</v>
      </c>
      <c r="K41" s="38">
        <f t="shared" si="1"/>
        <v>0</v>
      </c>
      <c r="L41" s="46" t="e">
        <f>-SUM(K38:K41)/$K$67*$AC$241</f>
        <v>#DIV/0!</v>
      </c>
    </row>
    <row r="42" spans="3:12" ht="15" customHeight="1" x14ac:dyDescent="0.2">
      <c r="I42" s="3"/>
      <c r="L42" s="72"/>
    </row>
    <row r="43" spans="3:12" ht="15" customHeight="1" x14ac:dyDescent="0.2">
      <c r="C43" s="3" t="s">
        <v>74</v>
      </c>
      <c r="E43" s="32">
        <f>Invulsheet!I43</f>
        <v>0</v>
      </c>
      <c r="F43" s="32">
        <f>Invulsheet!J43</f>
        <v>0</v>
      </c>
      <c r="I43" s="38">
        <f>1/(F43+0.13+0.04)</f>
        <v>5.8823529411764701</v>
      </c>
      <c r="J43" s="38">
        <v>1</v>
      </c>
      <c r="K43" s="38">
        <f t="shared" ref="K43:K46" si="3">E43*I43*J43</f>
        <v>0</v>
      </c>
      <c r="L43" s="72"/>
    </row>
    <row r="44" spans="3:12" ht="15" customHeight="1" x14ac:dyDescent="0.2">
      <c r="C44" s="3" t="s">
        <v>65</v>
      </c>
      <c r="E44" s="32">
        <f>Invulsheet!I44</f>
        <v>0</v>
      </c>
      <c r="F44" s="32">
        <f>Invulsheet!J44</f>
        <v>0</v>
      </c>
      <c r="I44" s="38">
        <f t="shared" ref="I44:I46" si="4">1/(F44+0.13+0.04)</f>
        <v>5.8823529411764701</v>
      </c>
      <c r="J44" s="38">
        <v>1</v>
      </c>
      <c r="K44" s="38">
        <f t="shared" si="3"/>
        <v>0</v>
      </c>
      <c r="L44" s="72"/>
    </row>
    <row r="45" spans="3:12" ht="15" customHeight="1" x14ac:dyDescent="0.2">
      <c r="C45" s="3" t="s">
        <v>64</v>
      </c>
      <c r="E45" s="32">
        <f>Invulsheet!I45</f>
        <v>0</v>
      </c>
      <c r="F45" s="32">
        <f>Invulsheet!J45</f>
        <v>0</v>
      </c>
      <c r="I45" s="38">
        <f t="shared" si="4"/>
        <v>5.8823529411764701</v>
      </c>
      <c r="J45" s="38">
        <v>1</v>
      </c>
      <c r="K45" s="38">
        <f t="shared" si="3"/>
        <v>0</v>
      </c>
      <c r="L45" s="72"/>
    </row>
    <row r="46" spans="3:12" ht="15" customHeight="1" x14ac:dyDescent="0.2">
      <c r="C46" s="3" t="s">
        <v>63</v>
      </c>
      <c r="E46" s="32">
        <f>Invulsheet!I46</f>
        <v>0</v>
      </c>
      <c r="F46" s="32">
        <f>Invulsheet!J46</f>
        <v>0</v>
      </c>
      <c r="I46" s="38">
        <f t="shared" si="4"/>
        <v>5.8823529411764701</v>
      </c>
      <c r="J46" s="38">
        <v>1</v>
      </c>
      <c r="K46" s="38">
        <f t="shared" si="3"/>
        <v>0</v>
      </c>
      <c r="L46" s="46" t="e">
        <f>-SUM(K43:K46)/$K$67*$AC$241</f>
        <v>#DIV/0!</v>
      </c>
    </row>
    <row r="47" spans="3:12" ht="15" customHeight="1" x14ac:dyDescent="0.2">
      <c r="I47" s="3"/>
      <c r="L47" s="72"/>
    </row>
    <row r="48" spans="3:12" ht="15" customHeight="1" x14ac:dyDescent="0.2">
      <c r="C48" s="3" t="s">
        <v>66</v>
      </c>
      <c r="E48" s="32">
        <f>Invulsheet!I48</f>
        <v>0</v>
      </c>
      <c r="F48" s="32">
        <f>Invulsheet!J48</f>
        <v>0</v>
      </c>
      <c r="I48" s="38">
        <f>1/(F48+0.13+0.13)</f>
        <v>3.8461538461538458</v>
      </c>
      <c r="J48" s="38">
        <v>0.6</v>
      </c>
      <c r="K48" s="38">
        <f t="shared" ref="K48:K50" si="5">E48*I48*J48</f>
        <v>0</v>
      </c>
      <c r="L48" s="72"/>
    </row>
    <row r="49" spans="3:12" ht="15" customHeight="1" x14ac:dyDescent="0.2">
      <c r="C49" s="3" t="s">
        <v>67</v>
      </c>
      <c r="E49" s="32">
        <f>Invulsheet!I49</f>
        <v>0</v>
      </c>
      <c r="F49" s="32">
        <f>Invulsheet!J49</f>
        <v>0</v>
      </c>
      <c r="I49" s="38">
        <f t="shared" ref="I49:I50" si="6">1/(F49+0.13+0.13)</f>
        <v>3.8461538461538458</v>
      </c>
      <c r="J49" s="38">
        <v>0.6</v>
      </c>
      <c r="K49" s="38">
        <f t="shared" si="5"/>
        <v>0</v>
      </c>
      <c r="L49" s="72"/>
    </row>
    <row r="50" spans="3:12" ht="15" customHeight="1" x14ac:dyDescent="0.2">
      <c r="C50" s="3" t="s">
        <v>68</v>
      </c>
      <c r="E50" s="32">
        <f>Invulsheet!I50</f>
        <v>0</v>
      </c>
      <c r="F50" s="32">
        <f>Invulsheet!J50</f>
        <v>0</v>
      </c>
      <c r="I50" s="38">
        <f t="shared" si="6"/>
        <v>3.8461538461538458</v>
      </c>
      <c r="J50" s="38">
        <v>0.6</v>
      </c>
      <c r="K50" s="38">
        <f t="shared" si="5"/>
        <v>0</v>
      </c>
      <c r="L50" s="46" t="e">
        <f>-SUM(K48:K50)/$K$67*$AC$241</f>
        <v>#DIV/0!</v>
      </c>
    </row>
    <row r="51" spans="3:12" ht="15" customHeight="1" x14ac:dyDescent="0.2">
      <c r="I51" s="3"/>
      <c r="L51" s="72"/>
    </row>
    <row r="52" spans="3:12" ht="15" customHeight="1" x14ac:dyDescent="0.2">
      <c r="C52" s="3" t="s">
        <v>249</v>
      </c>
      <c r="E52" s="32">
        <f>Invulsheet!I52</f>
        <v>0</v>
      </c>
      <c r="F52" s="32">
        <f>Invulsheet!J52</f>
        <v>0</v>
      </c>
      <c r="I52" s="38">
        <f>1/(F52+0.04+0.17)</f>
        <v>4.7619047619047619</v>
      </c>
      <c r="J52" s="38">
        <v>1</v>
      </c>
      <c r="K52" s="38">
        <f t="shared" ref="K52:K57" si="7">E52*I52*J52</f>
        <v>0</v>
      </c>
      <c r="L52" s="72"/>
    </row>
    <row r="53" spans="3:12" ht="15" customHeight="1" x14ac:dyDescent="0.2">
      <c r="C53" s="3" t="s">
        <v>257</v>
      </c>
      <c r="E53" s="32">
        <f>Invulsheet!I53</f>
        <v>0</v>
      </c>
      <c r="F53" s="32">
        <f>Invulsheet!J53</f>
        <v>0</v>
      </c>
      <c r="I53" s="38">
        <f>1/(F53+0.04+0.17)</f>
        <v>4.7619047619047619</v>
      </c>
      <c r="J53" s="38">
        <v>1</v>
      </c>
      <c r="K53" s="38">
        <f t="shared" si="7"/>
        <v>0</v>
      </c>
      <c r="L53" s="72"/>
    </row>
    <row r="54" spans="3:12" ht="15" customHeight="1" x14ac:dyDescent="0.2">
      <c r="C54" s="3" t="s">
        <v>256</v>
      </c>
      <c r="E54" s="32">
        <f>Invulsheet!I54</f>
        <v>0</v>
      </c>
      <c r="F54" s="32">
        <f>Invulsheet!J54</f>
        <v>0</v>
      </c>
      <c r="I54" s="38">
        <f>1/(F54+0.04+0.17)</f>
        <v>4.7619047619047619</v>
      </c>
      <c r="J54" s="38">
        <v>1</v>
      </c>
      <c r="K54" s="38">
        <f t="shared" ref="K54:K55" si="8">E54*I54*J54</f>
        <v>0</v>
      </c>
      <c r="L54" s="72"/>
    </row>
    <row r="55" spans="3:12" ht="15" customHeight="1" x14ac:dyDescent="0.2">
      <c r="C55" s="3" t="s">
        <v>255</v>
      </c>
      <c r="E55" s="32">
        <f>Invulsheet!I55</f>
        <v>0</v>
      </c>
      <c r="F55" s="32">
        <f>Invulsheet!J55</f>
        <v>0</v>
      </c>
      <c r="I55" s="38">
        <f>1/(F55+0.04+0.17)</f>
        <v>4.7619047619047619</v>
      </c>
      <c r="J55" s="38">
        <v>1</v>
      </c>
      <c r="K55" s="38">
        <f t="shared" si="8"/>
        <v>0</v>
      </c>
      <c r="L55" s="72"/>
    </row>
    <row r="56" spans="3:12" ht="15" customHeight="1" x14ac:dyDescent="0.2">
      <c r="C56" s="3" t="s">
        <v>254</v>
      </c>
      <c r="E56" s="32">
        <f>Invulsheet!I56</f>
        <v>0</v>
      </c>
      <c r="G56" s="32">
        <f>Invulsheet!K56</f>
        <v>0</v>
      </c>
      <c r="H56" s="31"/>
      <c r="I56" s="38">
        <f>IFERROR(1/(1/G56+0.04+0.17), 0)</f>
        <v>0</v>
      </c>
      <c r="J56" s="38">
        <v>1</v>
      </c>
      <c r="K56" s="38">
        <f t="shared" si="7"/>
        <v>0</v>
      </c>
      <c r="L56" s="72"/>
    </row>
    <row r="57" spans="3:12" ht="15" customHeight="1" x14ac:dyDescent="0.2">
      <c r="C57" s="3" t="s">
        <v>253</v>
      </c>
      <c r="E57" s="32">
        <f>Invulsheet!I57</f>
        <v>0</v>
      </c>
      <c r="G57" s="32">
        <f>Invulsheet!K57</f>
        <v>0</v>
      </c>
      <c r="H57" s="31"/>
      <c r="I57" s="38">
        <f t="shared" ref="I57:I59" si="9">IFERROR(1/(1/G57+0.04+0.17), 0)</f>
        <v>0</v>
      </c>
      <c r="J57" s="38">
        <v>1</v>
      </c>
      <c r="K57" s="38">
        <f t="shared" si="7"/>
        <v>0</v>
      </c>
    </row>
    <row r="58" spans="3:12" ht="15" customHeight="1" x14ac:dyDescent="0.2">
      <c r="C58" s="3" t="s">
        <v>252</v>
      </c>
      <c r="E58" s="32">
        <f>Invulsheet!I58</f>
        <v>0</v>
      </c>
      <c r="G58" s="32">
        <f>Invulsheet!K58</f>
        <v>0</v>
      </c>
      <c r="H58" s="31"/>
      <c r="I58" s="38">
        <f t="shared" si="9"/>
        <v>0</v>
      </c>
      <c r="J58" s="38">
        <v>1</v>
      </c>
      <c r="K58" s="38">
        <f t="shared" ref="K58:K59" si="10">E58*I58*J58</f>
        <v>0</v>
      </c>
      <c r="L58" s="47"/>
    </row>
    <row r="59" spans="3:12" ht="15" customHeight="1" x14ac:dyDescent="0.2">
      <c r="C59" s="3" t="s">
        <v>250</v>
      </c>
      <c r="E59" s="32">
        <f>Invulsheet!I59</f>
        <v>0</v>
      </c>
      <c r="G59" s="32">
        <f>Invulsheet!K59</f>
        <v>0</v>
      </c>
      <c r="H59" s="31"/>
      <c r="I59" s="38">
        <f t="shared" si="9"/>
        <v>0</v>
      </c>
      <c r="J59" s="38">
        <v>1</v>
      </c>
      <c r="K59" s="38">
        <f t="shared" si="10"/>
        <v>0</v>
      </c>
      <c r="L59" s="46" t="e">
        <f>-SUM(K52:K59)/$K$67*$AC$241</f>
        <v>#DIV/0!</v>
      </c>
    </row>
    <row r="60" spans="3:12" ht="15" customHeight="1" x14ac:dyDescent="0.2">
      <c r="I60" s="3"/>
      <c r="L60" s="72"/>
    </row>
    <row r="61" spans="3:12" ht="15" customHeight="1" x14ac:dyDescent="0.2">
      <c r="C61" s="3" t="s">
        <v>251</v>
      </c>
      <c r="E61" s="32">
        <f>Invulsheet!I61</f>
        <v>0</v>
      </c>
      <c r="G61" s="32">
        <f>Invulsheet!K61</f>
        <v>0</v>
      </c>
      <c r="H61" s="31"/>
      <c r="I61" s="38">
        <f>G61</f>
        <v>0</v>
      </c>
      <c r="J61" s="38">
        <v>1</v>
      </c>
      <c r="K61" s="38">
        <f t="shared" ref="K61:K65" si="11">E61*I61*J61</f>
        <v>0</v>
      </c>
      <c r="L61" s="72"/>
    </row>
    <row r="62" spans="3:12" ht="15" customHeight="1" x14ac:dyDescent="0.2">
      <c r="C62" s="3" t="s">
        <v>30</v>
      </c>
      <c r="E62" s="32">
        <f>Invulsheet!I62</f>
        <v>0</v>
      </c>
      <c r="G62" s="32">
        <f>Invulsheet!K62</f>
        <v>0</v>
      </c>
      <c r="H62" s="31"/>
      <c r="I62" s="38">
        <f>G62</f>
        <v>0</v>
      </c>
      <c r="J62" s="38">
        <v>1</v>
      </c>
      <c r="K62" s="38">
        <f t="shared" si="11"/>
        <v>0</v>
      </c>
      <c r="L62" s="72"/>
    </row>
    <row r="63" spans="3:12" ht="15" customHeight="1" x14ac:dyDescent="0.2">
      <c r="C63" s="3" t="s">
        <v>31</v>
      </c>
      <c r="E63" s="32">
        <f>Invulsheet!I63</f>
        <v>0</v>
      </c>
      <c r="G63" s="32">
        <f>Invulsheet!K63</f>
        <v>0</v>
      </c>
      <c r="H63" s="31"/>
      <c r="I63" s="38">
        <f>G63</f>
        <v>0</v>
      </c>
      <c r="J63" s="38">
        <v>1</v>
      </c>
      <c r="K63" s="38">
        <f t="shared" si="11"/>
        <v>0</v>
      </c>
      <c r="L63" s="72"/>
    </row>
    <row r="64" spans="3:12" ht="15" customHeight="1" x14ac:dyDescent="0.2">
      <c r="C64" s="3" t="s">
        <v>75</v>
      </c>
      <c r="E64" s="32">
        <f>Invulsheet!I64</f>
        <v>0</v>
      </c>
      <c r="G64" s="32">
        <f>Invulsheet!K64</f>
        <v>0</v>
      </c>
      <c r="H64" s="31"/>
      <c r="I64" s="38">
        <f>G64</f>
        <v>0</v>
      </c>
      <c r="J64" s="38">
        <v>1</v>
      </c>
      <c r="K64" s="38">
        <f t="shared" si="11"/>
        <v>0</v>
      </c>
      <c r="L64" s="72"/>
    </row>
    <row r="65" spans="1:12" ht="15" customHeight="1" x14ac:dyDescent="0.2">
      <c r="C65" s="3" t="s">
        <v>76</v>
      </c>
      <c r="E65" s="32">
        <f>Invulsheet!I65</f>
        <v>0</v>
      </c>
      <c r="G65" s="32">
        <f>Invulsheet!K65</f>
        <v>0</v>
      </c>
      <c r="H65" s="31"/>
      <c r="I65" s="38">
        <f>G65</f>
        <v>0</v>
      </c>
      <c r="J65" s="38">
        <v>1</v>
      </c>
      <c r="K65" s="38">
        <f t="shared" si="11"/>
        <v>0</v>
      </c>
      <c r="L65" s="46" t="e">
        <f>-SUM(K61:K65)/$K$67*$AC$241</f>
        <v>#DIV/0!</v>
      </c>
    </row>
    <row r="66" spans="1:12" ht="15" customHeight="1" x14ac:dyDescent="0.2">
      <c r="E66" s="35"/>
      <c r="G66" s="35"/>
      <c r="H66" s="31"/>
      <c r="I66" s="40"/>
      <c r="J66" s="40"/>
      <c r="K66" s="40"/>
    </row>
    <row r="67" spans="1:12" ht="15" customHeight="1" x14ac:dyDescent="0.2">
      <c r="C67" s="3" t="s">
        <v>33</v>
      </c>
      <c r="D67" s="5" t="s">
        <v>5</v>
      </c>
      <c r="E67" s="35"/>
      <c r="G67" s="35"/>
      <c r="H67" s="31"/>
      <c r="I67" s="40"/>
      <c r="J67" s="40"/>
      <c r="K67" s="38">
        <f>SUM(K34:K65)</f>
        <v>0</v>
      </c>
    </row>
    <row r="68" spans="1:12" ht="15" customHeight="1" x14ac:dyDescent="0.2">
      <c r="C68" s="3" t="s">
        <v>21</v>
      </c>
      <c r="D68" s="5" t="s">
        <v>49</v>
      </c>
      <c r="E68" s="35"/>
      <c r="G68" s="35"/>
      <c r="H68" s="31"/>
      <c r="I68" s="40"/>
      <c r="J68" s="40"/>
      <c r="L68" s="46">
        <f>-AC241</f>
        <v>0</v>
      </c>
    </row>
    <row r="69" spans="1:12" ht="15" customHeight="1" x14ac:dyDescent="0.2"/>
    <row r="70" spans="1:12" ht="15" customHeight="1" x14ac:dyDescent="0.2"/>
    <row r="71" spans="1:12" ht="24" customHeight="1" x14ac:dyDescent="0.3">
      <c r="C71" s="9" t="s">
        <v>77</v>
      </c>
      <c r="D71" s="23"/>
      <c r="E71" s="12"/>
      <c r="F71" s="12"/>
      <c r="G71" s="12"/>
      <c r="H71" s="12"/>
      <c r="I71" s="12"/>
      <c r="J71" s="12"/>
      <c r="K71" s="12"/>
    </row>
    <row r="72" spans="1:12" ht="15" customHeight="1" x14ac:dyDescent="0.2"/>
    <row r="73" spans="1:12" ht="15" customHeight="1" x14ac:dyDescent="0.2">
      <c r="C73" s="3" t="s">
        <v>46</v>
      </c>
      <c r="D73" s="5" t="s">
        <v>17</v>
      </c>
      <c r="F73" s="42">
        <f>Invulsheet!J70</f>
        <v>0</v>
      </c>
    </row>
    <row r="74" spans="1:12" ht="15" customHeight="1" x14ac:dyDescent="0.2">
      <c r="C74" s="3" t="s">
        <v>45</v>
      </c>
      <c r="D74" s="5" t="s">
        <v>78</v>
      </c>
      <c r="F74" s="44"/>
      <c r="J74" s="38" t="e">
        <f>F73*3.6/J17*(1/10)^0.7</f>
        <v>#DIV/0!</v>
      </c>
    </row>
    <row r="75" spans="1:12" ht="15" customHeight="1" x14ac:dyDescent="0.2">
      <c r="C75" s="3" t="s">
        <v>44</v>
      </c>
      <c r="D75" s="5" t="s">
        <v>143</v>
      </c>
      <c r="F75" s="44"/>
      <c r="J75" s="37" t="e">
        <f>J74*F16/3600</f>
        <v>#DIV/0!</v>
      </c>
    </row>
    <row r="76" spans="1:12" ht="15" customHeight="1" x14ac:dyDescent="0.2">
      <c r="C76" s="3" t="s">
        <v>142</v>
      </c>
      <c r="D76" s="5" t="s">
        <v>5</v>
      </c>
      <c r="F76" s="44"/>
      <c r="J76" s="38" t="e">
        <f>J75*1230</f>
        <v>#DIV/0!</v>
      </c>
      <c r="K76" s="46" t="e">
        <f>-J76/$J$85*$AD$241</f>
        <v>#DIV/0!</v>
      </c>
    </row>
    <row r="77" spans="1:12" ht="15" customHeight="1" x14ac:dyDescent="0.2"/>
    <row r="78" spans="1:12" ht="15" customHeight="1" x14ac:dyDescent="0.2">
      <c r="C78" s="3" t="s">
        <v>39</v>
      </c>
      <c r="D78" s="5" t="s">
        <v>78</v>
      </c>
      <c r="F78" s="42">
        <f>Invulsheet!J72</f>
        <v>0</v>
      </c>
    </row>
    <row r="79" spans="1:12" s="107" customFormat="1" ht="15" customHeight="1" x14ac:dyDescent="0.2">
      <c r="A79" s="112"/>
      <c r="C79" s="107" t="s">
        <v>248</v>
      </c>
      <c r="D79" s="5"/>
      <c r="E79" s="11"/>
      <c r="F79" s="42">
        <f>Invulsheet!J73</f>
        <v>0</v>
      </c>
      <c r="G79" s="11"/>
      <c r="H79" s="11"/>
      <c r="I79" s="11"/>
      <c r="J79" s="11"/>
      <c r="K79" s="11"/>
    </row>
    <row r="80" spans="1:12" ht="15" customHeight="1" x14ac:dyDescent="0.2">
      <c r="C80" s="3" t="s">
        <v>43</v>
      </c>
      <c r="F80" s="42">
        <f>Invulsheet!J74</f>
        <v>0</v>
      </c>
    </row>
    <row r="81" spans="1:11" ht="15" customHeight="1" x14ac:dyDescent="0.2">
      <c r="C81" s="3" t="s">
        <v>38</v>
      </c>
      <c r="D81" s="5" t="s">
        <v>59</v>
      </c>
      <c r="F81" s="121">
        <f>Invulsheet!J75</f>
        <v>0</v>
      </c>
    </row>
    <row r="82" spans="1:11" ht="15" customHeight="1" x14ac:dyDescent="0.2">
      <c r="C82" s="3" t="s">
        <v>40</v>
      </c>
      <c r="D82" s="5" t="s">
        <v>143</v>
      </c>
      <c r="F82" s="44"/>
      <c r="J82" s="37">
        <f>F78*F16*IF(F80=Data!B3,0.5,1)/3600</f>
        <v>0</v>
      </c>
    </row>
    <row r="83" spans="1:11" ht="15" customHeight="1" x14ac:dyDescent="0.2">
      <c r="C83" s="3" t="s">
        <v>144</v>
      </c>
      <c r="D83" s="5" t="s">
        <v>5</v>
      </c>
      <c r="F83" s="44"/>
      <c r="J83" s="38">
        <f>J82*(1-F81)*1230</f>
        <v>0</v>
      </c>
      <c r="K83" s="46" t="e">
        <f>-J83/$J$85*$AD$241</f>
        <v>#DIV/0!</v>
      </c>
    </row>
    <row r="84" spans="1:11" ht="15" customHeight="1" x14ac:dyDescent="0.2">
      <c r="F84" s="44"/>
      <c r="J84" s="40"/>
    </row>
    <row r="85" spans="1:11" ht="15" customHeight="1" x14ac:dyDescent="0.2">
      <c r="C85" s="3" t="s">
        <v>33</v>
      </c>
      <c r="D85" s="5" t="s">
        <v>5</v>
      </c>
      <c r="F85" s="44"/>
      <c r="J85" s="38" t="e">
        <f>J83+J76</f>
        <v>#DIV/0!</v>
      </c>
    </row>
    <row r="86" spans="1:11" ht="15" customHeight="1" x14ac:dyDescent="0.2">
      <c r="C86" s="3" t="s">
        <v>163</v>
      </c>
      <c r="D86" s="5" t="s">
        <v>49</v>
      </c>
      <c r="F86" s="44"/>
      <c r="K86" s="46">
        <f>-$AD$241</f>
        <v>0</v>
      </c>
    </row>
    <row r="87" spans="1:11" s="107" customFormat="1" ht="15" customHeight="1" x14ac:dyDescent="0.2">
      <c r="A87" s="112"/>
      <c r="D87" s="5"/>
      <c r="E87" s="11"/>
      <c r="F87" s="44"/>
      <c r="G87" s="11"/>
      <c r="H87" s="11"/>
      <c r="I87" s="11"/>
      <c r="J87" s="11"/>
      <c r="K87" s="47"/>
    </row>
    <row r="88" spans="1:11" s="107" customFormat="1" ht="15" customHeight="1" x14ac:dyDescent="0.2">
      <c r="A88" s="112"/>
      <c r="C88" s="107" t="s">
        <v>264</v>
      </c>
      <c r="D88" s="5" t="s">
        <v>48</v>
      </c>
      <c r="E88" s="11"/>
      <c r="F88" s="44"/>
      <c r="G88" s="11"/>
      <c r="H88" s="11"/>
      <c r="I88" s="11"/>
      <c r="J88" s="46">
        <f>IFERROR(VLOOKUP(F79,Data!E27:F29,2,FALSE),0)</f>
        <v>0</v>
      </c>
      <c r="K88" s="47"/>
    </row>
    <row r="89" spans="1:11" ht="15" customHeight="1" x14ac:dyDescent="0.2">
      <c r="F89" s="24"/>
    </row>
    <row r="90" spans="1:11" ht="15" customHeight="1" x14ac:dyDescent="0.2"/>
    <row r="91" spans="1:11" ht="24" customHeight="1" x14ac:dyDescent="0.3">
      <c r="C91" s="9" t="s">
        <v>79</v>
      </c>
      <c r="D91" s="23"/>
      <c r="E91" s="12"/>
      <c r="F91" s="12"/>
      <c r="G91" s="12"/>
      <c r="H91" s="12"/>
      <c r="I91" s="12"/>
      <c r="J91" s="12"/>
      <c r="K91" s="12"/>
    </row>
    <row r="92" spans="1:11" ht="15" customHeight="1" x14ac:dyDescent="0.2"/>
    <row r="93" spans="1:11" ht="15" customHeight="1" x14ac:dyDescent="0.2">
      <c r="C93" s="3" t="s">
        <v>80</v>
      </c>
      <c r="D93" s="5" t="s">
        <v>0</v>
      </c>
      <c r="F93" s="41">
        <f>Invulsheet!J83</f>
        <v>10</v>
      </c>
      <c r="G93" s="3"/>
      <c r="H93" s="3"/>
      <c r="I93" s="3"/>
      <c r="J93" s="3"/>
      <c r="K93" s="3"/>
    </row>
    <row r="94" spans="1:11" ht="15" customHeight="1" x14ac:dyDescent="0.2">
      <c r="C94" s="3" t="s">
        <v>81</v>
      </c>
      <c r="D94" s="5" t="s">
        <v>0</v>
      </c>
      <c r="F94" s="41">
        <f>Invulsheet!J84</f>
        <v>40</v>
      </c>
    </row>
    <row r="95" spans="1:11" ht="15" customHeight="1" x14ac:dyDescent="0.2">
      <c r="C95" s="3" t="s">
        <v>147</v>
      </c>
      <c r="J95" s="38">
        <f>F94-F93</f>
        <v>30</v>
      </c>
    </row>
    <row r="96" spans="1:11" ht="15" customHeight="1" x14ac:dyDescent="0.2">
      <c r="C96" s="3" t="s">
        <v>51</v>
      </c>
      <c r="F96" s="41">
        <f>Invulsheet!J85</f>
        <v>5</v>
      </c>
    </row>
    <row r="97" spans="3:11" ht="15" customHeight="1" x14ac:dyDescent="0.2">
      <c r="C97" s="3" t="s">
        <v>145</v>
      </c>
      <c r="D97" s="5" t="s">
        <v>146</v>
      </c>
      <c r="J97" s="38">
        <f>VLOOKUP(F96,Data!B20:C25,2)</f>
        <v>12</v>
      </c>
    </row>
    <row r="98" spans="3:11" ht="15" customHeight="1" x14ac:dyDescent="0.2">
      <c r="C98" s="3" t="s">
        <v>90</v>
      </c>
      <c r="D98" s="5" t="s">
        <v>89</v>
      </c>
      <c r="F98" s="41">
        <f>Invulsheet!J86</f>
        <v>4</v>
      </c>
    </row>
    <row r="99" spans="3:11" ht="15" customHeight="1" x14ac:dyDescent="0.2"/>
    <row r="100" spans="3:11" ht="15" customHeight="1" x14ac:dyDescent="0.2">
      <c r="C100" s="3" t="s">
        <v>82</v>
      </c>
      <c r="D100" s="5" t="s">
        <v>54</v>
      </c>
      <c r="F100" s="41">
        <f>Invulsheet!J88</f>
        <v>0</v>
      </c>
    </row>
    <row r="101" spans="3:11" ht="15" customHeight="1" x14ac:dyDescent="0.2">
      <c r="C101" s="3" t="s">
        <v>85</v>
      </c>
      <c r="D101" s="5" t="s">
        <v>84</v>
      </c>
      <c r="F101" s="41">
        <f>Invulsheet!J89</f>
        <v>0</v>
      </c>
      <c r="J101" s="3"/>
    </row>
    <row r="102" spans="3:11" ht="15" customHeight="1" x14ac:dyDescent="0.2">
      <c r="C102" s="3" t="s">
        <v>83</v>
      </c>
      <c r="D102" s="5" t="s">
        <v>59</v>
      </c>
      <c r="F102" s="41">
        <f>Invulsheet!J90</f>
        <v>0</v>
      </c>
    </row>
    <row r="103" spans="3:11" ht="15" customHeight="1" x14ac:dyDescent="0.2">
      <c r="C103" s="3" t="s">
        <v>148</v>
      </c>
      <c r="F103" s="35"/>
      <c r="J103" s="33">
        <f>(52-F96)*F101</f>
        <v>0</v>
      </c>
    </row>
    <row r="104" spans="3:11" ht="15" customHeight="1" x14ac:dyDescent="0.2">
      <c r="C104" s="3" t="s">
        <v>149</v>
      </c>
      <c r="D104" s="5" t="s">
        <v>18</v>
      </c>
      <c r="F104" s="35"/>
      <c r="J104" s="36">
        <f>4.18*F100*J97*J95*(1-F102/100)/1000000</f>
        <v>0</v>
      </c>
    </row>
    <row r="105" spans="3:11" ht="15" customHeight="1" x14ac:dyDescent="0.2">
      <c r="C105" s="3" t="s">
        <v>150</v>
      </c>
      <c r="D105" s="5" t="s">
        <v>56</v>
      </c>
      <c r="F105" s="35"/>
      <c r="I105" s="39">
        <f>J104*J103</f>
        <v>0</v>
      </c>
      <c r="J105" s="3"/>
      <c r="K105" s="3"/>
    </row>
    <row r="106" spans="3:11" ht="15" customHeight="1" x14ac:dyDescent="0.2">
      <c r="F106" s="35"/>
      <c r="I106" s="48"/>
    </row>
    <row r="107" spans="3:11" ht="15" customHeight="1" x14ac:dyDescent="0.2">
      <c r="I107" s="48"/>
    </row>
    <row r="108" spans="3:11" ht="15" customHeight="1" x14ac:dyDescent="0.2">
      <c r="C108" s="3" t="s">
        <v>86</v>
      </c>
      <c r="D108" s="5" t="s">
        <v>84</v>
      </c>
      <c r="F108" s="41">
        <f>Invulsheet!J92</f>
        <v>0</v>
      </c>
      <c r="I108" s="48"/>
    </row>
    <row r="109" spans="3:11" ht="15" customHeight="1" x14ac:dyDescent="0.2">
      <c r="C109" s="3" t="s">
        <v>87</v>
      </c>
      <c r="D109" s="5" t="s">
        <v>88</v>
      </c>
      <c r="F109" s="41">
        <f>Invulsheet!J93</f>
        <v>110</v>
      </c>
      <c r="I109" s="48"/>
    </row>
    <row r="110" spans="3:11" ht="15" customHeight="1" x14ac:dyDescent="0.2">
      <c r="C110" s="3" t="s">
        <v>151</v>
      </c>
      <c r="F110" s="35"/>
      <c r="I110" s="48"/>
      <c r="J110" s="33">
        <f>(52-F103)*F108</f>
        <v>0</v>
      </c>
    </row>
    <row r="111" spans="3:11" ht="15" customHeight="1" x14ac:dyDescent="0.2">
      <c r="C111" s="3" t="s">
        <v>149</v>
      </c>
      <c r="D111" s="5" t="s">
        <v>18</v>
      </c>
      <c r="F111" s="35"/>
      <c r="I111" s="48"/>
      <c r="J111" s="36">
        <f>4.18*J95*F109/1000000</f>
        <v>1.3793999999999999E-2</v>
      </c>
    </row>
    <row r="112" spans="3:11" ht="15" customHeight="1" x14ac:dyDescent="0.2">
      <c r="C112" s="3" t="s">
        <v>150</v>
      </c>
      <c r="D112" s="5" t="s">
        <v>56</v>
      </c>
      <c r="F112" s="35"/>
      <c r="I112" s="39">
        <f>J111*J110</f>
        <v>0</v>
      </c>
      <c r="J112" s="3"/>
      <c r="K112" s="3"/>
    </row>
    <row r="113" spans="1:11" ht="15" customHeight="1" x14ac:dyDescent="0.2">
      <c r="I113" s="48"/>
    </row>
    <row r="114" spans="1:11" ht="15" customHeight="1" x14ac:dyDescent="0.2">
      <c r="C114" s="27" t="s">
        <v>91</v>
      </c>
      <c r="D114" s="5" t="s">
        <v>92</v>
      </c>
      <c r="F114" s="41">
        <f>Invulsheet!J95</f>
        <v>0</v>
      </c>
      <c r="I114" s="48"/>
    </row>
    <row r="115" spans="1:11" ht="15" customHeight="1" x14ac:dyDescent="0.2">
      <c r="C115" s="3" t="s">
        <v>152</v>
      </c>
      <c r="D115" s="5" t="s">
        <v>55</v>
      </c>
      <c r="F115" s="35"/>
      <c r="I115" s="48"/>
      <c r="J115" s="36">
        <f>F114*J97*J95*4.18/1000000</f>
        <v>0</v>
      </c>
    </row>
    <row r="116" spans="1:11" ht="15" customHeight="1" x14ac:dyDescent="0.2">
      <c r="C116" s="3" t="s">
        <v>150</v>
      </c>
      <c r="D116" s="5" t="s">
        <v>56</v>
      </c>
      <c r="F116" s="35"/>
      <c r="I116" s="39">
        <f>J115*(52-F98)*7</f>
        <v>0</v>
      </c>
      <c r="J116" s="3"/>
    </row>
    <row r="117" spans="1:11" ht="15" customHeight="1" x14ac:dyDescent="0.2">
      <c r="F117" s="35"/>
      <c r="I117" s="48"/>
    </row>
    <row r="118" spans="1:11" ht="15" customHeight="1" x14ac:dyDescent="0.2">
      <c r="C118" s="3" t="s">
        <v>153</v>
      </c>
      <c r="D118" s="5" t="s">
        <v>56</v>
      </c>
      <c r="F118" s="35"/>
      <c r="I118" s="39">
        <f>I116+I112+I105</f>
        <v>0</v>
      </c>
    </row>
    <row r="119" spans="1:11" ht="15" customHeight="1" x14ac:dyDescent="0.2">
      <c r="F119" s="24"/>
      <c r="I119" s="48"/>
    </row>
    <row r="120" spans="1:11" s="107" customFormat="1" ht="15" customHeight="1" x14ac:dyDescent="0.2">
      <c r="A120" s="112"/>
      <c r="C120" s="1" t="s">
        <v>265</v>
      </c>
      <c r="D120" s="5"/>
      <c r="E120" s="11"/>
      <c r="F120" s="24"/>
      <c r="G120" s="11"/>
      <c r="H120" s="11"/>
      <c r="I120" s="48"/>
      <c r="J120" s="11"/>
      <c r="K120" s="11"/>
    </row>
    <row r="121" spans="1:11" s="107" customFormat="1" ht="15" customHeight="1" x14ac:dyDescent="0.2">
      <c r="A121" s="112"/>
      <c r="C121" s="107" t="s">
        <v>266</v>
      </c>
      <c r="D121" s="5"/>
      <c r="E121" s="11"/>
      <c r="F121" s="121">
        <f>Invulsheet!J99</f>
        <v>1</v>
      </c>
      <c r="G121" s="11"/>
      <c r="H121" s="11"/>
      <c r="I121" s="39">
        <f>F121*I118</f>
        <v>0</v>
      </c>
      <c r="J121" s="5" t="s">
        <v>56</v>
      </c>
      <c r="K121" s="11"/>
    </row>
    <row r="122" spans="1:11" ht="15" customHeight="1" x14ac:dyDescent="0.2">
      <c r="C122" s="3" t="s">
        <v>93</v>
      </c>
      <c r="F122" s="41">
        <f>Invulsheet!J100</f>
        <v>0</v>
      </c>
      <c r="I122" s="48"/>
    </row>
    <row r="123" spans="1:11" ht="15" customHeight="1" x14ac:dyDescent="0.2">
      <c r="C123" s="3" t="s">
        <v>95</v>
      </c>
      <c r="F123" s="43">
        <f>Invulsheet!J101</f>
        <v>0</v>
      </c>
      <c r="I123" s="48"/>
    </row>
    <row r="124" spans="1:11" s="107" customFormat="1" ht="15" customHeight="1" x14ac:dyDescent="0.2">
      <c r="A124" s="112"/>
      <c r="C124" s="107" t="s">
        <v>268</v>
      </c>
      <c r="D124" s="5"/>
      <c r="E124" s="11"/>
      <c r="F124" s="43">
        <f>Invulsheet!J102</f>
        <v>0</v>
      </c>
      <c r="G124" s="11"/>
      <c r="H124" s="11"/>
      <c r="I124" s="39">
        <f>-1*F124</f>
        <v>0</v>
      </c>
      <c r="J124" s="5" t="s">
        <v>56</v>
      </c>
      <c r="K124" s="11" t="str">
        <f>IF(I125+I124+I121&lt;0,"Overproductie!","")</f>
        <v/>
      </c>
    </row>
    <row r="125" spans="1:11" s="107" customFormat="1" ht="15" customHeight="1" x14ac:dyDescent="0.2">
      <c r="A125" s="112"/>
      <c r="C125" s="107" t="s">
        <v>154</v>
      </c>
      <c r="D125" s="5"/>
      <c r="E125" s="11"/>
      <c r="F125" s="43">
        <f>Invulsheet!J103</f>
        <v>0</v>
      </c>
      <c r="G125" s="11"/>
      <c r="H125" s="11"/>
      <c r="I125" s="39">
        <f>IFERROR(VLOOKUP(F125,Data!$E$20:$F$23,2,FALSE)*F121,0)</f>
        <v>0</v>
      </c>
      <c r="J125" s="5" t="s">
        <v>56</v>
      </c>
      <c r="K125" s="11"/>
    </row>
    <row r="126" spans="1:11" ht="15" customHeight="1" x14ac:dyDescent="0.2">
      <c r="C126" s="3" t="s">
        <v>155</v>
      </c>
      <c r="D126" s="5" t="s">
        <v>56</v>
      </c>
      <c r="I126" s="39">
        <f>IFERROR(MAX(0, I121+I124+I125)/F123,0)</f>
        <v>0</v>
      </c>
      <c r="J126" s="5" t="s">
        <v>56</v>
      </c>
    </row>
    <row r="127" spans="1:11" s="107" customFormat="1" ht="15" customHeight="1" x14ac:dyDescent="0.2">
      <c r="A127" s="112"/>
      <c r="D127" s="5"/>
      <c r="E127" s="11"/>
      <c r="F127" s="45"/>
      <c r="G127" s="11"/>
      <c r="H127" s="11"/>
      <c r="I127" s="120"/>
      <c r="J127" s="11"/>
      <c r="K127" s="11"/>
    </row>
    <row r="128" spans="1:11" s="107" customFormat="1" ht="15" customHeight="1" x14ac:dyDescent="0.2">
      <c r="A128" s="112"/>
      <c r="C128" s="1" t="s">
        <v>267</v>
      </c>
      <c r="D128" s="5"/>
      <c r="E128" s="11"/>
      <c r="F128" s="45"/>
      <c r="G128" s="11"/>
      <c r="H128" s="11"/>
      <c r="I128" s="120"/>
      <c r="J128" s="11"/>
      <c r="K128" s="11"/>
    </row>
    <row r="129" spans="1:12" s="107" customFormat="1" ht="15" customHeight="1" x14ac:dyDescent="0.2">
      <c r="A129" s="112"/>
      <c r="C129" s="107" t="s">
        <v>266</v>
      </c>
      <c r="D129" s="5"/>
      <c r="E129" s="11"/>
      <c r="F129" s="121">
        <f>Invulsheet!K106</f>
        <v>0</v>
      </c>
      <c r="G129" s="11"/>
      <c r="H129" s="11"/>
      <c r="I129" s="39">
        <f>F129*I118</f>
        <v>0</v>
      </c>
      <c r="J129" s="5" t="s">
        <v>56</v>
      </c>
      <c r="K129" s="11"/>
    </row>
    <row r="130" spans="1:12" s="107" customFormat="1" ht="15" customHeight="1" x14ac:dyDescent="0.2">
      <c r="A130" s="112"/>
      <c r="C130" s="107" t="s">
        <v>93</v>
      </c>
      <c r="D130" s="5"/>
      <c r="E130" s="11"/>
      <c r="F130" s="121" t="str">
        <f>Invulsheet!J107</f>
        <v>Elektriciteit</v>
      </c>
      <c r="G130" s="11"/>
      <c r="H130" s="11"/>
      <c r="I130" s="120"/>
      <c r="J130" s="11"/>
      <c r="K130" s="11"/>
    </row>
    <row r="131" spans="1:12" s="107" customFormat="1" ht="15" customHeight="1" x14ac:dyDescent="0.2">
      <c r="A131" s="112"/>
      <c r="C131" s="107" t="s">
        <v>95</v>
      </c>
      <c r="D131" s="5"/>
      <c r="E131" s="11"/>
      <c r="F131" s="122">
        <f>Invulsheet!J108</f>
        <v>1</v>
      </c>
      <c r="G131" s="11"/>
      <c r="H131" s="11"/>
      <c r="I131" s="120"/>
      <c r="J131" s="11"/>
      <c r="K131" s="11"/>
    </row>
    <row r="132" spans="1:12" s="107" customFormat="1" ht="15" customHeight="1" x14ac:dyDescent="0.2">
      <c r="A132" s="112"/>
      <c r="C132" s="107" t="s">
        <v>154</v>
      </c>
      <c r="D132" s="5"/>
      <c r="E132" s="11"/>
      <c r="F132" s="121" t="str">
        <f>Invulsheet!J109</f>
        <v>Geen</v>
      </c>
      <c r="G132" s="11"/>
      <c r="H132" s="11"/>
      <c r="I132" s="39">
        <f>VLOOKUP(F132,Data!$E$20:$F$23,2,FALSE)*F129</f>
        <v>0</v>
      </c>
      <c r="J132" s="5" t="s">
        <v>56</v>
      </c>
      <c r="K132" s="11"/>
    </row>
    <row r="133" spans="1:12" s="107" customFormat="1" ht="15" customHeight="1" x14ac:dyDescent="0.2">
      <c r="A133" s="112"/>
      <c r="C133" s="107" t="s">
        <v>155</v>
      </c>
      <c r="D133" s="5" t="s">
        <v>56</v>
      </c>
      <c r="E133" s="11"/>
      <c r="F133" s="45"/>
      <c r="G133" s="11"/>
      <c r="H133" s="11"/>
      <c r="I133" s="39">
        <f>MAX(0, I129+I132)/F131</f>
        <v>0</v>
      </c>
      <c r="J133" s="5" t="s">
        <v>56</v>
      </c>
      <c r="K133" s="11"/>
    </row>
    <row r="134" spans="1:12" ht="15" customHeight="1" x14ac:dyDescent="0.2">
      <c r="F134" s="24"/>
    </row>
    <row r="135" spans="1:12" ht="15" customHeight="1" x14ac:dyDescent="0.2"/>
    <row r="136" spans="1:12" ht="24" customHeight="1" x14ac:dyDescent="0.3">
      <c r="C136" s="9" t="s">
        <v>96</v>
      </c>
      <c r="D136" s="23"/>
      <c r="E136" s="12"/>
      <c r="F136" s="12"/>
      <c r="G136" s="12"/>
      <c r="H136" s="12"/>
      <c r="I136" s="12"/>
      <c r="J136" s="12"/>
      <c r="K136" s="12"/>
    </row>
    <row r="137" spans="1:12" ht="15" customHeight="1" x14ac:dyDescent="0.2"/>
    <row r="138" spans="1:12" s="107" customFormat="1" ht="15" customHeight="1" x14ac:dyDescent="0.2">
      <c r="A138" s="112"/>
      <c r="C138" s="1" t="s">
        <v>265</v>
      </c>
      <c r="D138" s="5"/>
      <c r="E138" s="11"/>
      <c r="F138" s="11"/>
      <c r="G138" s="11"/>
      <c r="H138" s="11"/>
      <c r="I138" s="11"/>
      <c r="J138" s="11"/>
      <c r="K138" s="11"/>
    </row>
    <row r="139" spans="1:12" s="107" customFormat="1" ht="15" customHeight="1" x14ac:dyDescent="0.2">
      <c r="A139" s="112"/>
      <c r="C139" s="107" t="s">
        <v>266</v>
      </c>
      <c r="D139" s="5"/>
      <c r="E139" s="11"/>
      <c r="F139" s="121">
        <f>Invulsheet!J115</f>
        <v>1</v>
      </c>
      <c r="G139" s="11"/>
      <c r="H139" s="11"/>
      <c r="I139" s="38">
        <f>J208*F139/1000</f>
        <v>0</v>
      </c>
      <c r="J139" s="5" t="s">
        <v>56</v>
      </c>
      <c r="K139" s="11"/>
    </row>
    <row r="140" spans="1:12" ht="15" customHeight="1" x14ac:dyDescent="0.2">
      <c r="C140" s="3" t="s">
        <v>97</v>
      </c>
      <c r="F140" s="41">
        <f>Invulsheet!J116</f>
        <v>0</v>
      </c>
    </row>
    <row r="141" spans="1:12" ht="15" customHeight="1" x14ac:dyDescent="0.2">
      <c r="C141" s="3" t="s">
        <v>98</v>
      </c>
      <c r="F141" s="43">
        <f>Invulsheet!J117</f>
        <v>0</v>
      </c>
    </row>
    <row r="142" spans="1:12" s="107" customFormat="1" ht="15" customHeight="1" x14ac:dyDescent="0.2">
      <c r="A142" s="112"/>
      <c r="D142" s="5"/>
      <c r="E142" s="11"/>
      <c r="F142" s="11"/>
      <c r="G142" s="11"/>
      <c r="H142" s="11"/>
      <c r="I142" s="11"/>
      <c r="J142" s="5"/>
      <c r="K142" s="129"/>
      <c r="L142" s="129"/>
    </row>
    <row r="143" spans="1:12" s="107" customFormat="1" ht="15" customHeight="1" x14ac:dyDescent="0.2">
      <c r="A143" s="112"/>
      <c r="C143" s="107" t="s">
        <v>270</v>
      </c>
      <c r="D143" s="5" t="s">
        <v>56</v>
      </c>
      <c r="E143" s="11"/>
      <c r="F143" s="41">
        <f>Invulsheet!J119</f>
        <v>0</v>
      </c>
      <c r="G143" s="11"/>
      <c r="H143" s="11"/>
      <c r="I143" s="38">
        <f>-1*F143</f>
        <v>0</v>
      </c>
      <c r="J143" s="5" t="s">
        <v>56</v>
      </c>
      <c r="K143" s="129" t="str">
        <f>IF(I143+I139&lt;0,"Overproductie","")</f>
        <v/>
      </c>
      <c r="L143" s="129"/>
    </row>
    <row r="144" spans="1:12" s="107" customFormat="1" ht="15" customHeight="1" x14ac:dyDescent="0.2">
      <c r="A144" s="112"/>
      <c r="C144" s="107" t="s">
        <v>165</v>
      </c>
      <c r="D144" s="5" t="s">
        <v>56</v>
      </c>
      <c r="E144" s="11"/>
      <c r="F144" s="124"/>
      <c r="G144" s="11"/>
      <c r="H144" s="11"/>
      <c r="I144" s="38" t="e">
        <f>MAX(0,I143+I139)/F141</f>
        <v>#DIV/0!</v>
      </c>
      <c r="J144" s="5" t="s">
        <v>56</v>
      </c>
      <c r="K144" s="11"/>
    </row>
    <row r="145" spans="1:12" s="107" customFormat="1" ht="15" customHeight="1" x14ac:dyDescent="0.2">
      <c r="A145" s="112"/>
      <c r="D145" s="5"/>
      <c r="E145" s="11"/>
      <c r="F145" s="124"/>
      <c r="G145" s="11"/>
      <c r="H145" s="11"/>
      <c r="I145" s="11"/>
      <c r="J145" s="11"/>
      <c r="K145" s="11"/>
    </row>
    <row r="146" spans="1:12" s="107" customFormat="1" ht="15" customHeight="1" x14ac:dyDescent="0.2">
      <c r="A146" s="112"/>
      <c r="C146" s="1" t="s">
        <v>267</v>
      </c>
      <c r="D146" s="5"/>
      <c r="E146" s="11"/>
      <c r="F146" s="124"/>
      <c r="G146" s="11"/>
      <c r="H146" s="11"/>
      <c r="I146" s="11"/>
      <c r="J146" s="11"/>
      <c r="K146" s="11"/>
    </row>
    <row r="147" spans="1:12" s="107" customFormat="1" ht="15" customHeight="1" x14ac:dyDescent="0.2">
      <c r="A147" s="112"/>
      <c r="C147" s="107" t="s">
        <v>266</v>
      </c>
      <c r="D147" s="5"/>
      <c r="E147" s="11"/>
      <c r="F147" s="121">
        <f>Invulsheet!K122</f>
        <v>0</v>
      </c>
      <c r="G147" s="11"/>
      <c r="H147" s="11"/>
      <c r="I147" s="38">
        <f>J208*F147/1000</f>
        <v>0</v>
      </c>
      <c r="J147" s="5" t="s">
        <v>56</v>
      </c>
      <c r="K147" s="11"/>
    </row>
    <row r="148" spans="1:12" s="107" customFormat="1" ht="15" customHeight="1" x14ac:dyDescent="0.2">
      <c r="A148" s="112"/>
      <c r="C148" s="107" t="s">
        <v>97</v>
      </c>
      <c r="D148" s="5"/>
      <c r="E148" s="11"/>
      <c r="F148" s="41" t="str">
        <f>Invulsheet!J123</f>
        <v>Gas</v>
      </c>
      <c r="G148" s="11"/>
      <c r="H148" s="11"/>
      <c r="I148" s="11"/>
      <c r="J148" s="11"/>
      <c r="K148" s="11"/>
    </row>
    <row r="149" spans="1:12" s="107" customFormat="1" ht="15" customHeight="1" x14ac:dyDescent="0.2">
      <c r="A149" s="112"/>
      <c r="C149" s="107" t="s">
        <v>98</v>
      </c>
      <c r="D149" s="5"/>
      <c r="E149" s="11"/>
      <c r="F149" s="43">
        <f>Invulsheet!J124</f>
        <v>1</v>
      </c>
      <c r="G149" s="11"/>
      <c r="H149" s="11"/>
      <c r="I149" s="11"/>
      <c r="J149" s="11"/>
      <c r="K149" s="11"/>
    </row>
    <row r="150" spans="1:12" ht="15" customHeight="1" x14ac:dyDescent="0.2">
      <c r="C150" s="107" t="s">
        <v>269</v>
      </c>
      <c r="D150" s="5" t="s">
        <v>247</v>
      </c>
      <c r="F150" s="41">
        <f>Invulsheet!J125</f>
        <v>0</v>
      </c>
      <c r="I150" s="38">
        <f>F150*1.5*F147</f>
        <v>0</v>
      </c>
      <c r="J150" s="5" t="s">
        <v>48</v>
      </c>
      <c r="L150" s="129" t="s">
        <v>338</v>
      </c>
    </row>
    <row r="151" spans="1:12" s="107" customFormat="1" ht="15" customHeight="1" x14ac:dyDescent="0.2">
      <c r="A151" s="112"/>
      <c r="C151" s="107" t="s">
        <v>165</v>
      </c>
      <c r="D151" s="5" t="s">
        <v>56</v>
      </c>
      <c r="E151" s="11"/>
      <c r="F151" s="124"/>
      <c r="G151" s="11"/>
      <c r="H151" s="11"/>
      <c r="I151" s="38">
        <f>I147/F149</f>
        <v>0</v>
      </c>
      <c r="J151" s="5" t="s">
        <v>56</v>
      </c>
      <c r="K151" s="11"/>
    </row>
    <row r="152" spans="1:12" s="107" customFormat="1" ht="15" customHeight="1" x14ac:dyDescent="0.2">
      <c r="A152" s="112"/>
      <c r="D152" s="5"/>
      <c r="E152" s="11"/>
      <c r="F152" s="124"/>
      <c r="G152" s="11"/>
      <c r="H152" s="11"/>
      <c r="I152" s="11"/>
      <c r="J152" s="11"/>
      <c r="K152" s="11"/>
    </row>
    <row r="153" spans="1:12" ht="15" customHeight="1" x14ac:dyDescent="0.2"/>
    <row r="154" spans="1:12" ht="24" customHeight="1" x14ac:dyDescent="0.3">
      <c r="C154" s="9" t="s">
        <v>162</v>
      </c>
      <c r="D154" s="23"/>
      <c r="E154" s="12"/>
      <c r="F154" s="12"/>
      <c r="G154" s="12"/>
      <c r="H154" s="12"/>
      <c r="I154" s="12"/>
      <c r="J154" s="12"/>
      <c r="K154" s="12"/>
    </row>
    <row r="155" spans="1:12" ht="15" customHeight="1" x14ac:dyDescent="0.2"/>
    <row r="156" spans="1:12" ht="15" customHeight="1" x14ac:dyDescent="0.2">
      <c r="E156" s="4" t="s">
        <v>22</v>
      </c>
      <c r="F156" s="4" t="s">
        <v>104</v>
      </c>
      <c r="G156" s="4" t="s">
        <v>106</v>
      </c>
      <c r="H156" s="4"/>
      <c r="I156" s="4" t="s">
        <v>132</v>
      </c>
      <c r="J156" s="4"/>
      <c r="K156" s="4" t="s">
        <v>292</v>
      </c>
    </row>
    <row r="157" spans="1:12" ht="15" customHeight="1" x14ac:dyDescent="0.2">
      <c r="E157" s="4" t="s">
        <v>8</v>
      </c>
      <c r="F157" s="4" t="s">
        <v>105</v>
      </c>
      <c r="G157" s="4" t="s">
        <v>107</v>
      </c>
      <c r="H157" s="4"/>
      <c r="I157" s="4" t="s">
        <v>59</v>
      </c>
      <c r="J157" s="4"/>
      <c r="K157" s="4" t="s">
        <v>49</v>
      </c>
    </row>
    <row r="158" spans="1:12" ht="15" customHeight="1" x14ac:dyDescent="0.2"/>
    <row r="159" spans="1:12" ht="15" customHeight="1" x14ac:dyDescent="0.2">
      <c r="C159" s="3" t="s">
        <v>100</v>
      </c>
      <c r="E159" s="43">
        <f>Invulsheet!I132</f>
        <v>0</v>
      </c>
      <c r="F159" s="43">
        <f>Invulsheet!J132</f>
        <v>0</v>
      </c>
      <c r="G159" s="43">
        <f>Invulsheet!K132</f>
        <v>0</v>
      </c>
      <c r="H159" s="24"/>
      <c r="I159" s="46">
        <f>50+(100-G159)/2</f>
        <v>100</v>
      </c>
      <c r="J159" s="46"/>
      <c r="K159" s="46"/>
    </row>
    <row r="160" spans="1:12" ht="15" customHeight="1" x14ac:dyDescent="0.2">
      <c r="C160" s="3" t="s">
        <v>101</v>
      </c>
      <c r="E160" s="43">
        <f>Invulsheet!I133</f>
        <v>0</v>
      </c>
      <c r="F160" s="43">
        <f>Invulsheet!J133</f>
        <v>0</v>
      </c>
      <c r="G160" s="43">
        <f>Invulsheet!K133</f>
        <v>0</v>
      </c>
      <c r="H160" s="24"/>
      <c r="I160" s="46">
        <f>70+(100-G160)*3/10</f>
        <v>100</v>
      </c>
      <c r="J160" s="46"/>
      <c r="K160" s="46"/>
    </row>
    <row r="161" spans="3:11" ht="15" customHeight="1" x14ac:dyDescent="0.2">
      <c r="C161" s="3" t="s">
        <v>102</v>
      </c>
      <c r="E161" s="43">
        <f>Invulsheet!I134</f>
        <v>0</v>
      </c>
      <c r="F161" s="43">
        <f>Invulsheet!J134</f>
        <v>0</v>
      </c>
      <c r="G161" s="43">
        <f>Invulsheet!K134</f>
        <v>0</v>
      </c>
      <c r="H161" s="24"/>
      <c r="I161" s="46">
        <v>100</v>
      </c>
      <c r="J161" s="46"/>
      <c r="K161" s="46"/>
    </row>
    <row r="162" spans="3:11" ht="15" customHeight="1" x14ac:dyDescent="0.2">
      <c r="C162" s="3" t="s">
        <v>103</v>
      </c>
      <c r="E162" s="43">
        <f>Invulsheet!I135</f>
        <v>0</v>
      </c>
      <c r="F162" s="43">
        <f>Invulsheet!J135</f>
        <v>0</v>
      </c>
      <c r="G162" s="43">
        <f>Invulsheet!K135</f>
        <v>0</v>
      </c>
      <c r="H162" s="24"/>
      <c r="I162" s="46">
        <f>70+(100-G162)*3/10</f>
        <v>100</v>
      </c>
      <c r="J162" s="46"/>
      <c r="K162" s="46"/>
    </row>
    <row r="163" spans="3:11" ht="15" customHeight="1" x14ac:dyDescent="0.2">
      <c r="E163" s="45"/>
      <c r="F163" s="45"/>
      <c r="G163" s="45"/>
      <c r="H163" s="24"/>
      <c r="I163" s="47"/>
      <c r="J163" s="47"/>
      <c r="K163" s="47"/>
    </row>
    <row r="164" spans="3:11" ht="15" customHeight="1" x14ac:dyDescent="0.2">
      <c r="C164" s="3" t="s">
        <v>33</v>
      </c>
      <c r="D164" s="5" t="s">
        <v>49</v>
      </c>
      <c r="E164" s="45"/>
      <c r="F164" s="45"/>
      <c r="G164" s="45"/>
      <c r="H164" s="24"/>
      <c r="I164" s="47"/>
      <c r="J164" s="47"/>
      <c r="K164" s="46">
        <f>Z241</f>
        <v>0</v>
      </c>
    </row>
    <row r="165" spans="3:11" ht="15" customHeight="1" x14ac:dyDescent="0.2"/>
    <row r="166" spans="3:11" ht="15" customHeight="1" x14ac:dyDescent="0.2"/>
    <row r="167" spans="3:11" ht="24" customHeight="1" x14ac:dyDescent="0.3">
      <c r="C167" s="9" t="s">
        <v>200</v>
      </c>
      <c r="D167" s="23"/>
      <c r="E167" s="12"/>
      <c r="F167" s="12"/>
      <c r="G167" s="12"/>
      <c r="H167" s="12"/>
      <c r="I167" s="12"/>
      <c r="J167" s="12"/>
      <c r="K167" s="12"/>
    </row>
    <row r="168" spans="3:11" ht="15" customHeight="1" x14ac:dyDescent="0.2"/>
    <row r="169" spans="3:11" ht="15" customHeight="1" x14ac:dyDescent="0.2">
      <c r="C169" s="3" t="s">
        <v>194</v>
      </c>
      <c r="F169" s="41">
        <f>Invulsheet!J140</f>
        <v>0</v>
      </c>
    </row>
    <row r="170" spans="3:11" ht="15" customHeight="1" x14ac:dyDescent="0.2">
      <c r="C170" s="3" t="s">
        <v>195</v>
      </c>
      <c r="F170" s="41">
        <f>Invulsheet!J141</f>
        <v>0</v>
      </c>
      <c r="J170" s="11" t="s">
        <v>94</v>
      </c>
      <c r="K170" s="11" t="s">
        <v>117</v>
      </c>
    </row>
    <row r="171" spans="3:11" ht="15" customHeight="1" x14ac:dyDescent="0.2">
      <c r="I171" s="11" t="s">
        <v>204</v>
      </c>
      <c r="J171" s="11" t="s">
        <v>206</v>
      </c>
      <c r="K171" s="11" t="s">
        <v>205</v>
      </c>
    </row>
    <row r="172" spans="3:11" ht="15" customHeight="1" x14ac:dyDescent="0.2">
      <c r="C172" s="3" t="s">
        <v>157</v>
      </c>
      <c r="I172" s="46" t="e">
        <f>VLOOKUP(F169,Data!B9:C11,2,FALSE)</f>
        <v>#N/A</v>
      </c>
      <c r="J172" s="46">
        <f>IF(F170="Gas",I172/35.17/Data!B15,0)</f>
        <v>0</v>
      </c>
      <c r="K172" s="46" t="e">
        <f>IF(F170&lt;&gt;"Gas",I172/3.6/Data!C15,0)</f>
        <v>#N/A</v>
      </c>
    </row>
    <row r="173" spans="3:11" ht="15" customHeight="1" x14ac:dyDescent="0.2">
      <c r="I173" s="47"/>
      <c r="J173" s="47"/>
      <c r="K173" s="47"/>
    </row>
    <row r="174" spans="3:11" ht="15" customHeight="1" x14ac:dyDescent="0.2"/>
    <row r="175" spans="3:11" ht="24" customHeight="1" x14ac:dyDescent="0.3">
      <c r="C175" s="9" t="s">
        <v>201</v>
      </c>
      <c r="D175" s="23"/>
      <c r="E175" s="12"/>
      <c r="F175" s="12"/>
      <c r="G175" s="12"/>
      <c r="H175" s="12"/>
      <c r="I175" s="12"/>
      <c r="J175" s="12"/>
      <c r="K175" s="12"/>
    </row>
    <row r="176" spans="3:11" ht="15" customHeight="1" x14ac:dyDescent="0.2"/>
    <row r="177" spans="3:11" ht="15" customHeight="1" x14ac:dyDescent="0.2">
      <c r="I177" s="11" t="s">
        <v>157</v>
      </c>
      <c r="J177" s="11" t="s">
        <v>157</v>
      </c>
      <c r="K177" s="11" t="s">
        <v>159</v>
      </c>
    </row>
    <row r="178" spans="3:11" ht="15" customHeight="1" x14ac:dyDescent="0.2">
      <c r="I178" s="11" t="s">
        <v>156</v>
      </c>
      <c r="J178" s="11" t="s">
        <v>48</v>
      </c>
      <c r="K178" s="11" t="s">
        <v>48</v>
      </c>
    </row>
    <row r="179" spans="3:11" ht="15" customHeight="1" x14ac:dyDescent="0.2"/>
    <row r="180" spans="3:11" ht="15" customHeight="1" x14ac:dyDescent="0.2">
      <c r="C180" s="3" t="s">
        <v>111</v>
      </c>
      <c r="D180" s="5" t="s">
        <v>112</v>
      </c>
      <c r="F180" s="43">
        <f>Invulsheet!J146</f>
        <v>0</v>
      </c>
      <c r="I180" s="7">
        <f>1.39</f>
        <v>1.39</v>
      </c>
      <c r="J180" s="46">
        <f>I180*F180*52</f>
        <v>0</v>
      </c>
      <c r="K180" s="46">
        <f>J180*0.2</f>
        <v>0</v>
      </c>
    </row>
    <row r="181" spans="3:11" ht="15" customHeight="1" x14ac:dyDescent="0.2">
      <c r="C181" s="3" t="s">
        <v>113</v>
      </c>
      <c r="D181" s="5" t="s">
        <v>112</v>
      </c>
      <c r="F181" s="43">
        <f>Invulsheet!J147</f>
        <v>0</v>
      </c>
      <c r="I181" s="2">
        <v>1.1000000000000001</v>
      </c>
      <c r="J181" s="46">
        <f>I181*F181*52</f>
        <v>0</v>
      </c>
      <c r="K181" s="46">
        <v>0</v>
      </c>
    </row>
    <row r="182" spans="3:11" ht="15" customHeight="1" x14ac:dyDescent="0.2">
      <c r="C182" s="3" t="s">
        <v>114</v>
      </c>
      <c r="D182" s="5" t="s">
        <v>112</v>
      </c>
      <c r="F182" s="43">
        <f>Invulsheet!J148</f>
        <v>0</v>
      </c>
      <c r="I182" s="7">
        <f>2.85</f>
        <v>2.85</v>
      </c>
      <c r="J182" s="46">
        <f>I182*F182*52</f>
        <v>0</v>
      </c>
      <c r="K182" s="46">
        <f>J182*0.2</f>
        <v>0</v>
      </c>
    </row>
    <row r="183" spans="3:11" ht="15" customHeight="1" x14ac:dyDescent="0.2">
      <c r="C183" s="107" t="s">
        <v>313</v>
      </c>
      <c r="D183" s="5" t="s">
        <v>48</v>
      </c>
      <c r="F183" s="41">
        <f>Invulsheet!J152</f>
        <v>0</v>
      </c>
      <c r="J183" s="46">
        <f>F183</f>
        <v>0</v>
      </c>
      <c r="K183" s="46">
        <f>J183</f>
        <v>0</v>
      </c>
    </row>
    <row r="184" spans="3:11" ht="15" customHeight="1" x14ac:dyDescent="0.2">
      <c r="C184" s="3" t="s">
        <v>115</v>
      </c>
      <c r="D184" s="5" t="s">
        <v>48</v>
      </c>
      <c r="F184" s="41">
        <f>Invulsheet!J150</f>
        <v>0</v>
      </c>
      <c r="J184" s="46">
        <f>F184</f>
        <v>0</v>
      </c>
      <c r="K184" s="46">
        <f>F184</f>
        <v>0</v>
      </c>
    </row>
    <row r="185" spans="3:11" ht="15" customHeight="1" x14ac:dyDescent="0.2">
      <c r="C185" s="3" t="s">
        <v>32</v>
      </c>
      <c r="D185" s="5" t="s">
        <v>48</v>
      </c>
      <c r="F185" s="41">
        <f>Invulsheet!K166</f>
        <v>0</v>
      </c>
      <c r="J185" s="46">
        <f>F185</f>
        <v>0</v>
      </c>
      <c r="K185" s="46">
        <f>F185</f>
        <v>0</v>
      </c>
    </row>
    <row r="186" spans="3:11" ht="15" customHeight="1" x14ac:dyDescent="0.2"/>
    <row r="187" spans="3:11" ht="15" customHeight="1" x14ac:dyDescent="0.2">
      <c r="C187" s="3" t="s">
        <v>33</v>
      </c>
      <c r="J187" s="46">
        <f>SUM(J180:J185)</f>
        <v>0</v>
      </c>
      <c r="K187" s="46">
        <f>SUM(K180:K185)</f>
        <v>0</v>
      </c>
    </row>
    <row r="188" spans="3:11" ht="15" customHeight="1" x14ac:dyDescent="0.2"/>
    <row r="189" spans="3:11" ht="15" customHeight="1" x14ac:dyDescent="0.2"/>
    <row r="190" spans="3:11" ht="24" customHeight="1" x14ac:dyDescent="0.3">
      <c r="C190" s="9" t="s">
        <v>202</v>
      </c>
      <c r="D190" s="23"/>
      <c r="E190" s="12"/>
      <c r="F190" s="12"/>
      <c r="G190" s="12"/>
      <c r="H190" s="12"/>
      <c r="I190" s="12"/>
      <c r="J190" s="12"/>
      <c r="K190" s="12"/>
    </row>
    <row r="191" spans="3:11" ht="15" customHeight="1" x14ac:dyDescent="0.2"/>
    <row r="192" spans="3:11" ht="15" customHeight="1" x14ac:dyDescent="0.2">
      <c r="C192" s="3" t="s">
        <v>160</v>
      </c>
      <c r="D192" s="5" t="s">
        <v>288</v>
      </c>
      <c r="J192" s="46">
        <f>F25*0.1*F26/100*30.4*24</f>
        <v>0</v>
      </c>
    </row>
    <row r="193" spans="1:11" ht="15" customHeight="1" x14ac:dyDescent="0.2">
      <c r="C193" s="3" t="s">
        <v>161</v>
      </c>
      <c r="D193" s="5" t="s">
        <v>288</v>
      </c>
      <c r="J193" s="46">
        <f>K187/12</f>
        <v>0</v>
      </c>
    </row>
    <row r="194" spans="1:11" s="107" customFormat="1" ht="15" customHeight="1" x14ac:dyDescent="0.2">
      <c r="A194" s="112"/>
      <c r="D194" s="5"/>
      <c r="E194" s="11"/>
      <c r="F194" s="11"/>
      <c r="G194" s="11"/>
      <c r="H194" s="11"/>
      <c r="I194" s="11"/>
      <c r="J194" s="11"/>
      <c r="K194" s="11"/>
    </row>
    <row r="195" spans="1:11" s="107" customFormat="1" ht="15" customHeight="1" x14ac:dyDescent="0.2">
      <c r="A195" s="112"/>
      <c r="C195" s="107" t="s">
        <v>271</v>
      </c>
      <c r="D195" s="5" t="s">
        <v>288</v>
      </c>
      <c r="E195" s="11"/>
      <c r="F195" s="11"/>
      <c r="G195" s="11"/>
      <c r="H195" s="11"/>
      <c r="I195" s="11"/>
      <c r="J195" s="46">
        <f>J88/12</f>
        <v>0</v>
      </c>
      <c r="K195" s="11"/>
    </row>
    <row r="196" spans="1:11" ht="15" customHeight="1" x14ac:dyDescent="0.2"/>
    <row r="197" spans="1:11" ht="15" customHeight="1" x14ac:dyDescent="0.2">
      <c r="C197" s="3" t="s">
        <v>308</v>
      </c>
      <c r="D197" s="5" t="s">
        <v>289</v>
      </c>
      <c r="J197" s="46">
        <f>SUM(J192:J195)*3.6</f>
        <v>0</v>
      </c>
    </row>
    <row r="198" spans="1:11" s="107" customFormat="1" ht="15" customHeight="1" x14ac:dyDescent="0.2">
      <c r="A198" s="112"/>
      <c r="C198" s="107" t="s">
        <v>309</v>
      </c>
      <c r="D198" s="176" t="s">
        <v>49</v>
      </c>
      <c r="E198" s="11"/>
      <c r="F198" s="11"/>
      <c r="G198" s="11"/>
      <c r="H198" s="11"/>
      <c r="I198" s="11"/>
      <c r="J198" s="46">
        <f>AA241</f>
        <v>0</v>
      </c>
      <c r="K198" s="11"/>
    </row>
    <row r="199" spans="1:11" ht="15" customHeight="1" x14ac:dyDescent="0.2"/>
    <row r="200" spans="1:11" ht="15" customHeight="1" x14ac:dyDescent="0.2"/>
    <row r="201" spans="1:11" ht="24" customHeight="1" x14ac:dyDescent="0.3">
      <c r="C201" s="9" t="s">
        <v>203</v>
      </c>
      <c r="D201" s="23"/>
      <c r="E201" s="12"/>
      <c r="F201" s="12"/>
      <c r="G201" s="12"/>
      <c r="H201" s="12"/>
      <c r="I201" s="12"/>
      <c r="J201" s="12"/>
      <c r="K201" s="12"/>
    </row>
    <row r="202" spans="1:11" ht="15" customHeight="1" x14ac:dyDescent="0.2"/>
    <row r="203" spans="1:11" ht="15" customHeight="1" x14ac:dyDescent="0.2">
      <c r="C203" s="3" t="s">
        <v>36</v>
      </c>
      <c r="D203" s="5" t="s">
        <v>49</v>
      </c>
      <c r="J203" s="46">
        <f>-AD241</f>
        <v>0</v>
      </c>
    </row>
    <row r="204" spans="1:11" ht="15" customHeight="1" x14ac:dyDescent="0.2">
      <c r="C204" s="3" t="s">
        <v>21</v>
      </c>
      <c r="D204" s="5" t="s">
        <v>49</v>
      </c>
      <c r="J204" s="46">
        <f>-AC241</f>
        <v>0</v>
      </c>
    </row>
    <row r="205" spans="1:11" ht="15" customHeight="1" x14ac:dyDescent="0.2">
      <c r="C205" s="3" t="s">
        <v>35</v>
      </c>
      <c r="D205" s="5" t="s">
        <v>49</v>
      </c>
      <c r="J205" s="46">
        <f>-K164</f>
        <v>0</v>
      </c>
    </row>
    <row r="206" spans="1:11" ht="15" customHeight="1" x14ac:dyDescent="0.2">
      <c r="C206" s="3" t="s">
        <v>47</v>
      </c>
      <c r="D206" s="5" t="s">
        <v>49</v>
      </c>
      <c r="J206" s="46">
        <f>-J198</f>
        <v>0</v>
      </c>
    </row>
    <row r="207" spans="1:11" ht="15" customHeight="1" x14ac:dyDescent="0.2"/>
    <row r="208" spans="1:11" ht="15" customHeight="1" x14ac:dyDescent="0.2">
      <c r="C208" s="3" t="s">
        <v>164</v>
      </c>
      <c r="D208" s="5" t="s">
        <v>49</v>
      </c>
      <c r="J208" s="46">
        <f>MAX(0, SUM(J203:J206))</f>
        <v>0</v>
      </c>
    </row>
    <row r="209" spans="1:11" ht="15" customHeight="1" x14ac:dyDescent="0.2">
      <c r="C209" s="3" t="s">
        <v>165</v>
      </c>
      <c r="D209" s="5" t="s">
        <v>49</v>
      </c>
      <c r="J209" s="46" t="e">
        <f>(I151+I144)*1000</f>
        <v>#DIV/0!</v>
      </c>
    </row>
    <row r="210" spans="1:11" ht="15" customHeight="1" x14ac:dyDescent="0.2"/>
    <row r="211" spans="1:11" ht="15" customHeight="1" x14ac:dyDescent="0.2"/>
    <row r="212" spans="1:11" s="107" customFormat="1" ht="24" customHeight="1" x14ac:dyDescent="0.3">
      <c r="A212" s="112"/>
      <c r="C212" s="9" t="s">
        <v>272</v>
      </c>
      <c r="D212" s="23"/>
      <c r="E212" s="12"/>
      <c r="F212" s="12"/>
      <c r="G212" s="12"/>
      <c r="H212" s="12"/>
      <c r="I212" s="12"/>
      <c r="J212" s="12"/>
      <c r="K212" s="12"/>
    </row>
    <row r="213" spans="1:11" s="107" customFormat="1" ht="15" customHeight="1" x14ac:dyDescent="0.2">
      <c r="A213" s="112"/>
      <c r="D213" s="5"/>
      <c r="E213" s="11"/>
      <c r="F213" s="11"/>
      <c r="G213" s="11"/>
      <c r="H213" s="11"/>
      <c r="I213" s="11"/>
      <c r="J213" s="11"/>
      <c r="K213" s="11"/>
    </row>
    <row r="214" spans="1:11" ht="15" customHeight="1" x14ac:dyDescent="0.2">
      <c r="C214" s="107" t="s">
        <v>233</v>
      </c>
      <c r="D214" s="5" t="s">
        <v>236</v>
      </c>
      <c r="F214" s="41">
        <f>Invulsheet!J172</f>
        <v>7</v>
      </c>
    </row>
    <row r="215" spans="1:11" ht="15" customHeight="1" x14ac:dyDescent="0.2">
      <c r="C215" s="107" t="s">
        <v>234</v>
      </c>
      <c r="D215" s="5" t="s">
        <v>235</v>
      </c>
      <c r="F215" s="41">
        <f>Invulsheet!J173</f>
        <v>225</v>
      </c>
    </row>
    <row r="216" spans="1:11" ht="15" customHeight="1" x14ac:dyDescent="0.2">
      <c r="C216" s="107" t="s">
        <v>237</v>
      </c>
      <c r="F216" s="41" t="str">
        <f>Invulsheet!J174</f>
        <v>West</v>
      </c>
      <c r="J216" s="38">
        <f>IFERROR(VLOOKUP(F216,Data!F33:H37,2,FALSE),0)</f>
        <v>0.8</v>
      </c>
    </row>
    <row r="217" spans="1:11" ht="15" customHeight="1" x14ac:dyDescent="0.2">
      <c r="C217" s="107" t="s">
        <v>238</v>
      </c>
      <c r="D217" s="5" t="s">
        <v>243</v>
      </c>
      <c r="F217" s="41">
        <f>Invulsheet!J175</f>
        <v>40</v>
      </c>
      <c r="J217" s="38">
        <f>VLOOKUP(F217,Data!I33:J51,2,FALSE)</f>
        <v>0.99099099099099097</v>
      </c>
    </row>
    <row r="218" spans="1:11" ht="15" customHeight="1" x14ac:dyDescent="0.2">
      <c r="C218" s="190" t="s">
        <v>310</v>
      </c>
      <c r="F218" s="41">
        <f>Invulsheet!J176</f>
        <v>0</v>
      </c>
    </row>
    <row r="219" spans="1:11" ht="15" customHeight="1" x14ac:dyDescent="0.2">
      <c r="C219" s="107" t="s">
        <v>244</v>
      </c>
      <c r="D219" s="5" t="s">
        <v>48</v>
      </c>
      <c r="J219" s="46">
        <f>F214*F215*J216*J217*(1-F218)</f>
        <v>1248.6486486486485</v>
      </c>
    </row>
    <row r="220" spans="1:11" ht="15" customHeight="1" x14ac:dyDescent="0.2"/>
    <row r="221" spans="1:11" ht="15" customHeight="1" x14ac:dyDescent="0.2"/>
    <row r="222" spans="1:11" ht="15" customHeight="1" x14ac:dyDescent="0.2"/>
    <row r="223" spans="1:11" ht="15" customHeight="1" x14ac:dyDescent="0.2"/>
    <row r="224" spans="1:11" ht="24" customHeight="1" x14ac:dyDescent="0.3">
      <c r="C224" s="9" t="s">
        <v>287</v>
      </c>
      <c r="D224" s="23"/>
      <c r="E224" s="12"/>
      <c r="F224" s="12"/>
      <c r="G224" s="12"/>
      <c r="H224" s="12"/>
      <c r="I224" s="12"/>
      <c r="J224" s="12"/>
      <c r="K224" s="12"/>
    </row>
    <row r="225" spans="1:36" s="107" customFormat="1" ht="15" customHeight="1" x14ac:dyDescent="0.2">
      <c r="A225" s="112"/>
      <c r="D225" s="5"/>
      <c r="E225" s="11"/>
      <c r="F225" s="11"/>
      <c r="G225" s="11"/>
      <c r="H225" s="11"/>
      <c r="I225" s="11"/>
      <c r="J225" s="11"/>
      <c r="K225" s="11"/>
    </row>
    <row r="226" spans="1:36" s="107" customFormat="1" ht="15" customHeight="1" x14ac:dyDescent="0.2">
      <c r="A226" s="112"/>
      <c r="D226" s="176"/>
      <c r="E226" s="11"/>
      <c r="F226" s="11"/>
      <c r="G226" s="11"/>
      <c r="H226" s="11"/>
      <c r="I226" s="11"/>
      <c r="J226" s="11"/>
      <c r="K226" s="11"/>
      <c r="R226" s="277" t="s">
        <v>302</v>
      </c>
      <c r="S226" s="277"/>
      <c r="T226" s="277"/>
      <c r="U226" s="277"/>
      <c r="V226" s="277"/>
      <c r="W226" s="277"/>
      <c r="X226" s="277"/>
      <c r="Z226" s="278" t="s">
        <v>303</v>
      </c>
      <c r="AA226" s="278"/>
    </row>
    <row r="227" spans="1:36" s="179" customFormat="1" ht="21" customHeight="1" x14ac:dyDescent="0.2">
      <c r="A227" s="178"/>
      <c r="C227" s="179" t="s">
        <v>293</v>
      </c>
      <c r="D227" s="173"/>
      <c r="Q227" s="180" t="s">
        <v>137</v>
      </c>
      <c r="R227" s="180" t="s">
        <v>1</v>
      </c>
      <c r="S227" s="180" t="s">
        <v>2</v>
      </c>
      <c r="T227" s="180" t="s">
        <v>3</v>
      </c>
      <c r="U227" s="180" t="s">
        <v>4</v>
      </c>
      <c r="V227" s="181" t="s">
        <v>158</v>
      </c>
      <c r="W227" s="11" t="s">
        <v>295</v>
      </c>
      <c r="X227" s="181" t="s">
        <v>296</v>
      </c>
      <c r="Z227" s="181" t="s">
        <v>304</v>
      </c>
      <c r="AA227" s="181" t="s">
        <v>295</v>
      </c>
      <c r="AB227" s="181"/>
      <c r="AC227" s="181" t="s">
        <v>297</v>
      </c>
      <c r="AD227" s="181" t="s">
        <v>298</v>
      </c>
      <c r="AE227" s="181" t="s">
        <v>299</v>
      </c>
      <c r="AF227" s="181"/>
      <c r="AG227" s="181" t="s">
        <v>300</v>
      </c>
      <c r="AH227" s="181" t="s">
        <v>301</v>
      </c>
      <c r="AJ227" s="182" t="s">
        <v>33</v>
      </c>
    </row>
    <row r="228" spans="1:36" ht="15" customHeight="1" x14ac:dyDescent="0.2">
      <c r="Q228" s="169">
        <f>Data!J4</f>
        <v>6</v>
      </c>
      <c r="R228" s="183">
        <f>$E$159*$F$159*$I$159/100*Data!L4</f>
        <v>0</v>
      </c>
      <c r="S228" s="183">
        <f>$E$160*$F$160*$I$160/100*Data!M4</f>
        <v>0</v>
      </c>
      <c r="T228" s="183">
        <f>$E$161*$F$161*$I$161/100*Data!N4</f>
        <v>0</v>
      </c>
      <c r="U228" s="183">
        <f>$E$162*$F$162*$I$162/100*Data!O4</f>
        <v>0</v>
      </c>
      <c r="V228" s="183">
        <f t="shared" ref="V228:V234" si="12">SUM(R228:U228)</f>
        <v>0</v>
      </c>
      <c r="W228" s="183">
        <f>$J$197</f>
        <v>0</v>
      </c>
      <c r="X228" s="183">
        <f>SUM(V228:W228)</f>
        <v>0</v>
      </c>
      <c r="Y228" s="27"/>
      <c r="Z228" s="183" t="e">
        <f>V228*AH228</f>
        <v>#DIV/0!</v>
      </c>
      <c r="AA228" s="183" t="e">
        <f>W228*AH228</f>
        <v>#DIV/0!</v>
      </c>
      <c r="AB228" s="27"/>
      <c r="AC228" s="183">
        <f>$K$67*(Data!$K4-$J$23)*30.5*86400/1000000</f>
        <v>0</v>
      </c>
      <c r="AD228" s="183" t="e">
        <f>$J$85*(Data!$K4-$J$23)*30.5*86400/1000000</f>
        <v>#DIV/0!</v>
      </c>
      <c r="AE228" s="183" t="e">
        <f>IF(-1*SUM(AC228:AD228) &lt; 1,1,-1*SUM(AC228:AD228) )</f>
        <v>#DIV/0!</v>
      </c>
      <c r="AF228" s="27"/>
      <c r="AG228" s="184" t="e">
        <f t="shared" ref="AG228:AG239" si="13">X228/AE228</f>
        <v>#DIV/0!</v>
      </c>
      <c r="AH228" s="184" t="e">
        <f>VLOOKUP(AG228,Data!$B$35:$C$55,2)</f>
        <v>#DIV/0!</v>
      </c>
      <c r="AJ228" s="174" t="e">
        <f>SUM(Z228,AA228,AC228,AD228)</f>
        <v>#DIV/0!</v>
      </c>
    </row>
    <row r="229" spans="1:36" ht="15" customHeight="1" x14ac:dyDescent="0.2">
      <c r="Q229" s="169">
        <f>Data!J5</f>
        <v>7</v>
      </c>
      <c r="R229" s="183">
        <f>$E$159*$F$159*$I$159/100*Data!L5</f>
        <v>0</v>
      </c>
      <c r="S229" s="183">
        <f>$E$160*$F$160*$I$160/100*Data!M5</f>
        <v>0</v>
      </c>
      <c r="T229" s="183">
        <f>$E$161*$F$161*$I$161/100*Data!N5</f>
        <v>0</v>
      </c>
      <c r="U229" s="183">
        <f>$E$162*$F$162*$I$162/100*Data!O5</f>
        <v>0</v>
      </c>
      <c r="V229" s="183">
        <f t="shared" si="12"/>
        <v>0</v>
      </c>
      <c r="W229" s="183">
        <f t="shared" ref="W229:W239" si="14">$J$197</f>
        <v>0</v>
      </c>
      <c r="X229" s="183">
        <f t="shared" ref="X229:X239" si="15">SUM(V229:W229)</f>
        <v>0</v>
      </c>
      <c r="Y229" s="27"/>
      <c r="Z229" s="183" t="e">
        <f t="shared" ref="Z229:Z239" si="16">V229*AH229</f>
        <v>#DIV/0!</v>
      </c>
      <c r="AA229" s="183" t="e">
        <f t="shared" ref="AA229:AA239" si="17">W229*AH229</f>
        <v>#DIV/0!</v>
      </c>
      <c r="AB229" s="27"/>
      <c r="AC229" s="183">
        <f>$K$67*(Data!$K5-$J$23)*30.5*86400/1000000</f>
        <v>0</v>
      </c>
      <c r="AD229" s="183" t="e">
        <f>$J$85*(Data!$K5-$J$23)*30.5*86400/1000000</f>
        <v>#DIV/0!</v>
      </c>
      <c r="AE229" s="183" t="e">
        <f t="shared" ref="AE229:AE239" si="18">IF(-1*SUM(AC229:AD229) &lt; 1,1,-1*SUM(AC229:AD229) )</f>
        <v>#DIV/0!</v>
      </c>
      <c r="AF229" s="27"/>
      <c r="AG229" s="184" t="e">
        <f t="shared" si="13"/>
        <v>#DIV/0!</v>
      </c>
      <c r="AH229" s="184" t="e">
        <f>VLOOKUP(AG229,Data!$B$35:$C$55,2)</f>
        <v>#DIV/0!</v>
      </c>
      <c r="AJ229" s="174" t="e">
        <f t="shared" ref="AJ229:AJ239" si="19">SUM(Z229,AA229,AC229,AD229)</f>
        <v>#DIV/0!</v>
      </c>
    </row>
    <row r="230" spans="1:36" ht="15" customHeight="1" x14ac:dyDescent="0.2">
      <c r="Q230" s="169">
        <f>Data!J6</f>
        <v>8</v>
      </c>
      <c r="R230" s="183">
        <f>$E$159*$F$159*$I$159/100*Data!L6</f>
        <v>0</v>
      </c>
      <c r="S230" s="183">
        <f>$E$160*$F$160*$I$160/100*Data!M6</f>
        <v>0</v>
      </c>
      <c r="T230" s="183">
        <f>$E$161*$F$161*$I$161/100*Data!N6</f>
        <v>0</v>
      </c>
      <c r="U230" s="183">
        <f>$E$162*$F$162*$I$162/100*Data!O6</f>
        <v>0</v>
      </c>
      <c r="V230" s="183">
        <f t="shared" si="12"/>
        <v>0</v>
      </c>
      <c r="W230" s="183">
        <f t="shared" si="14"/>
        <v>0</v>
      </c>
      <c r="X230" s="183">
        <f t="shared" si="15"/>
        <v>0</v>
      </c>
      <c r="Y230" s="27"/>
      <c r="Z230" s="183" t="e">
        <f t="shared" si="16"/>
        <v>#DIV/0!</v>
      </c>
      <c r="AA230" s="183" t="e">
        <f t="shared" si="17"/>
        <v>#DIV/0!</v>
      </c>
      <c r="AB230" s="27"/>
      <c r="AC230" s="183">
        <f>$K$67*(Data!$K6-$J$23)*30.5*86400/1000000</f>
        <v>0</v>
      </c>
      <c r="AD230" s="183" t="e">
        <f>$J$85*(Data!$K6-$J$23)*30.5*86400/1000000</f>
        <v>#DIV/0!</v>
      </c>
      <c r="AE230" s="183" t="e">
        <f t="shared" si="18"/>
        <v>#DIV/0!</v>
      </c>
      <c r="AF230" s="27"/>
      <c r="AG230" s="184" t="e">
        <f t="shared" si="13"/>
        <v>#DIV/0!</v>
      </c>
      <c r="AH230" s="184" t="e">
        <f>VLOOKUP(AG230,Data!$B$35:$C$55,2)</f>
        <v>#DIV/0!</v>
      </c>
      <c r="AJ230" s="174" t="e">
        <f t="shared" si="19"/>
        <v>#DIV/0!</v>
      </c>
    </row>
    <row r="231" spans="1:36" ht="15" customHeight="1" x14ac:dyDescent="0.2">
      <c r="Q231" s="169">
        <f>Data!J7</f>
        <v>9</v>
      </c>
      <c r="R231" s="183">
        <f>$E$159*$F$159*$I$159/100*Data!L7</f>
        <v>0</v>
      </c>
      <c r="S231" s="183">
        <f>$E$160*$F$160*$I$160/100*Data!M7</f>
        <v>0</v>
      </c>
      <c r="T231" s="183">
        <f>$E$161*$F$161*$I$161/100*Data!N7</f>
        <v>0</v>
      </c>
      <c r="U231" s="183">
        <f>$E$162*$F$162*$I$162/100*Data!O7</f>
        <v>0</v>
      </c>
      <c r="V231" s="183">
        <f t="shared" si="12"/>
        <v>0</v>
      </c>
      <c r="W231" s="183">
        <f t="shared" si="14"/>
        <v>0</v>
      </c>
      <c r="X231" s="183">
        <f t="shared" si="15"/>
        <v>0</v>
      </c>
      <c r="Y231" s="27"/>
      <c r="Z231" s="183" t="e">
        <f t="shared" si="16"/>
        <v>#DIV/0!</v>
      </c>
      <c r="AA231" s="183" t="e">
        <f t="shared" si="17"/>
        <v>#DIV/0!</v>
      </c>
      <c r="AB231" s="27"/>
      <c r="AC231" s="183">
        <f>$K$67*(Data!$K7-$J$23)*30.5*86400/1000000</f>
        <v>0</v>
      </c>
      <c r="AD231" s="183" t="e">
        <f>$J$85*(Data!$K7-$J$23)*30.5*86400/1000000</f>
        <v>#DIV/0!</v>
      </c>
      <c r="AE231" s="183" t="e">
        <f t="shared" si="18"/>
        <v>#DIV/0!</v>
      </c>
      <c r="AF231" s="27"/>
      <c r="AG231" s="184" t="e">
        <f t="shared" si="13"/>
        <v>#DIV/0!</v>
      </c>
      <c r="AH231" s="184" t="e">
        <f>VLOOKUP(AG231,Data!$B$35:$C$55,2)</f>
        <v>#DIV/0!</v>
      </c>
      <c r="AJ231" s="174" t="e">
        <f t="shared" si="19"/>
        <v>#DIV/0!</v>
      </c>
    </row>
    <row r="232" spans="1:36" ht="15" customHeight="1" x14ac:dyDescent="0.2">
      <c r="Q232" s="169">
        <f>Data!J8</f>
        <v>10</v>
      </c>
      <c r="R232" s="183">
        <f>$E$159*$F$159*$I$159/100*Data!L8</f>
        <v>0</v>
      </c>
      <c r="S232" s="183">
        <f>$E$160*$F$160*$I$160/100*Data!M8</f>
        <v>0</v>
      </c>
      <c r="T232" s="183">
        <f>$E$161*$F$161*$I$161/100*Data!N8</f>
        <v>0</v>
      </c>
      <c r="U232" s="183">
        <f>$E$162*$F$162*$I$162/100*Data!O8</f>
        <v>0</v>
      </c>
      <c r="V232" s="183">
        <f t="shared" si="12"/>
        <v>0</v>
      </c>
      <c r="W232" s="183">
        <f t="shared" si="14"/>
        <v>0</v>
      </c>
      <c r="X232" s="183">
        <f t="shared" si="15"/>
        <v>0</v>
      </c>
      <c r="Y232" s="27"/>
      <c r="Z232" s="183" t="e">
        <f t="shared" si="16"/>
        <v>#DIV/0!</v>
      </c>
      <c r="AA232" s="183" t="e">
        <f t="shared" si="17"/>
        <v>#DIV/0!</v>
      </c>
      <c r="AB232" s="27"/>
      <c r="AC232" s="183">
        <f>$K$67*(Data!$K8-$J$23)*30.5*86400/1000000</f>
        <v>0</v>
      </c>
      <c r="AD232" s="183" t="e">
        <f>$J$85*(Data!$K8-$J$23)*30.5*86400/1000000</f>
        <v>#DIV/0!</v>
      </c>
      <c r="AE232" s="183" t="e">
        <f t="shared" si="18"/>
        <v>#DIV/0!</v>
      </c>
      <c r="AF232" s="27"/>
      <c r="AG232" s="184" t="e">
        <f t="shared" si="13"/>
        <v>#DIV/0!</v>
      </c>
      <c r="AH232" s="184" t="e">
        <f>VLOOKUP(AG232,Data!$B$35:$C$55,2)</f>
        <v>#DIV/0!</v>
      </c>
      <c r="AJ232" s="174" t="e">
        <f t="shared" si="19"/>
        <v>#DIV/0!</v>
      </c>
    </row>
    <row r="233" spans="1:36" ht="15" customHeight="1" x14ac:dyDescent="0.2">
      <c r="Q233" s="169">
        <f>Data!J9</f>
        <v>11</v>
      </c>
      <c r="R233" s="183">
        <f>$E$159*$F$159*$I$159/100*Data!L9</f>
        <v>0</v>
      </c>
      <c r="S233" s="183">
        <f>$E$160*$F$160*$I$160/100*Data!M9</f>
        <v>0</v>
      </c>
      <c r="T233" s="183">
        <f>$E$161*$F$161*$I$161/100*Data!N9</f>
        <v>0</v>
      </c>
      <c r="U233" s="183">
        <f>$E$162*$F$162*$I$162/100*Data!O9</f>
        <v>0</v>
      </c>
      <c r="V233" s="183">
        <f t="shared" si="12"/>
        <v>0</v>
      </c>
      <c r="W233" s="183">
        <f t="shared" si="14"/>
        <v>0</v>
      </c>
      <c r="X233" s="183">
        <f t="shared" si="15"/>
        <v>0</v>
      </c>
      <c r="Y233" s="27"/>
      <c r="Z233" s="183" t="e">
        <f t="shared" si="16"/>
        <v>#DIV/0!</v>
      </c>
      <c r="AA233" s="183" t="e">
        <f t="shared" si="17"/>
        <v>#DIV/0!</v>
      </c>
      <c r="AB233" s="27"/>
      <c r="AC233" s="183">
        <f>$K$67*(Data!$K9-$J$23)*30.5*86400/1000000</f>
        <v>0</v>
      </c>
      <c r="AD233" s="183" t="e">
        <f>$J$85*(Data!$K9-$J$23)*30.5*86400/1000000</f>
        <v>#DIV/0!</v>
      </c>
      <c r="AE233" s="183" t="e">
        <f t="shared" si="18"/>
        <v>#DIV/0!</v>
      </c>
      <c r="AF233" s="27"/>
      <c r="AG233" s="184" t="e">
        <f t="shared" si="13"/>
        <v>#DIV/0!</v>
      </c>
      <c r="AH233" s="184" t="e">
        <f>VLOOKUP(AG233,Data!$B$35:$C$55,2)</f>
        <v>#DIV/0!</v>
      </c>
      <c r="AJ233" s="174" t="e">
        <f t="shared" si="19"/>
        <v>#DIV/0!</v>
      </c>
    </row>
    <row r="234" spans="1:36" ht="15" customHeight="1" x14ac:dyDescent="0.2">
      <c r="Q234" s="169">
        <f>Data!J10</f>
        <v>12</v>
      </c>
      <c r="R234" s="183">
        <f>$E$159*$F$159*$I$159/100*Data!L10</f>
        <v>0</v>
      </c>
      <c r="S234" s="183">
        <f>$E$160*$F$160*$I$160/100*Data!M10</f>
        <v>0</v>
      </c>
      <c r="T234" s="183">
        <f>$E$161*$F$161*$I$161/100*Data!N10</f>
        <v>0</v>
      </c>
      <c r="U234" s="183">
        <f>$E$162*$F$162*$I$162/100*Data!O10</f>
        <v>0</v>
      </c>
      <c r="V234" s="183">
        <f t="shared" si="12"/>
        <v>0</v>
      </c>
      <c r="W234" s="183">
        <f t="shared" si="14"/>
        <v>0</v>
      </c>
      <c r="X234" s="183">
        <f t="shared" si="15"/>
        <v>0</v>
      </c>
      <c r="Y234" s="27"/>
      <c r="Z234" s="183" t="e">
        <f t="shared" si="16"/>
        <v>#DIV/0!</v>
      </c>
      <c r="AA234" s="183" t="e">
        <f t="shared" si="17"/>
        <v>#DIV/0!</v>
      </c>
      <c r="AB234" s="27"/>
      <c r="AC234" s="183">
        <f>$K$67*(Data!$K10-$J$23)*30.5*86400/1000000</f>
        <v>0</v>
      </c>
      <c r="AD234" s="183" t="e">
        <f>$J$85*(Data!$K10-$J$23)*30.5*86400/1000000</f>
        <v>#DIV/0!</v>
      </c>
      <c r="AE234" s="183" t="e">
        <f t="shared" si="18"/>
        <v>#DIV/0!</v>
      </c>
      <c r="AF234" s="27"/>
      <c r="AG234" s="184" t="e">
        <f t="shared" si="13"/>
        <v>#DIV/0!</v>
      </c>
      <c r="AH234" s="184" t="e">
        <f>VLOOKUP(AG234,Data!$B$35:$C$55,2)</f>
        <v>#DIV/0!</v>
      </c>
      <c r="AJ234" s="174" t="e">
        <f t="shared" si="19"/>
        <v>#DIV/0!</v>
      </c>
    </row>
    <row r="235" spans="1:36" ht="15" customHeight="1" x14ac:dyDescent="0.2">
      <c r="Q235" s="169">
        <f>Data!J11</f>
        <v>1</v>
      </c>
      <c r="R235" s="183">
        <f>$E$159*$F$159*$I$159/100*Data!L11</f>
        <v>0</v>
      </c>
      <c r="S235" s="183">
        <f>$E$160*$F$160*$I$160/100*Data!M11</f>
        <v>0</v>
      </c>
      <c r="T235" s="183">
        <f>$E$161*$F$161*$I$161/100*Data!N11</f>
        <v>0</v>
      </c>
      <c r="U235" s="183">
        <f>$E$162*$F$162*$I$162/100*Data!O11</f>
        <v>0</v>
      </c>
      <c r="V235" s="183">
        <f>SUM(R235:U235)</f>
        <v>0</v>
      </c>
      <c r="W235" s="183">
        <f t="shared" si="14"/>
        <v>0</v>
      </c>
      <c r="X235" s="183">
        <f t="shared" si="15"/>
        <v>0</v>
      </c>
      <c r="Y235" s="27"/>
      <c r="Z235" s="183" t="e">
        <f t="shared" si="16"/>
        <v>#DIV/0!</v>
      </c>
      <c r="AA235" s="183" t="e">
        <f t="shared" si="17"/>
        <v>#DIV/0!</v>
      </c>
      <c r="AB235" s="27"/>
      <c r="AC235" s="183">
        <f>$K$67*(Data!$K11-$J$23)*30.5*86400/1000000</f>
        <v>0</v>
      </c>
      <c r="AD235" s="183" t="e">
        <f>$J$85*(Data!$K11-$J$23)*30.5*86400/1000000</f>
        <v>#DIV/0!</v>
      </c>
      <c r="AE235" s="183" t="e">
        <f t="shared" si="18"/>
        <v>#DIV/0!</v>
      </c>
      <c r="AF235" s="27"/>
      <c r="AG235" s="184" t="e">
        <f t="shared" si="13"/>
        <v>#DIV/0!</v>
      </c>
      <c r="AH235" s="184" t="e">
        <f>VLOOKUP(AG235,Data!$B$35:$C$55,2)</f>
        <v>#DIV/0!</v>
      </c>
      <c r="AJ235" s="174" t="e">
        <f t="shared" si="19"/>
        <v>#DIV/0!</v>
      </c>
    </row>
    <row r="236" spans="1:36" ht="15" customHeight="1" x14ac:dyDescent="0.2">
      <c r="Q236" s="169">
        <f>Data!J12</f>
        <v>2</v>
      </c>
      <c r="R236" s="183">
        <f>$E$159*$F$159*$I$159/100*Data!L12</f>
        <v>0</v>
      </c>
      <c r="S236" s="183">
        <f>$E$160*$F$160*$I$160/100*Data!M12</f>
        <v>0</v>
      </c>
      <c r="T236" s="183">
        <f>$E$161*$F$161*$I$161/100*Data!N12</f>
        <v>0</v>
      </c>
      <c r="U236" s="183">
        <f>$E$162*$F$162*$I$162/100*Data!O12</f>
        <v>0</v>
      </c>
      <c r="V236" s="183">
        <f t="shared" ref="V236:V239" si="20">SUM(R236:U236)</f>
        <v>0</v>
      </c>
      <c r="W236" s="183">
        <f t="shared" si="14"/>
        <v>0</v>
      </c>
      <c r="X236" s="183">
        <f t="shared" si="15"/>
        <v>0</v>
      </c>
      <c r="Y236" s="27"/>
      <c r="Z236" s="183" t="e">
        <f t="shared" si="16"/>
        <v>#DIV/0!</v>
      </c>
      <c r="AA236" s="183" t="e">
        <f t="shared" si="17"/>
        <v>#DIV/0!</v>
      </c>
      <c r="AB236" s="27"/>
      <c r="AC236" s="183">
        <f>$K$67*(Data!$K12-$J$23)*30.5*86400/1000000</f>
        <v>0</v>
      </c>
      <c r="AD236" s="183" t="e">
        <f>$J$85*(Data!$K12-$J$23)*30.5*86400/1000000</f>
        <v>#DIV/0!</v>
      </c>
      <c r="AE236" s="183" t="e">
        <f t="shared" si="18"/>
        <v>#DIV/0!</v>
      </c>
      <c r="AF236" s="27"/>
      <c r="AG236" s="184" t="e">
        <f t="shared" si="13"/>
        <v>#DIV/0!</v>
      </c>
      <c r="AH236" s="184" t="e">
        <f>VLOOKUP(AG236,Data!$B$35:$C$55,2)</f>
        <v>#DIV/0!</v>
      </c>
      <c r="AJ236" s="174" t="e">
        <f t="shared" si="19"/>
        <v>#DIV/0!</v>
      </c>
    </row>
    <row r="237" spans="1:36" ht="15" customHeight="1" x14ac:dyDescent="0.2">
      <c r="Q237" s="169">
        <f>Data!J13</f>
        <v>3</v>
      </c>
      <c r="R237" s="183">
        <f>$E$159*$F$159*$I$159/100*Data!L13</f>
        <v>0</v>
      </c>
      <c r="S237" s="183">
        <f>$E$160*$F$160*$I$160/100*Data!M13</f>
        <v>0</v>
      </c>
      <c r="T237" s="183">
        <f>$E$161*$F$161*$I$161/100*Data!N13</f>
        <v>0</v>
      </c>
      <c r="U237" s="183">
        <f>$E$162*$F$162*$I$162/100*Data!O13</f>
        <v>0</v>
      </c>
      <c r="V237" s="183">
        <f t="shared" si="20"/>
        <v>0</v>
      </c>
      <c r="W237" s="183">
        <f t="shared" si="14"/>
        <v>0</v>
      </c>
      <c r="X237" s="183">
        <f t="shared" si="15"/>
        <v>0</v>
      </c>
      <c r="Y237" s="27"/>
      <c r="Z237" s="183" t="e">
        <f t="shared" si="16"/>
        <v>#DIV/0!</v>
      </c>
      <c r="AA237" s="183" t="e">
        <f t="shared" si="17"/>
        <v>#DIV/0!</v>
      </c>
      <c r="AB237" s="27"/>
      <c r="AC237" s="183">
        <f>$K$67*(Data!$K13-$J$23)*30.5*86400/1000000</f>
        <v>0</v>
      </c>
      <c r="AD237" s="183" t="e">
        <f>$J$85*(Data!$K13-$J$23)*30.5*86400/1000000</f>
        <v>#DIV/0!</v>
      </c>
      <c r="AE237" s="183" t="e">
        <f t="shared" si="18"/>
        <v>#DIV/0!</v>
      </c>
      <c r="AF237" s="27"/>
      <c r="AG237" s="184" t="e">
        <f t="shared" si="13"/>
        <v>#DIV/0!</v>
      </c>
      <c r="AH237" s="184" t="e">
        <f>VLOOKUP(AG237,Data!$B$35:$C$55,2)</f>
        <v>#DIV/0!</v>
      </c>
      <c r="AJ237" s="174" t="e">
        <f t="shared" si="19"/>
        <v>#DIV/0!</v>
      </c>
    </row>
    <row r="238" spans="1:36" ht="15" customHeight="1" x14ac:dyDescent="0.2">
      <c r="Q238" s="169">
        <f>Data!J14</f>
        <v>4</v>
      </c>
      <c r="R238" s="183">
        <f>$E$159*$F$159*$I$159/100*Data!L14</f>
        <v>0</v>
      </c>
      <c r="S238" s="183">
        <f>$E$160*$F$160*$I$160/100*Data!M14</f>
        <v>0</v>
      </c>
      <c r="T238" s="183">
        <f>$E$161*$F$161*$I$161/100*Data!N14</f>
        <v>0</v>
      </c>
      <c r="U238" s="183">
        <f>$E$162*$F$162*$I$162/100*Data!O14</f>
        <v>0</v>
      </c>
      <c r="V238" s="183">
        <f t="shared" si="20"/>
        <v>0</v>
      </c>
      <c r="W238" s="183">
        <f t="shared" si="14"/>
        <v>0</v>
      </c>
      <c r="X238" s="183">
        <f t="shared" si="15"/>
        <v>0</v>
      </c>
      <c r="Y238" s="27"/>
      <c r="Z238" s="183" t="e">
        <f t="shared" si="16"/>
        <v>#DIV/0!</v>
      </c>
      <c r="AA238" s="183" t="e">
        <f t="shared" si="17"/>
        <v>#DIV/0!</v>
      </c>
      <c r="AB238" s="27"/>
      <c r="AC238" s="183">
        <f>$K$67*(Data!$K14-$J$23)*30.5*86400/1000000</f>
        <v>0</v>
      </c>
      <c r="AD238" s="183" t="e">
        <f>$J$85*(Data!$K14-$J$23)*30.5*86400/1000000</f>
        <v>#DIV/0!</v>
      </c>
      <c r="AE238" s="183" t="e">
        <f t="shared" si="18"/>
        <v>#DIV/0!</v>
      </c>
      <c r="AF238" s="27"/>
      <c r="AG238" s="184" t="e">
        <f t="shared" si="13"/>
        <v>#DIV/0!</v>
      </c>
      <c r="AH238" s="184" t="e">
        <f>VLOOKUP(AG238,Data!$B$35:$C$55,2)</f>
        <v>#DIV/0!</v>
      </c>
      <c r="AJ238" s="174" t="e">
        <f t="shared" si="19"/>
        <v>#DIV/0!</v>
      </c>
    </row>
    <row r="239" spans="1:36" ht="15" customHeight="1" x14ac:dyDescent="0.2">
      <c r="Q239" s="169">
        <f>Data!J15</f>
        <v>5</v>
      </c>
      <c r="R239" s="183">
        <f>$E$159*$F$159*$I$159/100*Data!L15</f>
        <v>0</v>
      </c>
      <c r="S239" s="183">
        <f>$E$160*$F$160*$I$160/100*Data!M15</f>
        <v>0</v>
      </c>
      <c r="T239" s="183">
        <f>$E$161*$F$161*$I$161/100*Data!N15</f>
        <v>0</v>
      </c>
      <c r="U239" s="183">
        <f>$E$162*$F$162*$I$162/100*Data!O15</f>
        <v>0</v>
      </c>
      <c r="V239" s="183">
        <f t="shared" si="20"/>
        <v>0</v>
      </c>
      <c r="W239" s="183">
        <f t="shared" si="14"/>
        <v>0</v>
      </c>
      <c r="X239" s="183">
        <f t="shared" si="15"/>
        <v>0</v>
      </c>
      <c r="Y239" s="27"/>
      <c r="Z239" s="183" t="e">
        <f t="shared" si="16"/>
        <v>#DIV/0!</v>
      </c>
      <c r="AA239" s="183" t="e">
        <f t="shared" si="17"/>
        <v>#DIV/0!</v>
      </c>
      <c r="AB239" s="27"/>
      <c r="AC239" s="183">
        <f>$K$67*(Data!$K15-$J$23)*30.5*86400/1000000</f>
        <v>0</v>
      </c>
      <c r="AD239" s="183" t="e">
        <f>$J$85*(Data!$K15-$J$23)*30.5*86400/1000000</f>
        <v>#DIV/0!</v>
      </c>
      <c r="AE239" s="183" t="e">
        <f t="shared" si="18"/>
        <v>#DIV/0!</v>
      </c>
      <c r="AF239" s="27"/>
      <c r="AG239" s="184" t="e">
        <f t="shared" si="13"/>
        <v>#DIV/0!</v>
      </c>
      <c r="AH239" s="184" t="e">
        <f>VLOOKUP(AG239,Data!$B$35:$C$55,2)</f>
        <v>#DIV/0!</v>
      </c>
      <c r="AJ239" s="174" t="e">
        <f t="shared" si="19"/>
        <v>#DIV/0!</v>
      </c>
    </row>
    <row r="240" spans="1:36" ht="15" customHeight="1" x14ac:dyDescent="0.2">
      <c r="Q240" s="11"/>
      <c r="R240" s="27"/>
      <c r="S240" s="27"/>
      <c r="T240" s="27"/>
      <c r="U240" s="27"/>
      <c r="V240" s="27"/>
      <c r="W240" s="27"/>
      <c r="X240" s="27"/>
      <c r="Y240" s="27"/>
      <c r="Z240" s="27"/>
      <c r="AA240" s="27"/>
      <c r="AB240" s="27"/>
      <c r="AC240" s="27"/>
      <c r="AD240" s="27"/>
      <c r="AE240" s="27"/>
      <c r="AF240" s="27"/>
      <c r="AG240" s="27"/>
      <c r="AH240" s="27"/>
    </row>
    <row r="241" spans="17:36" ht="15" customHeight="1" x14ac:dyDescent="0.2">
      <c r="Q241" s="175" t="s">
        <v>290</v>
      </c>
      <c r="R241" s="185"/>
      <c r="S241" s="185"/>
      <c r="T241" s="185"/>
      <c r="U241" s="185"/>
      <c r="V241" s="185"/>
      <c r="W241" s="185"/>
      <c r="X241" s="27"/>
      <c r="Y241" s="27"/>
      <c r="Z241" s="185">
        <f>SUMIF($AJ228:$AJ239,"&lt;0",Z228:Z239)</f>
        <v>0</v>
      </c>
      <c r="AA241" s="185">
        <f>SUMIF($AJ228:$AJ239,"&lt;0",AA228:AA239)</f>
        <v>0</v>
      </c>
      <c r="AB241" s="27"/>
      <c r="AC241" s="185">
        <f>SUMIF($AJ228:$AJ239,"&lt;0",AC228:AC239)</f>
        <v>0</v>
      </c>
      <c r="AD241" s="185">
        <f>SUMIF($AJ228:$AJ239,"&lt;0",AD228:AD239)</f>
        <v>0</v>
      </c>
      <c r="AE241" s="27"/>
      <c r="AF241" s="27"/>
      <c r="AG241" s="27"/>
      <c r="AH241" s="27"/>
      <c r="AJ241" s="174">
        <f>SUMIF($AJ228:$AJ239,"&lt;0",AJ228:AJ239)</f>
        <v>0</v>
      </c>
    </row>
    <row r="242" spans="17:36" ht="15" customHeight="1" x14ac:dyDescent="0.2"/>
    <row r="243" spans="17:36" ht="15" customHeight="1" x14ac:dyDescent="0.2"/>
    <row r="244" spans="17:36" ht="15" customHeight="1" x14ac:dyDescent="0.2">
      <c r="R244" s="3" t="s">
        <v>294</v>
      </c>
    </row>
    <row r="245" spans="17:36" ht="15" customHeight="1" x14ac:dyDescent="0.2"/>
    <row r="246" spans="17:36" ht="15" customHeight="1" x14ac:dyDescent="0.2">
      <c r="R246" s="3" t="s">
        <v>305</v>
      </c>
    </row>
    <row r="247" spans="17:36" ht="15" customHeight="1" x14ac:dyDescent="0.2">
      <c r="R247" s="3" t="s">
        <v>306</v>
      </c>
    </row>
    <row r="248" spans="17:36" ht="15" customHeight="1" x14ac:dyDescent="0.2">
      <c r="R248" s="3" t="s">
        <v>307</v>
      </c>
    </row>
  </sheetData>
  <mergeCells count="6">
    <mergeCell ref="Z226:AA226"/>
    <mergeCell ref="B2:L2"/>
    <mergeCell ref="E5:G5"/>
    <mergeCell ref="I5:K5"/>
    <mergeCell ref="M23:M27"/>
    <mergeCell ref="R226:X226"/>
  </mergeCells>
  <dataValidations disablePrompts="1" count="2">
    <dataValidation type="list" allowBlank="1" showInputMessage="1" showErrorMessage="1" sqref="E92" xr:uid="{00000000-0002-0000-0400-000000000000}">
      <formula1>#REF!</formula1>
    </dataValidation>
    <dataValidation type="list" showInputMessage="1" showErrorMessage="1" sqref="E80" xr:uid="{00000000-0002-0000-0400-000001000000}">
      <formula1>#REF!</formula1>
    </dataValidation>
  </dataValidations>
  <pageMargins left="0.7" right="0.7" top="0.75" bottom="0.75" header="0.3" footer="0.3"/>
  <pageSetup paperSize="9" orientation="portrait"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48"/>
  <sheetViews>
    <sheetView showGridLines="0" topLeftCell="B159" workbookViewId="0">
      <selection activeCell="A6" sqref="A6"/>
    </sheetView>
  </sheetViews>
  <sheetFormatPr defaultColWidth="9.140625" defaultRowHeight="12.75" x14ac:dyDescent="0.2"/>
  <cols>
    <col min="1" max="1" width="7" style="112" customWidth="1"/>
    <col min="2" max="2" width="9.140625" style="3"/>
    <col min="3" max="3" width="52.28515625" style="3" customWidth="1"/>
    <col min="4" max="4" width="12.42578125" style="5" customWidth="1"/>
    <col min="5" max="11" width="15.42578125" style="11" customWidth="1"/>
    <col min="12" max="12" width="15.42578125" style="3" customWidth="1"/>
    <col min="13" max="16" width="9.140625" style="3"/>
    <col min="17" max="17" width="14.42578125" style="3" customWidth="1"/>
    <col min="18" max="21" width="9.140625" style="3"/>
    <col min="22" max="22" width="8.28515625" style="3" customWidth="1"/>
    <col min="23" max="25" width="9.140625" style="3"/>
    <col min="26" max="26" width="12.140625" style="3" customWidth="1"/>
    <col min="27" max="27" width="10.42578125" style="3" bestFit="1" customWidth="1"/>
    <col min="28" max="28" width="9.140625" style="3"/>
    <col min="29" max="29" width="12.42578125" style="3" customWidth="1"/>
    <col min="30" max="16384" width="9.140625" style="3"/>
  </cols>
  <sheetData>
    <row r="1" spans="1:12" ht="13.5" thickBot="1" x14ac:dyDescent="0.25"/>
    <row r="2" spans="1:12" ht="30.75" thickBot="1" x14ac:dyDescent="0.45">
      <c r="B2" s="257" t="str">
        <f>CONCATENATE("REKENSHEET - ", Invulsheet!M5)</f>
        <v>REKENSHEET - 2e verbeterslag</v>
      </c>
      <c r="C2" s="257"/>
      <c r="D2" s="257"/>
      <c r="E2" s="257"/>
      <c r="F2" s="257"/>
      <c r="G2" s="257"/>
      <c r="H2" s="257"/>
      <c r="I2" s="257"/>
      <c r="J2" s="257"/>
      <c r="K2" s="257"/>
      <c r="L2" s="257"/>
    </row>
    <row r="5" spans="1:12" ht="20.25" x14ac:dyDescent="0.3">
      <c r="E5" s="279" t="s">
        <v>134</v>
      </c>
      <c r="F5" s="279"/>
      <c r="G5" s="279"/>
      <c r="H5" s="34" t="s">
        <v>133</v>
      </c>
      <c r="I5" s="280" t="s">
        <v>135</v>
      </c>
      <c r="J5" s="280"/>
      <c r="K5" s="280"/>
    </row>
    <row r="8" spans="1:12" ht="24" customHeight="1" x14ac:dyDescent="0.3">
      <c r="C8" s="9" t="s">
        <v>70</v>
      </c>
      <c r="D8" s="23"/>
      <c r="E8" s="12"/>
      <c r="F8" s="12"/>
      <c r="G8" s="12"/>
      <c r="H8" s="12"/>
      <c r="I8" s="12"/>
      <c r="J8" s="12"/>
      <c r="K8" s="12"/>
    </row>
    <row r="9" spans="1:12" ht="15" customHeight="1" x14ac:dyDescent="0.2"/>
    <row r="10" spans="1:12" ht="15" customHeight="1" x14ac:dyDescent="0.2">
      <c r="C10" s="3" t="s">
        <v>108</v>
      </c>
      <c r="D10" s="5" t="s">
        <v>110</v>
      </c>
      <c r="F10" s="32">
        <f>Invulsheet!F10</f>
        <v>0</v>
      </c>
    </row>
    <row r="11" spans="1:12" ht="15" customHeight="1" x14ac:dyDescent="0.2">
      <c r="C11" s="3" t="s">
        <v>109</v>
      </c>
      <c r="D11" s="5" t="s">
        <v>48</v>
      </c>
      <c r="F11" s="32">
        <f>Invulsheet!F11</f>
        <v>0</v>
      </c>
    </row>
    <row r="12" spans="1:12" s="107" customFormat="1" ht="15" customHeight="1" x14ac:dyDescent="0.2">
      <c r="A12" s="112"/>
      <c r="C12" s="107" t="s">
        <v>281</v>
      </c>
      <c r="D12" s="5" t="s">
        <v>280</v>
      </c>
      <c r="E12" s="11"/>
      <c r="F12" s="32">
        <f>Invulsheet!F12</f>
        <v>0</v>
      </c>
      <c r="G12" s="11"/>
      <c r="H12" s="11"/>
      <c r="I12" s="11"/>
      <c r="J12" s="11"/>
      <c r="K12" s="11"/>
    </row>
    <row r="13" spans="1:12" s="107" customFormat="1" ht="15" customHeight="1" x14ac:dyDescent="0.2">
      <c r="A13" s="112"/>
      <c r="C13" s="107" t="s">
        <v>279</v>
      </c>
      <c r="D13" s="5" t="s">
        <v>56</v>
      </c>
      <c r="E13" s="11"/>
      <c r="F13" s="32">
        <f>Invulsheet!F13</f>
        <v>0</v>
      </c>
      <c r="G13" s="11"/>
      <c r="H13" s="11"/>
      <c r="I13" s="11"/>
      <c r="J13" s="11"/>
      <c r="K13" s="11"/>
    </row>
    <row r="14" spans="1:12" ht="15" customHeight="1" x14ac:dyDescent="0.2"/>
    <row r="15" spans="1:12" ht="15" customHeight="1" x14ac:dyDescent="0.2">
      <c r="C15" s="3" t="s">
        <v>224</v>
      </c>
      <c r="D15" s="5" t="s">
        <v>225</v>
      </c>
      <c r="F15" s="32">
        <f>Invulsheet!N16</f>
        <v>0</v>
      </c>
    </row>
    <row r="16" spans="1:12" ht="15" customHeight="1" x14ac:dyDescent="0.2">
      <c r="C16" s="3" t="s">
        <v>57</v>
      </c>
      <c r="D16" s="5" t="s">
        <v>61</v>
      </c>
      <c r="F16" s="32">
        <f>Invulsheet!N15</f>
        <v>0</v>
      </c>
    </row>
    <row r="17" spans="3:13" ht="15" customHeight="1" x14ac:dyDescent="0.2">
      <c r="C17" s="3" t="s">
        <v>37</v>
      </c>
      <c r="D17" s="5" t="s">
        <v>58</v>
      </c>
      <c r="F17" s="3"/>
      <c r="J17" s="33" t="e">
        <f>F16/F15</f>
        <v>#DIV/0!</v>
      </c>
    </row>
    <row r="18" spans="3:13" ht="15" customHeight="1" x14ac:dyDescent="0.2"/>
    <row r="19" spans="3:13" ht="15" customHeight="1" x14ac:dyDescent="0.2"/>
    <row r="20" spans="3:13" ht="15" customHeight="1" x14ac:dyDescent="0.2">
      <c r="C20" s="107" t="s">
        <v>222</v>
      </c>
      <c r="D20" s="5" t="s">
        <v>60</v>
      </c>
      <c r="F20" s="32">
        <f>Invulsheet!N18</f>
        <v>20</v>
      </c>
    </row>
    <row r="21" spans="3:13" ht="15" customHeight="1" x14ac:dyDescent="0.2">
      <c r="C21" s="107" t="s">
        <v>223</v>
      </c>
      <c r="D21" s="5" t="s">
        <v>60</v>
      </c>
      <c r="F21" s="32">
        <f>Invulsheet!N19</f>
        <v>15</v>
      </c>
    </row>
    <row r="22" spans="3:13" ht="15" customHeight="1" x14ac:dyDescent="0.2">
      <c r="C22" s="3" t="s">
        <v>72</v>
      </c>
      <c r="D22" s="5" t="s">
        <v>59</v>
      </c>
      <c r="F22" s="32">
        <f>Invulsheet!N20</f>
        <v>80</v>
      </c>
    </row>
    <row r="23" spans="3:13" ht="15" customHeight="1" x14ac:dyDescent="0.2">
      <c r="C23" s="3" t="s">
        <v>136</v>
      </c>
      <c r="D23" s="5" t="s">
        <v>60</v>
      </c>
      <c r="F23" s="35"/>
      <c r="J23" s="38">
        <f xml:space="preserve">  F20 * F22 * F26 / 20000  +  F21 * (1 - F26 * F22 / 20000)</f>
        <v>16.2</v>
      </c>
      <c r="M23" s="282"/>
    </row>
    <row r="24" spans="3:13" ht="15" customHeight="1" x14ac:dyDescent="0.2">
      <c r="M24" s="282"/>
    </row>
    <row r="25" spans="3:13" ht="15" customHeight="1" x14ac:dyDescent="0.2">
      <c r="C25" s="3" t="s">
        <v>71</v>
      </c>
      <c r="F25" s="32">
        <f>Invulsheet!N22</f>
        <v>0</v>
      </c>
      <c r="M25" s="282"/>
    </row>
    <row r="26" spans="3:13" ht="15" customHeight="1" x14ac:dyDescent="0.2">
      <c r="C26" s="3" t="s">
        <v>116</v>
      </c>
      <c r="D26" s="5" t="s">
        <v>59</v>
      </c>
      <c r="F26" s="32">
        <f>Invulsheet!N23</f>
        <v>60</v>
      </c>
      <c r="M26" s="282"/>
    </row>
    <row r="27" spans="3:13" ht="15" customHeight="1" x14ac:dyDescent="0.2">
      <c r="M27" s="282"/>
    </row>
    <row r="28" spans="3:13" ht="15" customHeight="1" x14ac:dyDescent="0.2"/>
    <row r="29" spans="3:13" ht="24" customHeight="1" x14ac:dyDescent="0.3">
      <c r="C29" s="9" t="s">
        <v>73</v>
      </c>
      <c r="D29" s="23"/>
      <c r="E29" s="12"/>
      <c r="F29" s="12"/>
      <c r="G29" s="12"/>
      <c r="H29" s="12"/>
      <c r="I29" s="12"/>
      <c r="J29" s="12"/>
      <c r="K29" s="12"/>
    </row>
    <row r="30" spans="3:13" ht="15" customHeight="1" x14ac:dyDescent="0.2"/>
    <row r="31" spans="3:13" ht="15" customHeight="1" x14ac:dyDescent="0.3">
      <c r="E31" s="4" t="s">
        <v>22</v>
      </c>
      <c r="F31" s="4" t="s">
        <v>7</v>
      </c>
      <c r="G31" s="4" t="s">
        <v>20</v>
      </c>
      <c r="H31" s="4"/>
      <c r="I31" s="4" t="s">
        <v>141</v>
      </c>
      <c r="J31" s="4" t="s">
        <v>34</v>
      </c>
      <c r="K31" s="4" t="s">
        <v>140</v>
      </c>
    </row>
    <row r="32" spans="3:13" ht="15" customHeight="1" x14ac:dyDescent="0.2">
      <c r="E32" s="4" t="s">
        <v>8</v>
      </c>
      <c r="F32" s="4" t="s">
        <v>9</v>
      </c>
      <c r="G32" s="4" t="s">
        <v>10</v>
      </c>
      <c r="H32" s="4"/>
      <c r="I32" s="4" t="s">
        <v>10</v>
      </c>
      <c r="J32" s="4"/>
      <c r="K32" s="4" t="s">
        <v>23</v>
      </c>
    </row>
    <row r="33" spans="3:12" ht="15" customHeight="1" x14ac:dyDescent="0.2">
      <c r="I33" s="3"/>
    </row>
    <row r="34" spans="3:12" ht="15" customHeight="1" x14ac:dyDescent="0.2">
      <c r="C34" s="3" t="s">
        <v>24</v>
      </c>
      <c r="E34" s="32">
        <f>Invulsheet!M34</f>
        <v>0</v>
      </c>
      <c r="F34" s="32">
        <f>Invulsheet!N34</f>
        <v>0</v>
      </c>
      <c r="I34" s="38">
        <f>1/(F34+0.17+0.17)</f>
        <v>2.9411764705882351</v>
      </c>
      <c r="J34" s="38">
        <v>0.5</v>
      </c>
      <c r="K34" s="38">
        <f>E34*I34*J34</f>
        <v>0</v>
      </c>
    </row>
    <row r="35" spans="3:12" ht="15" customHeight="1" x14ac:dyDescent="0.2">
      <c r="C35" s="3" t="s">
        <v>25</v>
      </c>
      <c r="E35" s="32">
        <f>Invulsheet!M35</f>
        <v>0</v>
      </c>
      <c r="F35" s="32">
        <f>Invulsheet!N35</f>
        <v>0</v>
      </c>
      <c r="I35" s="38">
        <f>1/(F35+0.17+0.17)</f>
        <v>2.9411764705882351</v>
      </c>
      <c r="J35" s="38">
        <v>0.5</v>
      </c>
      <c r="K35" s="38">
        <f t="shared" ref="K35:K36" si="0">E35*I35*J35</f>
        <v>0</v>
      </c>
    </row>
    <row r="36" spans="3:12" ht="15" customHeight="1" x14ac:dyDescent="0.2">
      <c r="C36" s="3" t="s">
        <v>26</v>
      </c>
      <c r="E36" s="32">
        <f>Invulsheet!M36</f>
        <v>0</v>
      </c>
      <c r="F36" s="32">
        <f>Invulsheet!N36</f>
        <v>0</v>
      </c>
      <c r="I36" s="38">
        <f>1/(F36+0.17+0.17)</f>
        <v>2.9411764705882351</v>
      </c>
      <c r="J36" s="38">
        <v>0.5</v>
      </c>
      <c r="K36" s="38">
        <f t="shared" si="0"/>
        <v>0</v>
      </c>
      <c r="L36" s="46" t="e">
        <f>-SUM(K34:K36)/$K$67*$AC$241</f>
        <v>#DIV/0!</v>
      </c>
    </row>
    <row r="37" spans="3:12" ht="15" customHeight="1" x14ac:dyDescent="0.2">
      <c r="I37" s="3"/>
      <c r="L37" s="72"/>
    </row>
    <row r="38" spans="3:12" ht="15" customHeight="1" x14ac:dyDescent="0.2">
      <c r="C38" s="3" t="s">
        <v>27</v>
      </c>
      <c r="E38" s="32">
        <f>Invulsheet!M38</f>
        <v>0</v>
      </c>
      <c r="F38" s="32">
        <f>Invulsheet!N38</f>
        <v>0</v>
      </c>
      <c r="I38" s="38">
        <f>1/(F38+0.1+0.04)</f>
        <v>7.1428571428571423</v>
      </c>
      <c r="J38" s="38">
        <v>1</v>
      </c>
      <c r="K38" s="38">
        <f t="shared" ref="K38:K41" si="1">E38*I38*J38</f>
        <v>0</v>
      </c>
      <c r="L38" s="72"/>
    </row>
    <row r="39" spans="3:12" ht="15" customHeight="1" x14ac:dyDescent="0.2">
      <c r="C39" s="3" t="s">
        <v>28</v>
      </c>
      <c r="E39" s="32">
        <f>Invulsheet!M39</f>
        <v>0</v>
      </c>
      <c r="F39" s="32">
        <f>Invulsheet!N39</f>
        <v>0</v>
      </c>
      <c r="I39" s="38">
        <f t="shared" ref="I39:I41" si="2">1/(F39+0.1+0.04)</f>
        <v>7.1428571428571423</v>
      </c>
      <c r="J39" s="38">
        <v>1</v>
      </c>
      <c r="K39" s="38">
        <f t="shared" si="1"/>
        <v>0</v>
      </c>
      <c r="L39" s="72"/>
    </row>
    <row r="40" spans="3:12" ht="15" customHeight="1" x14ac:dyDescent="0.2">
      <c r="C40" s="3" t="s">
        <v>29</v>
      </c>
      <c r="E40" s="32">
        <f>Invulsheet!M40</f>
        <v>0</v>
      </c>
      <c r="F40" s="32">
        <f>Invulsheet!N40</f>
        <v>0</v>
      </c>
      <c r="I40" s="38">
        <f t="shared" si="2"/>
        <v>7.1428571428571423</v>
      </c>
      <c r="J40" s="38">
        <v>1</v>
      </c>
      <c r="K40" s="38">
        <f t="shared" si="1"/>
        <v>0</v>
      </c>
      <c r="L40" s="72"/>
    </row>
    <row r="41" spans="3:12" ht="15" customHeight="1" x14ac:dyDescent="0.2">
      <c r="C41" s="3" t="s">
        <v>62</v>
      </c>
      <c r="E41" s="32">
        <f>Invulsheet!M41</f>
        <v>0</v>
      </c>
      <c r="F41" s="32">
        <f>Invulsheet!N41</f>
        <v>0</v>
      </c>
      <c r="I41" s="38">
        <f t="shared" si="2"/>
        <v>7.1428571428571423</v>
      </c>
      <c r="J41" s="38">
        <v>1</v>
      </c>
      <c r="K41" s="38">
        <f t="shared" si="1"/>
        <v>0</v>
      </c>
      <c r="L41" s="46" t="e">
        <f>-SUM(K38:K41)/$K$67*$AC$241</f>
        <v>#DIV/0!</v>
      </c>
    </row>
    <row r="42" spans="3:12" ht="15" customHeight="1" x14ac:dyDescent="0.2">
      <c r="I42" s="3"/>
      <c r="L42" s="72"/>
    </row>
    <row r="43" spans="3:12" ht="15" customHeight="1" x14ac:dyDescent="0.2">
      <c r="C43" s="3" t="s">
        <v>74</v>
      </c>
      <c r="E43" s="32">
        <f>Invulsheet!M43</f>
        <v>0</v>
      </c>
      <c r="F43" s="32">
        <f>Invulsheet!N43</f>
        <v>0</v>
      </c>
      <c r="I43" s="38">
        <f>1/(F43+0.13+0.04)</f>
        <v>5.8823529411764701</v>
      </c>
      <c r="J43" s="38">
        <v>1</v>
      </c>
      <c r="K43" s="38">
        <f t="shared" ref="K43:K46" si="3">E43*I43*J43</f>
        <v>0</v>
      </c>
      <c r="L43" s="72"/>
    </row>
    <row r="44" spans="3:12" ht="15" customHeight="1" x14ac:dyDescent="0.2">
      <c r="C44" s="3" t="s">
        <v>65</v>
      </c>
      <c r="E44" s="32">
        <f>Invulsheet!M44</f>
        <v>0</v>
      </c>
      <c r="F44" s="32">
        <f>Invulsheet!N44</f>
        <v>0</v>
      </c>
      <c r="I44" s="38">
        <f t="shared" ref="I44:I46" si="4">1/(F44+0.13+0.04)</f>
        <v>5.8823529411764701</v>
      </c>
      <c r="J44" s="38">
        <v>1</v>
      </c>
      <c r="K44" s="38">
        <f t="shared" si="3"/>
        <v>0</v>
      </c>
      <c r="L44" s="72"/>
    </row>
    <row r="45" spans="3:12" ht="15" customHeight="1" x14ac:dyDescent="0.2">
      <c r="C45" s="3" t="s">
        <v>64</v>
      </c>
      <c r="E45" s="32">
        <f>Invulsheet!M45</f>
        <v>0</v>
      </c>
      <c r="F45" s="32">
        <f>Invulsheet!N45</f>
        <v>0</v>
      </c>
      <c r="I45" s="38">
        <f t="shared" si="4"/>
        <v>5.8823529411764701</v>
      </c>
      <c r="J45" s="38">
        <v>1</v>
      </c>
      <c r="K45" s="38">
        <f t="shared" si="3"/>
        <v>0</v>
      </c>
      <c r="L45" s="72"/>
    </row>
    <row r="46" spans="3:12" ht="15" customHeight="1" x14ac:dyDescent="0.2">
      <c r="C46" s="3" t="s">
        <v>63</v>
      </c>
      <c r="E46" s="32">
        <f>Invulsheet!M46</f>
        <v>0</v>
      </c>
      <c r="F46" s="32">
        <f>Invulsheet!N46</f>
        <v>0</v>
      </c>
      <c r="I46" s="38">
        <f t="shared" si="4"/>
        <v>5.8823529411764701</v>
      </c>
      <c r="J46" s="38">
        <v>1</v>
      </c>
      <c r="K46" s="38">
        <f t="shared" si="3"/>
        <v>0</v>
      </c>
      <c r="L46" s="46" t="e">
        <f>-SUM(K43:K46)/$K$67*$AC$241</f>
        <v>#DIV/0!</v>
      </c>
    </row>
    <row r="47" spans="3:12" ht="15" customHeight="1" x14ac:dyDescent="0.2">
      <c r="I47" s="3"/>
      <c r="L47" s="72"/>
    </row>
    <row r="48" spans="3:12" ht="15" customHeight="1" x14ac:dyDescent="0.2">
      <c r="C48" s="3" t="s">
        <v>66</v>
      </c>
      <c r="E48" s="32">
        <f>Invulsheet!M48</f>
        <v>0</v>
      </c>
      <c r="F48" s="32">
        <f>Invulsheet!N48</f>
        <v>0</v>
      </c>
      <c r="I48" s="38">
        <f>1/(F48+0.13+0.13)</f>
        <v>3.8461538461538458</v>
      </c>
      <c r="J48" s="38">
        <v>0.6</v>
      </c>
      <c r="K48" s="38">
        <f t="shared" ref="K48:K50" si="5">E48*I48*J48</f>
        <v>0</v>
      </c>
      <c r="L48" s="72"/>
    </row>
    <row r="49" spans="3:12" ht="15" customHeight="1" x14ac:dyDescent="0.2">
      <c r="C49" s="3" t="s">
        <v>67</v>
      </c>
      <c r="E49" s="32">
        <f>Invulsheet!M49</f>
        <v>0</v>
      </c>
      <c r="F49" s="32">
        <f>Invulsheet!N49</f>
        <v>0</v>
      </c>
      <c r="I49" s="38">
        <f t="shared" ref="I49:I50" si="6">1/(F49+0.13+0.13)</f>
        <v>3.8461538461538458</v>
      </c>
      <c r="J49" s="38">
        <v>0.6</v>
      </c>
      <c r="K49" s="38">
        <f t="shared" si="5"/>
        <v>0</v>
      </c>
      <c r="L49" s="72"/>
    </row>
    <row r="50" spans="3:12" ht="15" customHeight="1" x14ac:dyDescent="0.2">
      <c r="C50" s="3" t="s">
        <v>68</v>
      </c>
      <c r="E50" s="32">
        <f>Invulsheet!M50</f>
        <v>0</v>
      </c>
      <c r="F50" s="32">
        <f>Invulsheet!N50</f>
        <v>0</v>
      </c>
      <c r="I50" s="38">
        <f t="shared" si="6"/>
        <v>3.8461538461538458</v>
      </c>
      <c r="J50" s="38">
        <v>0.6</v>
      </c>
      <c r="K50" s="38">
        <f t="shared" si="5"/>
        <v>0</v>
      </c>
      <c r="L50" s="46" t="e">
        <f>-SUM(K48:K50)/$K$67*$AC$241</f>
        <v>#DIV/0!</v>
      </c>
    </row>
    <row r="51" spans="3:12" ht="15" customHeight="1" x14ac:dyDescent="0.2">
      <c r="I51" s="3"/>
      <c r="L51" s="72"/>
    </row>
    <row r="52" spans="3:12" ht="15" customHeight="1" x14ac:dyDescent="0.2">
      <c r="C52" s="3" t="s">
        <v>249</v>
      </c>
      <c r="E52" s="32">
        <f>Invulsheet!M52</f>
        <v>0</v>
      </c>
      <c r="F52" s="32">
        <f>Invulsheet!N52</f>
        <v>0</v>
      </c>
      <c r="I52" s="38">
        <f>1/(F52+0.04+0.17)</f>
        <v>4.7619047619047619</v>
      </c>
      <c r="J52" s="38">
        <v>1</v>
      </c>
      <c r="K52" s="38">
        <f t="shared" ref="K52:K57" si="7">E52*I52*J52</f>
        <v>0</v>
      </c>
      <c r="L52" s="72"/>
    </row>
    <row r="53" spans="3:12" ht="15" customHeight="1" x14ac:dyDescent="0.2">
      <c r="C53" s="3" t="s">
        <v>257</v>
      </c>
      <c r="E53" s="32">
        <f>Invulsheet!M53</f>
        <v>0</v>
      </c>
      <c r="F53" s="32">
        <f>Invulsheet!N53</f>
        <v>0</v>
      </c>
      <c r="I53" s="38">
        <f>1/(F53+0.04+0.17)</f>
        <v>4.7619047619047619</v>
      </c>
      <c r="J53" s="38">
        <v>1</v>
      </c>
      <c r="K53" s="38">
        <f t="shared" si="7"/>
        <v>0</v>
      </c>
      <c r="L53" s="72"/>
    </row>
    <row r="54" spans="3:12" ht="15" customHeight="1" x14ac:dyDescent="0.2">
      <c r="C54" s="3" t="s">
        <v>256</v>
      </c>
      <c r="E54" s="32">
        <f>Invulsheet!M54</f>
        <v>0</v>
      </c>
      <c r="F54" s="32">
        <f>Invulsheet!N54</f>
        <v>0</v>
      </c>
      <c r="I54" s="38">
        <f>1/(F54+0.04+0.17)</f>
        <v>4.7619047619047619</v>
      </c>
      <c r="J54" s="38">
        <v>1</v>
      </c>
      <c r="K54" s="38">
        <f t="shared" ref="K54:K55" si="8">E54*I54*J54</f>
        <v>0</v>
      </c>
      <c r="L54" s="72"/>
    </row>
    <row r="55" spans="3:12" ht="15" customHeight="1" x14ac:dyDescent="0.2">
      <c r="C55" s="3" t="s">
        <v>255</v>
      </c>
      <c r="E55" s="32">
        <f>Invulsheet!M55</f>
        <v>0</v>
      </c>
      <c r="F55" s="32">
        <f>Invulsheet!N55</f>
        <v>0</v>
      </c>
      <c r="I55" s="38">
        <f>1/(F55+0.04+0.17)</f>
        <v>4.7619047619047619</v>
      </c>
      <c r="J55" s="38">
        <v>1</v>
      </c>
      <c r="K55" s="38">
        <f t="shared" si="8"/>
        <v>0</v>
      </c>
      <c r="L55" s="72"/>
    </row>
    <row r="56" spans="3:12" ht="15" customHeight="1" x14ac:dyDescent="0.2">
      <c r="C56" s="3" t="s">
        <v>254</v>
      </c>
      <c r="E56" s="32">
        <f>Invulsheet!M56</f>
        <v>0</v>
      </c>
      <c r="G56" s="32">
        <f>Invulsheet!O56</f>
        <v>0</v>
      </c>
      <c r="H56" s="31"/>
      <c r="I56" s="38">
        <f>IFERROR(1/(1/G56+0.04+0.17), 0)</f>
        <v>0</v>
      </c>
      <c r="J56" s="38">
        <v>1</v>
      </c>
      <c r="K56" s="38">
        <f t="shared" si="7"/>
        <v>0</v>
      </c>
      <c r="L56" s="72"/>
    </row>
    <row r="57" spans="3:12" ht="15" customHeight="1" x14ac:dyDescent="0.2">
      <c r="C57" s="3" t="s">
        <v>253</v>
      </c>
      <c r="E57" s="32">
        <f>Invulsheet!M57</f>
        <v>0</v>
      </c>
      <c r="G57" s="32">
        <f>Invulsheet!O57</f>
        <v>0</v>
      </c>
      <c r="H57" s="31"/>
      <c r="I57" s="38">
        <f t="shared" ref="I57:I59" si="9">IFERROR(1/(1/G57+0.04+0.17), 0)</f>
        <v>0</v>
      </c>
      <c r="J57" s="38">
        <v>1</v>
      </c>
      <c r="K57" s="38">
        <f t="shared" si="7"/>
        <v>0</v>
      </c>
    </row>
    <row r="58" spans="3:12" ht="15" customHeight="1" x14ac:dyDescent="0.2">
      <c r="C58" s="3" t="s">
        <v>252</v>
      </c>
      <c r="E58" s="32">
        <f>Invulsheet!M58</f>
        <v>0</v>
      </c>
      <c r="G58" s="32">
        <f>Invulsheet!O58</f>
        <v>0</v>
      </c>
      <c r="H58" s="31"/>
      <c r="I58" s="38">
        <f t="shared" si="9"/>
        <v>0</v>
      </c>
      <c r="J58" s="38">
        <v>1</v>
      </c>
      <c r="K58" s="38">
        <f t="shared" ref="K58:K59" si="10">E58*I58*J58</f>
        <v>0</v>
      </c>
      <c r="L58" s="47"/>
    </row>
    <row r="59" spans="3:12" ht="15" customHeight="1" x14ac:dyDescent="0.2">
      <c r="C59" s="3" t="s">
        <v>250</v>
      </c>
      <c r="E59" s="32">
        <f>Invulsheet!M59</f>
        <v>0</v>
      </c>
      <c r="G59" s="32">
        <f>Invulsheet!O59</f>
        <v>0</v>
      </c>
      <c r="H59" s="31"/>
      <c r="I59" s="38">
        <f t="shared" si="9"/>
        <v>0</v>
      </c>
      <c r="J59" s="38">
        <v>1</v>
      </c>
      <c r="K59" s="38">
        <f t="shared" si="10"/>
        <v>0</v>
      </c>
      <c r="L59" s="46" t="e">
        <f>-SUM(K52:K59)/$K$67*$AC$241</f>
        <v>#DIV/0!</v>
      </c>
    </row>
    <row r="60" spans="3:12" ht="15" customHeight="1" x14ac:dyDescent="0.2">
      <c r="I60" s="3"/>
      <c r="L60" s="72"/>
    </row>
    <row r="61" spans="3:12" ht="15" customHeight="1" x14ac:dyDescent="0.2">
      <c r="C61" s="3" t="s">
        <v>251</v>
      </c>
      <c r="E61" s="32">
        <f>Invulsheet!M61</f>
        <v>0</v>
      </c>
      <c r="G61" s="32">
        <f>Invulsheet!O61</f>
        <v>0</v>
      </c>
      <c r="H61" s="31"/>
      <c r="I61" s="38">
        <f>G61</f>
        <v>0</v>
      </c>
      <c r="J61" s="38">
        <v>1</v>
      </c>
      <c r="K61" s="38">
        <f t="shared" ref="K61:K65" si="11">E61*I61*J61</f>
        <v>0</v>
      </c>
      <c r="L61" s="72"/>
    </row>
    <row r="62" spans="3:12" ht="15" customHeight="1" x14ac:dyDescent="0.2">
      <c r="C62" s="3" t="s">
        <v>30</v>
      </c>
      <c r="E62" s="32">
        <f>Invulsheet!M62</f>
        <v>0</v>
      </c>
      <c r="G62" s="32">
        <f>Invulsheet!O62</f>
        <v>0</v>
      </c>
      <c r="H62" s="31"/>
      <c r="I62" s="38">
        <f>G62</f>
        <v>0</v>
      </c>
      <c r="J62" s="38">
        <v>1</v>
      </c>
      <c r="K62" s="38">
        <f t="shared" si="11"/>
        <v>0</v>
      </c>
      <c r="L62" s="72"/>
    </row>
    <row r="63" spans="3:12" ht="15" customHeight="1" x14ac:dyDescent="0.2">
      <c r="C63" s="3" t="s">
        <v>31</v>
      </c>
      <c r="E63" s="32">
        <f>Invulsheet!M63</f>
        <v>0</v>
      </c>
      <c r="G63" s="32">
        <f>Invulsheet!O63</f>
        <v>0</v>
      </c>
      <c r="H63" s="31"/>
      <c r="I63" s="38">
        <f>G63</f>
        <v>0</v>
      </c>
      <c r="J63" s="38">
        <v>1</v>
      </c>
      <c r="K63" s="38">
        <f t="shared" si="11"/>
        <v>0</v>
      </c>
      <c r="L63" s="72"/>
    </row>
    <row r="64" spans="3:12" ht="15" customHeight="1" x14ac:dyDescent="0.2">
      <c r="C64" s="3" t="s">
        <v>75</v>
      </c>
      <c r="E64" s="32">
        <f>Invulsheet!M64</f>
        <v>0</v>
      </c>
      <c r="G64" s="32">
        <f>Invulsheet!O64</f>
        <v>0</v>
      </c>
      <c r="H64" s="31"/>
      <c r="I64" s="38">
        <f>G64</f>
        <v>0</v>
      </c>
      <c r="J64" s="38">
        <v>1</v>
      </c>
      <c r="K64" s="38">
        <f t="shared" si="11"/>
        <v>0</v>
      </c>
      <c r="L64" s="72"/>
    </row>
    <row r="65" spans="1:12" ht="15" customHeight="1" x14ac:dyDescent="0.2">
      <c r="C65" s="3" t="s">
        <v>76</v>
      </c>
      <c r="E65" s="32">
        <f>Invulsheet!M65</f>
        <v>0</v>
      </c>
      <c r="G65" s="32">
        <f>Invulsheet!O65</f>
        <v>0</v>
      </c>
      <c r="H65" s="31"/>
      <c r="I65" s="38">
        <f>G65</f>
        <v>0</v>
      </c>
      <c r="J65" s="38">
        <v>1</v>
      </c>
      <c r="K65" s="38">
        <f t="shared" si="11"/>
        <v>0</v>
      </c>
      <c r="L65" s="46" t="e">
        <f>-SUM(K61:K65)/$K$67*$AC$241</f>
        <v>#DIV/0!</v>
      </c>
    </row>
    <row r="66" spans="1:12" ht="15" customHeight="1" x14ac:dyDescent="0.2">
      <c r="E66" s="35"/>
      <c r="G66" s="35"/>
      <c r="H66" s="31"/>
      <c r="I66" s="40"/>
      <c r="J66" s="40"/>
      <c r="K66" s="40"/>
    </row>
    <row r="67" spans="1:12" ht="15" customHeight="1" x14ac:dyDescent="0.2">
      <c r="C67" s="3" t="s">
        <v>33</v>
      </c>
      <c r="D67" s="5" t="s">
        <v>5</v>
      </c>
      <c r="E67" s="35"/>
      <c r="G67" s="35"/>
      <c r="H67" s="31"/>
      <c r="I67" s="40"/>
      <c r="J67" s="40"/>
      <c r="K67" s="38">
        <f>SUM(K34:K65)</f>
        <v>0</v>
      </c>
    </row>
    <row r="68" spans="1:12" ht="15" customHeight="1" x14ac:dyDescent="0.2">
      <c r="C68" s="3" t="s">
        <v>21</v>
      </c>
      <c r="D68" s="5" t="s">
        <v>49</v>
      </c>
      <c r="E68" s="35"/>
      <c r="G68" s="35"/>
      <c r="H68" s="31"/>
      <c r="I68" s="40"/>
      <c r="J68" s="40"/>
      <c r="L68" s="46">
        <f>-AC241</f>
        <v>0</v>
      </c>
    </row>
    <row r="69" spans="1:12" ht="15" customHeight="1" x14ac:dyDescent="0.2"/>
    <row r="70" spans="1:12" ht="15" customHeight="1" x14ac:dyDescent="0.2"/>
    <row r="71" spans="1:12" ht="24" customHeight="1" x14ac:dyDescent="0.3">
      <c r="C71" s="9" t="s">
        <v>77</v>
      </c>
      <c r="D71" s="23"/>
      <c r="E71" s="12"/>
      <c r="F71" s="12"/>
      <c r="G71" s="12"/>
      <c r="H71" s="12"/>
      <c r="I71" s="12"/>
      <c r="J71" s="12"/>
      <c r="K71" s="12"/>
    </row>
    <row r="72" spans="1:12" ht="15" customHeight="1" x14ac:dyDescent="0.2"/>
    <row r="73" spans="1:12" ht="15" customHeight="1" x14ac:dyDescent="0.2">
      <c r="C73" s="3" t="s">
        <v>46</v>
      </c>
      <c r="D73" s="5" t="s">
        <v>17</v>
      </c>
      <c r="F73" s="42">
        <f>Invulsheet!N70</f>
        <v>0</v>
      </c>
    </row>
    <row r="74" spans="1:12" ht="15" customHeight="1" x14ac:dyDescent="0.2">
      <c r="C74" s="3" t="s">
        <v>45</v>
      </c>
      <c r="D74" s="5" t="s">
        <v>78</v>
      </c>
      <c r="F74" s="44"/>
      <c r="J74" s="38" t="e">
        <f>F73*3.6/J17*(1/10)^0.7</f>
        <v>#DIV/0!</v>
      </c>
    </row>
    <row r="75" spans="1:12" ht="15" customHeight="1" x14ac:dyDescent="0.2">
      <c r="C75" s="3" t="s">
        <v>44</v>
      </c>
      <c r="D75" s="5" t="s">
        <v>143</v>
      </c>
      <c r="F75" s="44"/>
      <c r="J75" s="37" t="e">
        <f>J74*F16/3600</f>
        <v>#DIV/0!</v>
      </c>
    </row>
    <row r="76" spans="1:12" ht="15" customHeight="1" x14ac:dyDescent="0.2">
      <c r="C76" s="3" t="s">
        <v>142</v>
      </c>
      <c r="D76" s="5" t="s">
        <v>5</v>
      </c>
      <c r="F76" s="44"/>
      <c r="J76" s="38" t="e">
        <f>J75*1230</f>
        <v>#DIV/0!</v>
      </c>
      <c r="K76" s="46" t="e">
        <f>-J76/$J$85*$AD$241</f>
        <v>#DIV/0!</v>
      </c>
    </row>
    <row r="77" spans="1:12" ht="15" customHeight="1" x14ac:dyDescent="0.2"/>
    <row r="78" spans="1:12" ht="15" customHeight="1" x14ac:dyDescent="0.2">
      <c r="C78" s="3" t="s">
        <v>39</v>
      </c>
      <c r="D78" s="5" t="s">
        <v>78</v>
      </c>
      <c r="F78" s="42">
        <f>Invulsheet!N72</f>
        <v>0</v>
      </c>
    </row>
    <row r="79" spans="1:12" s="107" customFormat="1" ht="15" customHeight="1" x14ac:dyDescent="0.2">
      <c r="A79" s="112"/>
      <c r="C79" s="107" t="s">
        <v>248</v>
      </c>
      <c r="D79" s="5"/>
      <c r="E79" s="11"/>
      <c r="F79" s="42">
        <f>Invulsheet!N73</f>
        <v>0</v>
      </c>
      <c r="G79" s="11"/>
      <c r="H79" s="11"/>
      <c r="I79" s="11"/>
      <c r="J79" s="11"/>
      <c r="K79" s="11"/>
    </row>
    <row r="80" spans="1:12" ht="15" customHeight="1" x14ac:dyDescent="0.2">
      <c r="C80" s="3" t="s">
        <v>43</v>
      </c>
      <c r="F80" s="42">
        <f>Invulsheet!N74</f>
        <v>0</v>
      </c>
    </row>
    <row r="81" spans="1:11" ht="15" customHeight="1" x14ac:dyDescent="0.2">
      <c r="C81" s="3" t="s">
        <v>38</v>
      </c>
      <c r="D81" s="5" t="s">
        <v>59</v>
      </c>
      <c r="F81" s="121">
        <f>Invulsheet!N75</f>
        <v>0</v>
      </c>
    </row>
    <row r="82" spans="1:11" ht="15" customHeight="1" x14ac:dyDescent="0.2">
      <c r="C82" s="3" t="s">
        <v>40</v>
      </c>
      <c r="D82" s="5" t="s">
        <v>143</v>
      </c>
      <c r="F82" s="44"/>
      <c r="J82" s="37">
        <f>F78*F16*IF(F80=Data!B3,0.5,1)/3600</f>
        <v>0</v>
      </c>
    </row>
    <row r="83" spans="1:11" ht="15" customHeight="1" x14ac:dyDescent="0.2">
      <c r="C83" s="3" t="s">
        <v>144</v>
      </c>
      <c r="D83" s="5" t="s">
        <v>5</v>
      </c>
      <c r="F83" s="44"/>
      <c r="J83" s="38">
        <f>J82*(1-F81)*1230</f>
        <v>0</v>
      </c>
      <c r="K83" s="46" t="e">
        <f>-J83/$J$85*$AD$241</f>
        <v>#DIV/0!</v>
      </c>
    </row>
    <row r="84" spans="1:11" ht="15" customHeight="1" x14ac:dyDescent="0.2">
      <c r="F84" s="44"/>
      <c r="J84" s="40"/>
    </row>
    <row r="85" spans="1:11" ht="15" customHeight="1" x14ac:dyDescent="0.2">
      <c r="C85" s="3" t="s">
        <v>33</v>
      </c>
      <c r="D85" s="5" t="s">
        <v>5</v>
      </c>
      <c r="F85" s="44"/>
      <c r="J85" s="38" t="e">
        <f>J83+J76</f>
        <v>#DIV/0!</v>
      </c>
    </row>
    <row r="86" spans="1:11" ht="15" customHeight="1" x14ac:dyDescent="0.2">
      <c r="C86" s="3" t="s">
        <v>163</v>
      </c>
      <c r="D86" s="5" t="s">
        <v>49</v>
      </c>
      <c r="F86" s="44"/>
      <c r="K86" s="46">
        <f>-$AD$241</f>
        <v>0</v>
      </c>
    </row>
    <row r="87" spans="1:11" s="107" customFormat="1" ht="15" customHeight="1" x14ac:dyDescent="0.2">
      <c r="A87" s="112"/>
      <c r="D87" s="5"/>
      <c r="E87" s="11"/>
      <c r="F87" s="44"/>
      <c r="G87" s="11"/>
      <c r="H87" s="11"/>
      <c r="I87" s="11"/>
      <c r="J87" s="11"/>
      <c r="K87" s="47"/>
    </row>
    <row r="88" spans="1:11" s="107" customFormat="1" ht="15" customHeight="1" x14ac:dyDescent="0.2">
      <c r="A88" s="112"/>
      <c r="C88" s="107" t="s">
        <v>264</v>
      </c>
      <c r="D88" s="5" t="s">
        <v>48</v>
      </c>
      <c r="E88" s="11"/>
      <c r="F88" s="44"/>
      <c r="G88" s="11"/>
      <c r="H88" s="11"/>
      <c r="I88" s="11"/>
      <c r="J88" s="46">
        <f>IFERROR(VLOOKUP(F79,Data!E27:F29,2,FALSE),0)</f>
        <v>0</v>
      </c>
      <c r="K88" s="47"/>
    </row>
    <row r="89" spans="1:11" ht="15" customHeight="1" x14ac:dyDescent="0.2">
      <c r="F89" s="24"/>
    </row>
    <row r="90" spans="1:11" ht="15" customHeight="1" x14ac:dyDescent="0.2"/>
    <row r="91" spans="1:11" ht="24" customHeight="1" x14ac:dyDescent="0.3">
      <c r="C91" s="9" t="s">
        <v>79</v>
      </c>
      <c r="D91" s="23"/>
      <c r="E91" s="12"/>
      <c r="F91" s="12"/>
      <c r="G91" s="12"/>
      <c r="H91" s="12"/>
      <c r="I91" s="12"/>
      <c r="J91" s="12"/>
      <c r="K91" s="12"/>
    </row>
    <row r="92" spans="1:11" ht="15" customHeight="1" x14ac:dyDescent="0.2"/>
    <row r="93" spans="1:11" ht="15" customHeight="1" x14ac:dyDescent="0.2">
      <c r="C93" s="3" t="s">
        <v>80</v>
      </c>
      <c r="D93" s="5" t="s">
        <v>0</v>
      </c>
      <c r="F93" s="41">
        <f>Invulsheet!N83</f>
        <v>10</v>
      </c>
      <c r="G93" s="3"/>
      <c r="H93" s="3"/>
      <c r="I93" s="3"/>
      <c r="J93" s="3"/>
      <c r="K93" s="3"/>
    </row>
    <row r="94" spans="1:11" ht="15" customHeight="1" x14ac:dyDescent="0.2">
      <c r="C94" s="3" t="s">
        <v>81</v>
      </c>
      <c r="D94" s="5" t="s">
        <v>0</v>
      </c>
      <c r="F94" s="41">
        <f>Invulsheet!N84</f>
        <v>40</v>
      </c>
    </row>
    <row r="95" spans="1:11" ht="15" customHeight="1" x14ac:dyDescent="0.2">
      <c r="C95" s="3" t="s">
        <v>147</v>
      </c>
      <c r="J95" s="38">
        <f>F94-F93</f>
        <v>30</v>
      </c>
    </row>
    <row r="96" spans="1:11" ht="15" customHeight="1" x14ac:dyDescent="0.2">
      <c r="C96" s="3" t="s">
        <v>51</v>
      </c>
      <c r="F96" s="41">
        <f>Invulsheet!N85</f>
        <v>5</v>
      </c>
    </row>
    <row r="97" spans="3:11" ht="15" customHeight="1" x14ac:dyDescent="0.2">
      <c r="C97" s="3" t="s">
        <v>145</v>
      </c>
      <c r="D97" s="5" t="s">
        <v>146</v>
      </c>
      <c r="J97" s="38">
        <f>VLOOKUP(F96,Data!B20:C25,2)</f>
        <v>12</v>
      </c>
    </row>
    <row r="98" spans="3:11" ht="15" customHeight="1" x14ac:dyDescent="0.2">
      <c r="C98" s="3" t="s">
        <v>90</v>
      </c>
      <c r="D98" s="5" t="s">
        <v>89</v>
      </c>
      <c r="F98" s="41">
        <f>Invulsheet!N86</f>
        <v>4</v>
      </c>
    </row>
    <row r="99" spans="3:11" ht="15" customHeight="1" x14ac:dyDescent="0.2"/>
    <row r="100" spans="3:11" ht="15" customHeight="1" x14ac:dyDescent="0.2">
      <c r="C100" s="3" t="s">
        <v>82</v>
      </c>
      <c r="D100" s="5" t="s">
        <v>54</v>
      </c>
      <c r="F100" s="41">
        <f>Invulsheet!N88</f>
        <v>0</v>
      </c>
    </row>
    <row r="101" spans="3:11" ht="15" customHeight="1" x14ac:dyDescent="0.2">
      <c r="C101" s="3" t="s">
        <v>85</v>
      </c>
      <c r="D101" s="5" t="s">
        <v>84</v>
      </c>
      <c r="F101" s="41">
        <f>Invulsheet!N89</f>
        <v>0</v>
      </c>
      <c r="J101" s="3"/>
    </row>
    <row r="102" spans="3:11" ht="15" customHeight="1" x14ac:dyDescent="0.2">
      <c r="C102" s="3" t="s">
        <v>83</v>
      </c>
      <c r="D102" s="5" t="s">
        <v>59</v>
      </c>
      <c r="F102" s="41">
        <f>Invulsheet!N90</f>
        <v>0</v>
      </c>
    </row>
    <row r="103" spans="3:11" ht="15" customHeight="1" x14ac:dyDescent="0.2">
      <c r="C103" s="3" t="s">
        <v>148</v>
      </c>
      <c r="F103" s="35"/>
      <c r="J103" s="33">
        <f>(52-F96)*F101</f>
        <v>0</v>
      </c>
    </row>
    <row r="104" spans="3:11" ht="15" customHeight="1" x14ac:dyDescent="0.2">
      <c r="C104" s="3" t="s">
        <v>149</v>
      </c>
      <c r="D104" s="5" t="s">
        <v>18</v>
      </c>
      <c r="F104" s="35"/>
      <c r="J104" s="36">
        <f>4.18*F100*J97*J95*(1-F102/100)/1000000</f>
        <v>0</v>
      </c>
    </row>
    <row r="105" spans="3:11" ht="15" customHeight="1" x14ac:dyDescent="0.2">
      <c r="C105" s="3" t="s">
        <v>150</v>
      </c>
      <c r="D105" s="5" t="s">
        <v>56</v>
      </c>
      <c r="F105" s="35"/>
      <c r="I105" s="39">
        <f>J104*J103</f>
        <v>0</v>
      </c>
      <c r="J105" s="3"/>
      <c r="K105" s="3"/>
    </row>
    <row r="106" spans="3:11" ht="15" customHeight="1" x14ac:dyDescent="0.2">
      <c r="F106" s="35"/>
      <c r="I106" s="48"/>
    </row>
    <row r="107" spans="3:11" ht="15" customHeight="1" x14ac:dyDescent="0.2">
      <c r="I107" s="48"/>
    </row>
    <row r="108" spans="3:11" ht="15" customHeight="1" x14ac:dyDescent="0.2">
      <c r="C108" s="3" t="s">
        <v>86</v>
      </c>
      <c r="D108" s="5" t="s">
        <v>84</v>
      </c>
      <c r="F108" s="41">
        <f>Invulsheet!N92</f>
        <v>0</v>
      </c>
      <c r="I108" s="48"/>
    </row>
    <row r="109" spans="3:11" ht="15" customHeight="1" x14ac:dyDescent="0.2">
      <c r="C109" s="3" t="s">
        <v>87</v>
      </c>
      <c r="D109" s="5" t="s">
        <v>88</v>
      </c>
      <c r="F109" s="41">
        <f>Invulsheet!N93</f>
        <v>110</v>
      </c>
      <c r="I109" s="48"/>
    </row>
    <row r="110" spans="3:11" ht="15" customHeight="1" x14ac:dyDescent="0.2">
      <c r="C110" s="3" t="s">
        <v>151</v>
      </c>
      <c r="F110" s="35"/>
      <c r="I110" s="48"/>
      <c r="J110" s="33">
        <f>(52-F103)*F108</f>
        <v>0</v>
      </c>
    </row>
    <row r="111" spans="3:11" ht="15" customHeight="1" x14ac:dyDescent="0.2">
      <c r="C111" s="3" t="s">
        <v>149</v>
      </c>
      <c r="D111" s="5" t="s">
        <v>18</v>
      </c>
      <c r="F111" s="35"/>
      <c r="I111" s="48"/>
      <c r="J111" s="36">
        <f>4.18*J95*F109/1000000</f>
        <v>1.3793999999999999E-2</v>
      </c>
    </row>
    <row r="112" spans="3:11" ht="15" customHeight="1" x14ac:dyDescent="0.2">
      <c r="C112" s="3" t="s">
        <v>150</v>
      </c>
      <c r="D112" s="5" t="s">
        <v>56</v>
      </c>
      <c r="F112" s="35"/>
      <c r="I112" s="39">
        <f>J111*J110</f>
        <v>0</v>
      </c>
      <c r="J112" s="3"/>
      <c r="K112" s="3"/>
    </row>
    <row r="113" spans="1:11" ht="15" customHeight="1" x14ac:dyDescent="0.2">
      <c r="I113" s="48"/>
    </row>
    <row r="114" spans="1:11" ht="15" customHeight="1" x14ac:dyDescent="0.2">
      <c r="C114" s="27" t="s">
        <v>91</v>
      </c>
      <c r="D114" s="5" t="s">
        <v>92</v>
      </c>
      <c r="F114" s="41">
        <f>Invulsheet!N95</f>
        <v>0</v>
      </c>
      <c r="I114" s="48"/>
    </row>
    <row r="115" spans="1:11" ht="15" customHeight="1" x14ac:dyDescent="0.2">
      <c r="C115" s="3" t="s">
        <v>152</v>
      </c>
      <c r="D115" s="5" t="s">
        <v>55</v>
      </c>
      <c r="F115" s="35"/>
      <c r="I115" s="48"/>
      <c r="J115" s="36">
        <f>F114*J97*J95*4.18/1000000</f>
        <v>0</v>
      </c>
    </row>
    <row r="116" spans="1:11" ht="15" customHeight="1" x14ac:dyDescent="0.2">
      <c r="C116" s="3" t="s">
        <v>150</v>
      </c>
      <c r="D116" s="5" t="s">
        <v>56</v>
      </c>
      <c r="F116" s="35"/>
      <c r="I116" s="39">
        <f>J115*(52-F98)*7</f>
        <v>0</v>
      </c>
      <c r="J116" s="3"/>
    </row>
    <row r="117" spans="1:11" ht="15" customHeight="1" x14ac:dyDescent="0.2">
      <c r="F117" s="35"/>
      <c r="I117" s="48"/>
    </row>
    <row r="118" spans="1:11" ht="15" customHeight="1" x14ac:dyDescent="0.2">
      <c r="C118" s="3" t="s">
        <v>153</v>
      </c>
      <c r="D118" s="5" t="s">
        <v>56</v>
      </c>
      <c r="F118" s="35"/>
      <c r="I118" s="39">
        <f>I116+I112+I105</f>
        <v>0</v>
      </c>
    </row>
    <row r="119" spans="1:11" ht="15" customHeight="1" x14ac:dyDescent="0.2">
      <c r="F119" s="24"/>
      <c r="I119" s="48"/>
    </row>
    <row r="120" spans="1:11" s="107" customFormat="1" ht="15" customHeight="1" x14ac:dyDescent="0.2">
      <c r="A120" s="112"/>
      <c r="C120" s="1" t="s">
        <v>265</v>
      </c>
      <c r="D120" s="5"/>
      <c r="E120" s="11"/>
      <c r="F120" s="24"/>
      <c r="G120" s="11"/>
      <c r="H120" s="11"/>
      <c r="I120" s="48"/>
      <c r="J120" s="11"/>
      <c r="K120" s="11"/>
    </row>
    <row r="121" spans="1:11" s="107" customFormat="1" ht="15" customHeight="1" x14ac:dyDescent="0.2">
      <c r="A121" s="112"/>
      <c r="C121" s="107" t="s">
        <v>266</v>
      </c>
      <c r="D121" s="5"/>
      <c r="E121" s="11"/>
      <c r="F121" s="121">
        <f>Invulsheet!N99</f>
        <v>1</v>
      </c>
      <c r="G121" s="11"/>
      <c r="H121" s="11"/>
      <c r="I121" s="39">
        <f>F121*I118</f>
        <v>0</v>
      </c>
      <c r="J121" s="5" t="s">
        <v>56</v>
      </c>
      <c r="K121" s="11"/>
    </row>
    <row r="122" spans="1:11" ht="15" customHeight="1" x14ac:dyDescent="0.2">
      <c r="C122" s="3" t="s">
        <v>93</v>
      </c>
      <c r="F122" s="41">
        <f>Invulsheet!N100</f>
        <v>0</v>
      </c>
      <c r="I122" s="48"/>
    </row>
    <row r="123" spans="1:11" ht="15" customHeight="1" x14ac:dyDescent="0.2">
      <c r="C123" s="3" t="s">
        <v>95</v>
      </c>
      <c r="F123" s="43">
        <f>Invulsheet!N101</f>
        <v>0</v>
      </c>
      <c r="I123" s="48"/>
    </row>
    <row r="124" spans="1:11" s="107" customFormat="1" ht="15" customHeight="1" x14ac:dyDescent="0.2">
      <c r="A124" s="112"/>
      <c r="C124" s="107" t="s">
        <v>268</v>
      </c>
      <c r="D124" s="5"/>
      <c r="E124" s="11"/>
      <c r="F124" s="43">
        <f>Invulsheet!N102</f>
        <v>0</v>
      </c>
      <c r="G124" s="11"/>
      <c r="H124" s="11"/>
      <c r="I124" s="39">
        <f>-1*F124</f>
        <v>0</v>
      </c>
      <c r="J124" s="5" t="s">
        <v>56</v>
      </c>
      <c r="K124" s="11" t="str">
        <f>IF(I125+I124+I121&lt;0,"Overproductie!","")</f>
        <v/>
      </c>
    </row>
    <row r="125" spans="1:11" s="107" customFormat="1" ht="15" customHeight="1" x14ac:dyDescent="0.2">
      <c r="A125" s="112"/>
      <c r="C125" s="107" t="s">
        <v>154</v>
      </c>
      <c r="D125" s="5"/>
      <c r="E125" s="11"/>
      <c r="F125" s="43">
        <f>Invulsheet!N103</f>
        <v>0</v>
      </c>
      <c r="G125" s="11"/>
      <c r="H125" s="11"/>
      <c r="I125" s="39">
        <f>IFERROR(VLOOKUP(F125,Data!$E$20:$F$23,2,FALSE)*F121,0)</f>
        <v>0</v>
      </c>
      <c r="J125" s="5" t="s">
        <v>56</v>
      </c>
      <c r="K125" s="11"/>
    </row>
    <row r="126" spans="1:11" ht="15" customHeight="1" x14ac:dyDescent="0.2">
      <c r="C126" s="3" t="s">
        <v>155</v>
      </c>
      <c r="D126" s="5" t="s">
        <v>56</v>
      </c>
      <c r="I126" s="39">
        <f>IFERROR(MAX(0, I121+I124+I125)/F123,0)</f>
        <v>0</v>
      </c>
      <c r="J126" s="5" t="s">
        <v>56</v>
      </c>
    </row>
    <row r="127" spans="1:11" s="107" customFormat="1" ht="15" customHeight="1" x14ac:dyDescent="0.2">
      <c r="A127" s="112"/>
      <c r="D127" s="5"/>
      <c r="E127" s="11"/>
      <c r="F127" s="45"/>
      <c r="G127" s="11"/>
      <c r="H127" s="11"/>
      <c r="I127" s="120"/>
      <c r="J127" s="11"/>
      <c r="K127" s="11"/>
    </row>
    <row r="128" spans="1:11" s="107" customFormat="1" ht="15" customHeight="1" x14ac:dyDescent="0.2">
      <c r="A128" s="112"/>
      <c r="C128" s="1" t="s">
        <v>267</v>
      </c>
      <c r="D128" s="5"/>
      <c r="E128" s="11"/>
      <c r="F128" s="45"/>
      <c r="G128" s="11"/>
      <c r="H128" s="11"/>
      <c r="I128" s="120"/>
      <c r="J128" s="11"/>
      <c r="K128" s="11"/>
    </row>
    <row r="129" spans="1:12" s="107" customFormat="1" ht="15" customHeight="1" x14ac:dyDescent="0.2">
      <c r="A129" s="112"/>
      <c r="C129" s="107" t="s">
        <v>266</v>
      </c>
      <c r="D129" s="5"/>
      <c r="E129" s="11"/>
      <c r="F129" s="121">
        <f>Invulsheet!O106</f>
        <v>0</v>
      </c>
      <c r="G129" s="11"/>
      <c r="H129" s="11"/>
      <c r="I129" s="39">
        <f>F129*I118</f>
        <v>0</v>
      </c>
      <c r="J129" s="5" t="s">
        <v>56</v>
      </c>
      <c r="K129" s="11"/>
    </row>
    <row r="130" spans="1:12" s="107" customFormat="1" ht="15" customHeight="1" x14ac:dyDescent="0.2">
      <c r="A130" s="112"/>
      <c r="C130" s="107" t="s">
        <v>93</v>
      </c>
      <c r="D130" s="5"/>
      <c r="E130" s="11"/>
      <c r="F130" s="41" t="str">
        <f>Invulsheet!N107</f>
        <v>Elektriciteit</v>
      </c>
      <c r="G130" s="11"/>
      <c r="H130" s="11"/>
      <c r="I130" s="120"/>
      <c r="J130" s="11"/>
      <c r="K130" s="11"/>
    </row>
    <row r="131" spans="1:12" s="107" customFormat="1" ht="15" customHeight="1" x14ac:dyDescent="0.2">
      <c r="A131" s="112"/>
      <c r="C131" s="107" t="s">
        <v>95</v>
      </c>
      <c r="D131" s="5"/>
      <c r="E131" s="11"/>
      <c r="F131" s="43">
        <f>Invulsheet!N108</f>
        <v>1</v>
      </c>
      <c r="G131" s="11"/>
      <c r="H131" s="11"/>
      <c r="I131" s="120"/>
      <c r="J131" s="11"/>
      <c r="K131" s="11"/>
    </row>
    <row r="132" spans="1:12" s="107" customFormat="1" ht="15" customHeight="1" x14ac:dyDescent="0.2">
      <c r="A132" s="112"/>
      <c r="C132" s="107" t="s">
        <v>154</v>
      </c>
      <c r="D132" s="5"/>
      <c r="E132" s="11"/>
      <c r="F132" s="41" t="str">
        <f>Invulsheet!N109</f>
        <v>Geen</v>
      </c>
      <c r="G132" s="11"/>
      <c r="H132" s="11"/>
      <c r="I132" s="39">
        <f>VLOOKUP(F132,Data!$E$20:$F$23,2,FALSE)*F129</f>
        <v>0</v>
      </c>
      <c r="J132" s="5" t="s">
        <v>56</v>
      </c>
      <c r="K132" s="11"/>
    </row>
    <row r="133" spans="1:12" s="107" customFormat="1" ht="15" customHeight="1" x14ac:dyDescent="0.2">
      <c r="A133" s="112"/>
      <c r="C133" s="107" t="s">
        <v>155</v>
      </c>
      <c r="D133" s="5" t="s">
        <v>56</v>
      </c>
      <c r="E133" s="11"/>
      <c r="F133" s="45"/>
      <c r="G133" s="11"/>
      <c r="H133" s="11"/>
      <c r="I133" s="39">
        <f>MAX(0, I129+I132)/F131</f>
        <v>0</v>
      </c>
      <c r="J133" s="5" t="s">
        <v>56</v>
      </c>
      <c r="K133" s="11"/>
    </row>
    <row r="134" spans="1:12" ht="15" customHeight="1" x14ac:dyDescent="0.2">
      <c r="F134" s="24"/>
    </row>
    <row r="135" spans="1:12" ht="15" customHeight="1" x14ac:dyDescent="0.2"/>
    <row r="136" spans="1:12" ht="24" customHeight="1" x14ac:dyDescent="0.3">
      <c r="C136" s="9" t="s">
        <v>96</v>
      </c>
      <c r="D136" s="23"/>
      <c r="E136" s="12"/>
      <c r="F136" s="12"/>
      <c r="G136" s="12"/>
      <c r="H136" s="12"/>
      <c r="I136" s="12"/>
      <c r="J136" s="12"/>
      <c r="K136" s="12"/>
    </row>
    <row r="137" spans="1:12" ht="15" customHeight="1" x14ac:dyDescent="0.2"/>
    <row r="138" spans="1:12" s="107" customFormat="1" ht="15" customHeight="1" x14ac:dyDescent="0.2">
      <c r="A138" s="112"/>
      <c r="C138" s="1" t="s">
        <v>265</v>
      </c>
      <c r="D138" s="5"/>
      <c r="E138" s="11"/>
      <c r="F138" s="11"/>
      <c r="G138" s="11"/>
      <c r="H138" s="11"/>
      <c r="I138" s="11"/>
      <c r="J138" s="11"/>
      <c r="K138" s="11"/>
    </row>
    <row r="139" spans="1:12" s="107" customFormat="1" ht="15" customHeight="1" x14ac:dyDescent="0.2">
      <c r="A139" s="112"/>
      <c r="C139" s="107" t="s">
        <v>266</v>
      </c>
      <c r="D139" s="5"/>
      <c r="E139" s="11"/>
      <c r="F139" s="121">
        <f>Invulsheet!N115</f>
        <v>1</v>
      </c>
      <c r="G139" s="11"/>
      <c r="H139" s="11"/>
      <c r="I139" s="38">
        <f>J208*F139/1000</f>
        <v>0</v>
      </c>
      <c r="J139" s="5" t="s">
        <v>56</v>
      </c>
      <c r="K139" s="11"/>
    </row>
    <row r="140" spans="1:12" ht="15" customHeight="1" x14ac:dyDescent="0.2">
      <c r="C140" s="3" t="s">
        <v>97</v>
      </c>
      <c r="F140" s="41">
        <f>Invulsheet!N116</f>
        <v>0</v>
      </c>
    </row>
    <row r="141" spans="1:12" ht="15" customHeight="1" x14ac:dyDescent="0.2">
      <c r="C141" s="3" t="s">
        <v>98</v>
      </c>
      <c r="F141" s="43">
        <f>Invulsheet!N117</f>
        <v>0</v>
      </c>
    </row>
    <row r="142" spans="1:12" s="107" customFormat="1" ht="15" customHeight="1" x14ac:dyDescent="0.2">
      <c r="A142" s="112"/>
      <c r="D142" s="5"/>
      <c r="E142" s="11"/>
      <c r="F142" s="11"/>
      <c r="G142" s="11"/>
      <c r="H142" s="11"/>
      <c r="I142" s="11"/>
      <c r="J142" s="5"/>
      <c r="K142" s="129"/>
      <c r="L142" s="129"/>
    </row>
    <row r="143" spans="1:12" s="107" customFormat="1" ht="15" customHeight="1" x14ac:dyDescent="0.2">
      <c r="A143" s="112"/>
      <c r="C143" s="107" t="s">
        <v>270</v>
      </c>
      <c r="D143" s="5" t="s">
        <v>56</v>
      </c>
      <c r="E143" s="11"/>
      <c r="F143" s="41">
        <f>Invulsheet!N119</f>
        <v>0</v>
      </c>
      <c r="G143" s="11"/>
      <c r="H143" s="11"/>
      <c r="I143" s="38">
        <f>-1*F143</f>
        <v>0</v>
      </c>
      <c r="J143" s="5" t="s">
        <v>56</v>
      </c>
      <c r="K143" s="129" t="str">
        <f>IF(I143+I139&lt;0,"Overproductie","")</f>
        <v/>
      </c>
      <c r="L143" s="129"/>
    </row>
    <row r="144" spans="1:12" s="107" customFormat="1" ht="15" customHeight="1" x14ac:dyDescent="0.2">
      <c r="A144" s="112"/>
      <c r="C144" s="107" t="s">
        <v>165</v>
      </c>
      <c r="D144" s="5" t="s">
        <v>56</v>
      </c>
      <c r="E144" s="11"/>
      <c r="F144" s="124"/>
      <c r="G144" s="11"/>
      <c r="H144" s="11"/>
      <c r="I144" s="38" t="e">
        <f>MAX(0,I143+I139)/F141</f>
        <v>#DIV/0!</v>
      </c>
      <c r="J144" s="5" t="s">
        <v>56</v>
      </c>
      <c r="K144" s="11"/>
    </row>
    <row r="145" spans="1:12" s="107" customFormat="1" ht="15" customHeight="1" x14ac:dyDescent="0.2">
      <c r="A145" s="112"/>
      <c r="D145" s="5"/>
      <c r="E145" s="11"/>
      <c r="F145" s="124"/>
      <c r="G145" s="11"/>
      <c r="H145" s="11"/>
      <c r="I145" s="11"/>
      <c r="J145" s="11"/>
      <c r="K145" s="11"/>
    </row>
    <row r="146" spans="1:12" s="107" customFormat="1" ht="15" customHeight="1" x14ac:dyDescent="0.2">
      <c r="A146" s="112"/>
      <c r="C146" s="1" t="s">
        <v>267</v>
      </c>
      <c r="D146" s="5"/>
      <c r="E146" s="11"/>
      <c r="F146" s="124"/>
      <c r="G146" s="11"/>
      <c r="H146" s="11"/>
      <c r="I146" s="11"/>
      <c r="J146" s="11"/>
      <c r="K146" s="11"/>
    </row>
    <row r="147" spans="1:12" s="107" customFormat="1" ht="15" customHeight="1" x14ac:dyDescent="0.2">
      <c r="A147" s="112"/>
      <c r="C147" s="107" t="s">
        <v>266</v>
      </c>
      <c r="D147" s="5"/>
      <c r="E147" s="11"/>
      <c r="F147" s="121">
        <f>Invulsheet!O122</f>
        <v>0</v>
      </c>
      <c r="G147" s="11"/>
      <c r="H147" s="11"/>
      <c r="I147" s="38">
        <f>J208*F147/1000</f>
        <v>0</v>
      </c>
      <c r="J147" s="5" t="s">
        <v>56</v>
      </c>
      <c r="K147" s="11"/>
    </row>
    <row r="148" spans="1:12" s="107" customFormat="1" ht="15" customHeight="1" x14ac:dyDescent="0.2">
      <c r="A148" s="112"/>
      <c r="C148" s="107" t="s">
        <v>97</v>
      </c>
      <c r="D148" s="5"/>
      <c r="E148" s="11"/>
      <c r="F148" s="41" t="str">
        <f>Invulsheet!N123</f>
        <v>Gas</v>
      </c>
      <c r="G148" s="11"/>
      <c r="H148" s="11"/>
      <c r="I148" s="11"/>
      <c r="J148" s="11"/>
      <c r="K148" s="11"/>
    </row>
    <row r="149" spans="1:12" s="107" customFormat="1" ht="15" customHeight="1" x14ac:dyDescent="0.2">
      <c r="A149" s="112"/>
      <c r="C149" s="107" t="s">
        <v>98</v>
      </c>
      <c r="D149" s="5"/>
      <c r="E149" s="11"/>
      <c r="F149" s="43">
        <f>Invulsheet!N124</f>
        <v>1</v>
      </c>
      <c r="G149" s="11"/>
      <c r="H149" s="11"/>
      <c r="I149" s="11"/>
      <c r="J149" s="11"/>
      <c r="K149" s="11"/>
    </row>
    <row r="150" spans="1:12" ht="15" customHeight="1" x14ac:dyDescent="0.2">
      <c r="C150" s="107" t="s">
        <v>269</v>
      </c>
      <c r="D150" s="5" t="s">
        <v>247</v>
      </c>
      <c r="F150" s="41">
        <f>Invulsheet!N125</f>
        <v>0</v>
      </c>
      <c r="I150" s="38">
        <f>F150*1.5*F147</f>
        <v>0</v>
      </c>
      <c r="J150" s="5" t="s">
        <v>48</v>
      </c>
      <c r="L150" s="129" t="s">
        <v>338</v>
      </c>
    </row>
    <row r="151" spans="1:12" s="107" customFormat="1" ht="15" customHeight="1" x14ac:dyDescent="0.2">
      <c r="A151" s="112"/>
      <c r="C151" s="107" t="s">
        <v>165</v>
      </c>
      <c r="D151" s="5" t="s">
        <v>56</v>
      </c>
      <c r="E151" s="11"/>
      <c r="F151" s="124"/>
      <c r="G151" s="11"/>
      <c r="H151" s="11"/>
      <c r="I151" s="38">
        <f>I147/F149</f>
        <v>0</v>
      </c>
      <c r="J151" s="5" t="s">
        <v>56</v>
      </c>
      <c r="K151" s="11"/>
    </row>
    <row r="152" spans="1:12" s="107" customFormat="1" ht="15" customHeight="1" x14ac:dyDescent="0.2">
      <c r="A152" s="112"/>
      <c r="D152" s="5"/>
      <c r="E152" s="11"/>
      <c r="F152" s="124"/>
      <c r="G152" s="11"/>
      <c r="H152" s="11"/>
      <c r="I152" s="11"/>
      <c r="J152" s="11"/>
      <c r="K152" s="11"/>
    </row>
    <row r="153" spans="1:12" ht="15" customHeight="1" x14ac:dyDescent="0.2"/>
    <row r="154" spans="1:12" ht="24" customHeight="1" x14ac:dyDescent="0.3">
      <c r="C154" s="9" t="s">
        <v>162</v>
      </c>
      <c r="D154" s="23"/>
      <c r="E154" s="12"/>
      <c r="F154" s="12"/>
      <c r="G154" s="12"/>
      <c r="H154" s="12"/>
      <c r="I154" s="12"/>
      <c r="J154" s="12"/>
      <c r="K154" s="12"/>
    </row>
    <row r="155" spans="1:12" ht="15" customHeight="1" x14ac:dyDescent="0.2"/>
    <row r="156" spans="1:12" ht="15" customHeight="1" x14ac:dyDescent="0.2">
      <c r="E156" s="4" t="s">
        <v>22</v>
      </c>
      <c r="F156" s="4" t="s">
        <v>104</v>
      </c>
      <c r="G156" s="4" t="s">
        <v>106</v>
      </c>
      <c r="H156" s="4"/>
      <c r="I156" s="4" t="s">
        <v>132</v>
      </c>
      <c r="J156" s="4"/>
      <c r="K156" s="4" t="s">
        <v>292</v>
      </c>
    </row>
    <row r="157" spans="1:12" ht="15" customHeight="1" x14ac:dyDescent="0.2">
      <c r="E157" s="4" t="s">
        <v>8</v>
      </c>
      <c r="F157" s="4" t="s">
        <v>105</v>
      </c>
      <c r="G157" s="4" t="s">
        <v>107</v>
      </c>
      <c r="H157" s="4"/>
      <c r="I157" s="4" t="s">
        <v>59</v>
      </c>
      <c r="J157" s="4"/>
      <c r="K157" s="4" t="s">
        <v>49</v>
      </c>
    </row>
    <row r="158" spans="1:12" ht="15" customHeight="1" x14ac:dyDescent="0.2"/>
    <row r="159" spans="1:12" ht="15" customHeight="1" x14ac:dyDescent="0.2">
      <c r="C159" s="3" t="s">
        <v>100</v>
      </c>
      <c r="E159" s="43">
        <f>Invulsheet!M132</f>
        <v>0</v>
      </c>
      <c r="F159" s="43">
        <f>Invulsheet!N132</f>
        <v>0</v>
      </c>
      <c r="G159" s="43">
        <f>Invulsheet!O132</f>
        <v>0</v>
      </c>
      <c r="H159" s="24"/>
      <c r="I159" s="46">
        <f>50+(100-G159)/2</f>
        <v>100</v>
      </c>
      <c r="J159" s="46"/>
      <c r="K159" s="46"/>
    </row>
    <row r="160" spans="1:12" ht="15" customHeight="1" x14ac:dyDescent="0.2">
      <c r="C160" s="3" t="s">
        <v>101</v>
      </c>
      <c r="E160" s="43">
        <f>Invulsheet!M133</f>
        <v>0</v>
      </c>
      <c r="F160" s="43">
        <f>Invulsheet!N133</f>
        <v>0</v>
      </c>
      <c r="G160" s="43">
        <f>Invulsheet!O133</f>
        <v>0</v>
      </c>
      <c r="H160" s="24"/>
      <c r="I160" s="46">
        <f>70+(100-G160)*3/10</f>
        <v>100</v>
      </c>
      <c r="J160" s="46"/>
      <c r="K160" s="46"/>
    </row>
    <row r="161" spans="3:11" ht="15" customHeight="1" x14ac:dyDescent="0.2">
      <c r="C161" s="3" t="s">
        <v>102</v>
      </c>
      <c r="E161" s="43">
        <f>Invulsheet!M134</f>
        <v>0</v>
      </c>
      <c r="F161" s="43">
        <f>Invulsheet!N134</f>
        <v>0</v>
      </c>
      <c r="G161" s="43">
        <f>Invulsheet!O134</f>
        <v>0</v>
      </c>
      <c r="H161" s="24"/>
      <c r="I161" s="46">
        <v>100</v>
      </c>
      <c r="J161" s="46"/>
      <c r="K161" s="46"/>
    </row>
    <row r="162" spans="3:11" ht="15" customHeight="1" x14ac:dyDescent="0.2">
      <c r="C162" s="3" t="s">
        <v>103</v>
      </c>
      <c r="E162" s="43">
        <f>Invulsheet!M135</f>
        <v>0</v>
      </c>
      <c r="F162" s="43">
        <f>Invulsheet!N135</f>
        <v>0</v>
      </c>
      <c r="G162" s="43">
        <f>Invulsheet!O135</f>
        <v>0</v>
      </c>
      <c r="H162" s="24"/>
      <c r="I162" s="46">
        <f>70+(100-G162)*3/10</f>
        <v>100</v>
      </c>
      <c r="J162" s="46"/>
      <c r="K162" s="46"/>
    </row>
    <row r="163" spans="3:11" ht="15" customHeight="1" x14ac:dyDescent="0.2">
      <c r="E163" s="45"/>
      <c r="F163" s="45"/>
      <c r="G163" s="45"/>
      <c r="H163" s="24"/>
      <c r="I163" s="47"/>
      <c r="J163" s="47"/>
      <c r="K163" s="47"/>
    </row>
    <row r="164" spans="3:11" ht="15" customHeight="1" x14ac:dyDescent="0.2">
      <c r="C164" s="3" t="s">
        <v>33</v>
      </c>
      <c r="D164" s="5" t="s">
        <v>49</v>
      </c>
      <c r="E164" s="45"/>
      <c r="F164" s="45"/>
      <c r="G164" s="45"/>
      <c r="H164" s="24"/>
      <c r="I164" s="47"/>
      <c r="J164" s="47"/>
      <c r="K164" s="46">
        <f>Z241</f>
        <v>0</v>
      </c>
    </row>
    <row r="165" spans="3:11" ht="15" customHeight="1" x14ac:dyDescent="0.2"/>
    <row r="166" spans="3:11" ht="15" customHeight="1" x14ac:dyDescent="0.2"/>
    <row r="167" spans="3:11" ht="24" customHeight="1" x14ac:dyDescent="0.3">
      <c r="C167" s="9" t="s">
        <v>200</v>
      </c>
      <c r="D167" s="23"/>
      <c r="E167" s="12"/>
      <c r="F167" s="12"/>
      <c r="G167" s="12"/>
      <c r="H167" s="12"/>
      <c r="I167" s="12"/>
      <c r="J167" s="12"/>
      <c r="K167" s="12"/>
    </row>
    <row r="168" spans="3:11" ht="15" customHeight="1" x14ac:dyDescent="0.2"/>
    <row r="169" spans="3:11" ht="15" customHeight="1" x14ac:dyDescent="0.2">
      <c r="C169" s="3" t="s">
        <v>194</v>
      </c>
      <c r="F169" s="41">
        <f>Invulsheet!N140</f>
        <v>0</v>
      </c>
    </row>
    <row r="170" spans="3:11" ht="15" customHeight="1" x14ac:dyDescent="0.2">
      <c r="C170" s="3" t="s">
        <v>195</v>
      </c>
      <c r="F170" s="41">
        <f>Invulsheet!N141</f>
        <v>0</v>
      </c>
      <c r="J170" s="11" t="s">
        <v>94</v>
      </c>
      <c r="K170" s="11" t="s">
        <v>117</v>
      </c>
    </row>
    <row r="171" spans="3:11" ht="15" customHeight="1" x14ac:dyDescent="0.2">
      <c r="I171" s="11" t="s">
        <v>204</v>
      </c>
      <c r="J171" s="11" t="s">
        <v>206</v>
      </c>
      <c r="K171" s="11" t="s">
        <v>205</v>
      </c>
    </row>
    <row r="172" spans="3:11" ht="15" customHeight="1" x14ac:dyDescent="0.2">
      <c r="C172" s="3" t="s">
        <v>157</v>
      </c>
      <c r="I172" s="46" t="e">
        <f>VLOOKUP(F169,Data!B9:C11,2,FALSE)</f>
        <v>#N/A</v>
      </c>
      <c r="J172" s="46">
        <f>IF(F170="Gas",I172/35.17/Data!B15,0)</f>
        <v>0</v>
      </c>
      <c r="K172" s="46" t="e">
        <f>IF(F170&lt;&gt;"Gas",I172/3.6/Data!C15,0)</f>
        <v>#N/A</v>
      </c>
    </row>
    <row r="173" spans="3:11" ht="15" customHeight="1" x14ac:dyDescent="0.2"/>
    <row r="174" spans="3:11" ht="15" customHeight="1" x14ac:dyDescent="0.2"/>
    <row r="175" spans="3:11" ht="24" customHeight="1" x14ac:dyDescent="0.3">
      <c r="C175" s="9" t="s">
        <v>201</v>
      </c>
      <c r="D175" s="23"/>
      <c r="E175" s="12"/>
      <c r="F175" s="12"/>
      <c r="G175" s="12"/>
      <c r="H175" s="12"/>
      <c r="I175" s="12"/>
      <c r="J175" s="12"/>
      <c r="K175" s="12"/>
    </row>
    <row r="176" spans="3:11" ht="15" customHeight="1" x14ac:dyDescent="0.2"/>
    <row r="177" spans="3:11" ht="15" customHeight="1" x14ac:dyDescent="0.2">
      <c r="I177" s="11" t="s">
        <v>157</v>
      </c>
      <c r="J177" s="11" t="s">
        <v>157</v>
      </c>
      <c r="K177" s="11" t="s">
        <v>159</v>
      </c>
    </row>
    <row r="178" spans="3:11" ht="15" customHeight="1" x14ac:dyDescent="0.2">
      <c r="I178" s="11" t="s">
        <v>156</v>
      </c>
      <c r="J178" s="11" t="s">
        <v>48</v>
      </c>
      <c r="K178" s="11" t="s">
        <v>48</v>
      </c>
    </row>
    <row r="179" spans="3:11" ht="15" customHeight="1" x14ac:dyDescent="0.2"/>
    <row r="180" spans="3:11" ht="15" customHeight="1" x14ac:dyDescent="0.2">
      <c r="C180" s="3" t="s">
        <v>111</v>
      </c>
      <c r="D180" s="5" t="s">
        <v>112</v>
      </c>
      <c r="F180" s="43">
        <f>Invulsheet!N146</f>
        <v>0</v>
      </c>
      <c r="I180" s="7">
        <f>1.39</f>
        <v>1.39</v>
      </c>
      <c r="J180" s="46">
        <f>I180*F180*52</f>
        <v>0</v>
      </c>
      <c r="K180" s="46">
        <f>J180*0.2</f>
        <v>0</v>
      </c>
    </row>
    <row r="181" spans="3:11" ht="15" customHeight="1" x14ac:dyDescent="0.2">
      <c r="C181" s="3" t="s">
        <v>113</v>
      </c>
      <c r="D181" s="5" t="s">
        <v>112</v>
      </c>
      <c r="F181" s="43">
        <f>Invulsheet!N147</f>
        <v>0</v>
      </c>
      <c r="I181" s="2">
        <v>1.1000000000000001</v>
      </c>
      <c r="J181" s="46">
        <f>I181*F181*52</f>
        <v>0</v>
      </c>
      <c r="K181" s="46">
        <v>0</v>
      </c>
    </row>
    <row r="182" spans="3:11" ht="15" customHeight="1" x14ac:dyDescent="0.2">
      <c r="C182" s="3" t="s">
        <v>114</v>
      </c>
      <c r="D182" s="5" t="s">
        <v>112</v>
      </c>
      <c r="F182" s="43">
        <f>Invulsheet!N148</f>
        <v>0</v>
      </c>
      <c r="I182" s="7">
        <f>2.85</f>
        <v>2.85</v>
      </c>
      <c r="J182" s="46">
        <f>I182*F182*52</f>
        <v>0</v>
      </c>
      <c r="K182" s="46">
        <f>J182*0.2</f>
        <v>0</v>
      </c>
    </row>
    <row r="183" spans="3:11" ht="15" customHeight="1" x14ac:dyDescent="0.2">
      <c r="C183" s="107" t="s">
        <v>313</v>
      </c>
      <c r="D183" s="5" t="s">
        <v>48</v>
      </c>
      <c r="F183" s="41">
        <f>Invulsheet!N152</f>
        <v>0</v>
      </c>
      <c r="J183" s="46">
        <f>F183</f>
        <v>0</v>
      </c>
      <c r="K183" s="46">
        <f>J183</f>
        <v>0</v>
      </c>
    </row>
    <row r="184" spans="3:11" ht="15" customHeight="1" x14ac:dyDescent="0.2">
      <c r="C184" s="3" t="s">
        <v>115</v>
      </c>
      <c r="D184" s="5" t="s">
        <v>48</v>
      </c>
      <c r="F184" s="41">
        <f>Invulsheet!N150</f>
        <v>0</v>
      </c>
      <c r="J184" s="46">
        <f>F184</f>
        <v>0</v>
      </c>
      <c r="K184" s="46">
        <f>F184</f>
        <v>0</v>
      </c>
    </row>
    <row r="185" spans="3:11" ht="15" customHeight="1" x14ac:dyDescent="0.2">
      <c r="C185" s="3" t="s">
        <v>32</v>
      </c>
      <c r="D185" s="5" t="s">
        <v>48</v>
      </c>
      <c r="F185" s="41">
        <f>Invulsheet!O166</f>
        <v>0</v>
      </c>
      <c r="J185" s="46">
        <f>F185</f>
        <v>0</v>
      </c>
      <c r="K185" s="46">
        <f>F185</f>
        <v>0</v>
      </c>
    </row>
    <row r="186" spans="3:11" ht="15" customHeight="1" x14ac:dyDescent="0.2"/>
    <row r="187" spans="3:11" ht="15" customHeight="1" x14ac:dyDescent="0.2">
      <c r="C187" s="3" t="s">
        <v>33</v>
      </c>
      <c r="J187" s="46">
        <f>SUM(J180:J185)</f>
        <v>0</v>
      </c>
      <c r="K187" s="46">
        <f>SUM(K180:K185)</f>
        <v>0</v>
      </c>
    </row>
    <row r="188" spans="3:11" ht="15" customHeight="1" x14ac:dyDescent="0.2"/>
    <row r="189" spans="3:11" ht="15" customHeight="1" x14ac:dyDescent="0.2"/>
    <row r="190" spans="3:11" ht="24" customHeight="1" x14ac:dyDescent="0.3">
      <c r="C190" s="9" t="s">
        <v>202</v>
      </c>
      <c r="D190" s="23"/>
      <c r="E190" s="12"/>
      <c r="F190" s="12"/>
      <c r="G190" s="12"/>
      <c r="H190" s="12"/>
      <c r="I190" s="12"/>
      <c r="J190" s="12"/>
      <c r="K190" s="12"/>
    </row>
    <row r="191" spans="3:11" ht="15" customHeight="1" x14ac:dyDescent="0.2"/>
    <row r="192" spans="3:11" ht="15" customHeight="1" x14ac:dyDescent="0.2">
      <c r="C192" s="3" t="s">
        <v>160</v>
      </c>
      <c r="D192" s="5" t="s">
        <v>288</v>
      </c>
      <c r="J192" s="46">
        <f>F25*0.1*F26/100*30.4*24</f>
        <v>0</v>
      </c>
    </row>
    <row r="193" spans="1:11" ht="15" customHeight="1" x14ac:dyDescent="0.2">
      <c r="C193" s="3" t="s">
        <v>161</v>
      </c>
      <c r="D193" s="5" t="s">
        <v>288</v>
      </c>
      <c r="J193" s="46">
        <f>K187/12</f>
        <v>0</v>
      </c>
    </row>
    <row r="194" spans="1:11" s="107" customFormat="1" ht="15" customHeight="1" x14ac:dyDescent="0.2">
      <c r="A194" s="112"/>
      <c r="D194" s="5"/>
      <c r="E194" s="11"/>
      <c r="F194" s="11"/>
      <c r="G194" s="11"/>
      <c r="H194" s="11"/>
      <c r="I194" s="11"/>
      <c r="J194" s="11"/>
      <c r="K194" s="11"/>
    </row>
    <row r="195" spans="1:11" s="107" customFormat="1" ht="15" customHeight="1" x14ac:dyDescent="0.2">
      <c r="A195" s="112"/>
      <c r="C195" s="107" t="s">
        <v>271</v>
      </c>
      <c r="D195" s="5" t="s">
        <v>288</v>
      </c>
      <c r="E195" s="11"/>
      <c r="F195" s="11"/>
      <c r="G195" s="11"/>
      <c r="H195" s="11"/>
      <c r="I195" s="11"/>
      <c r="J195" s="46">
        <f>J88/12</f>
        <v>0</v>
      </c>
      <c r="K195" s="11"/>
    </row>
    <row r="196" spans="1:11" ht="15" customHeight="1" x14ac:dyDescent="0.2"/>
    <row r="197" spans="1:11" ht="15" customHeight="1" x14ac:dyDescent="0.2">
      <c r="C197" s="3" t="s">
        <v>308</v>
      </c>
      <c r="D197" s="5" t="s">
        <v>289</v>
      </c>
      <c r="J197" s="46">
        <f>SUM(J192:J195)*3.6</f>
        <v>0</v>
      </c>
    </row>
    <row r="198" spans="1:11" s="107" customFormat="1" ht="15" customHeight="1" x14ac:dyDescent="0.2">
      <c r="A198" s="112"/>
      <c r="C198" s="107" t="s">
        <v>309</v>
      </c>
      <c r="D198" s="176" t="s">
        <v>49</v>
      </c>
      <c r="E198" s="11"/>
      <c r="F198" s="11"/>
      <c r="G198" s="11"/>
      <c r="H198" s="11"/>
      <c r="I198" s="11"/>
      <c r="J198" s="46">
        <f>AA241</f>
        <v>0</v>
      </c>
      <c r="K198" s="11"/>
    </row>
    <row r="199" spans="1:11" ht="15" customHeight="1" x14ac:dyDescent="0.2"/>
    <row r="200" spans="1:11" ht="15" customHeight="1" x14ac:dyDescent="0.2"/>
    <row r="201" spans="1:11" ht="24" customHeight="1" x14ac:dyDescent="0.3">
      <c r="C201" s="9" t="s">
        <v>203</v>
      </c>
      <c r="D201" s="23"/>
      <c r="E201" s="12"/>
      <c r="F201" s="12"/>
      <c r="G201" s="12"/>
      <c r="H201" s="12"/>
      <c r="I201" s="12"/>
      <c r="J201" s="12"/>
      <c r="K201" s="12"/>
    </row>
    <row r="202" spans="1:11" ht="15" customHeight="1" x14ac:dyDescent="0.2"/>
    <row r="203" spans="1:11" ht="15" customHeight="1" x14ac:dyDescent="0.2">
      <c r="C203" s="3" t="s">
        <v>36</v>
      </c>
      <c r="D203" s="5" t="s">
        <v>49</v>
      </c>
      <c r="J203" s="46">
        <f>-AD241</f>
        <v>0</v>
      </c>
    </row>
    <row r="204" spans="1:11" ht="15" customHeight="1" x14ac:dyDescent="0.2">
      <c r="C204" s="3" t="s">
        <v>21</v>
      </c>
      <c r="D204" s="5" t="s">
        <v>49</v>
      </c>
      <c r="J204" s="46">
        <f>-AC241</f>
        <v>0</v>
      </c>
    </row>
    <row r="205" spans="1:11" ht="15" customHeight="1" x14ac:dyDescent="0.2">
      <c r="C205" s="3" t="s">
        <v>35</v>
      </c>
      <c r="D205" s="5" t="s">
        <v>49</v>
      </c>
      <c r="J205" s="46">
        <f>-K164</f>
        <v>0</v>
      </c>
    </row>
    <row r="206" spans="1:11" ht="15" customHeight="1" x14ac:dyDescent="0.2">
      <c r="C206" s="3" t="s">
        <v>47</v>
      </c>
      <c r="D206" s="5" t="s">
        <v>49</v>
      </c>
      <c r="J206" s="46">
        <f>-J198</f>
        <v>0</v>
      </c>
    </row>
    <row r="207" spans="1:11" ht="15" customHeight="1" x14ac:dyDescent="0.2"/>
    <row r="208" spans="1:11" ht="15" customHeight="1" x14ac:dyDescent="0.2">
      <c r="C208" s="3" t="s">
        <v>164</v>
      </c>
      <c r="D208" s="5" t="s">
        <v>49</v>
      </c>
      <c r="J208" s="46">
        <f>MAX(0, SUM(J203:J206))</f>
        <v>0</v>
      </c>
    </row>
    <row r="209" spans="1:11" ht="15" customHeight="1" x14ac:dyDescent="0.2">
      <c r="C209" s="3" t="s">
        <v>165</v>
      </c>
      <c r="D209" s="5" t="s">
        <v>49</v>
      </c>
      <c r="J209" s="46" t="e">
        <f>(I151+I144)*1000</f>
        <v>#DIV/0!</v>
      </c>
    </row>
    <row r="210" spans="1:11" ht="15" customHeight="1" x14ac:dyDescent="0.2"/>
    <row r="211" spans="1:11" ht="15" customHeight="1" x14ac:dyDescent="0.2"/>
    <row r="212" spans="1:11" s="107" customFormat="1" ht="24" customHeight="1" x14ac:dyDescent="0.3">
      <c r="A212" s="112"/>
      <c r="C212" s="9" t="s">
        <v>272</v>
      </c>
      <c r="D212" s="23"/>
      <c r="E212" s="12"/>
      <c r="F212" s="12"/>
      <c r="G212" s="12"/>
      <c r="H212" s="12"/>
      <c r="I212" s="12"/>
      <c r="J212" s="12"/>
      <c r="K212" s="12"/>
    </row>
    <row r="213" spans="1:11" s="107" customFormat="1" ht="15" customHeight="1" x14ac:dyDescent="0.2">
      <c r="A213" s="112"/>
      <c r="D213" s="5"/>
      <c r="E213" s="11"/>
      <c r="F213" s="11"/>
      <c r="G213" s="11"/>
      <c r="H213" s="11"/>
      <c r="I213" s="11"/>
      <c r="J213" s="11"/>
      <c r="K213" s="11"/>
    </row>
    <row r="214" spans="1:11" ht="15" customHeight="1" x14ac:dyDescent="0.2">
      <c r="C214" s="107" t="s">
        <v>233</v>
      </c>
      <c r="D214" s="5" t="s">
        <v>236</v>
      </c>
      <c r="F214" s="41">
        <f>Invulsheet!N172</f>
        <v>7</v>
      </c>
    </row>
    <row r="215" spans="1:11" ht="15" customHeight="1" x14ac:dyDescent="0.2">
      <c r="C215" s="107" t="s">
        <v>234</v>
      </c>
      <c r="D215" s="5" t="s">
        <v>235</v>
      </c>
      <c r="F215" s="41">
        <f>Invulsheet!N173</f>
        <v>225</v>
      </c>
    </row>
    <row r="216" spans="1:11" ht="15" customHeight="1" x14ac:dyDescent="0.2">
      <c r="C216" s="107" t="s">
        <v>237</v>
      </c>
      <c r="F216" s="41" t="str">
        <f>Invulsheet!N174</f>
        <v>West</v>
      </c>
      <c r="J216" s="38">
        <f>IFERROR(VLOOKUP(F216,Data!F33:H37,2,FALSE),0)</f>
        <v>0.8</v>
      </c>
    </row>
    <row r="217" spans="1:11" ht="15" customHeight="1" x14ac:dyDescent="0.2">
      <c r="C217" s="107" t="s">
        <v>238</v>
      </c>
      <c r="D217" s="5" t="s">
        <v>243</v>
      </c>
      <c r="F217" s="41">
        <f>Invulsheet!N175</f>
        <v>40</v>
      </c>
      <c r="J217" s="38">
        <f>VLOOKUP(F217,Data!I33:J51,2,FALSE)</f>
        <v>0.99099099099099097</v>
      </c>
    </row>
    <row r="218" spans="1:11" ht="15" customHeight="1" x14ac:dyDescent="0.2">
      <c r="C218" s="190" t="s">
        <v>310</v>
      </c>
      <c r="F218" s="41">
        <f>Invulsheet!N176</f>
        <v>0</v>
      </c>
    </row>
    <row r="219" spans="1:11" ht="15" customHeight="1" x14ac:dyDescent="0.2">
      <c r="C219" s="107" t="s">
        <v>244</v>
      </c>
      <c r="D219" s="5" t="s">
        <v>48</v>
      </c>
      <c r="J219" s="46">
        <f>F214*F215*J216*J217*(1-F218)</f>
        <v>1248.6486486486485</v>
      </c>
    </row>
    <row r="220" spans="1:11" ht="15" customHeight="1" x14ac:dyDescent="0.2"/>
    <row r="221" spans="1:11" ht="15" customHeight="1" x14ac:dyDescent="0.2"/>
    <row r="222" spans="1:11" ht="15" customHeight="1" x14ac:dyDescent="0.2"/>
    <row r="223" spans="1:11" ht="15" customHeight="1" x14ac:dyDescent="0.2"/>
    <row r="224" spans="1:11" ht="24" customHeight="1" x14ac:dyDescent="0.3">
      <c r="C224" s="9" t="s">
        <v>287</v>
      </c>
      <c r="D224" s="23"/>
      <c r="E224" s="12"/>
      <c r="F224" s="12"/>
      <c r="G224" s="12"/>
      <c r="H224" s="12"/>
      <c r="I224" s="12"/>
      <c r="J224" s="12"/>
      <c r="K224" s="12"/>
    </row>
    <row r="225" spans="1:36" s="107" customFormat="1" ht="15" customHeight="1" x14ac:dyDescent="0.2">
      <c r="A225" s="112"/>
      <c r="D225" s="5"/>
      <c r="E225" s="11"/>
      <c r="F225" s="11"/>
      <c r="G225" s="11"/>
      <c r="H225" s="11"/>
      <c r="I225" s="11"/>
      <c r="J225" s="11"/>
      <c r="K225" s="11"/>
    </row>
    <row r="226" spans="1:36" s="107" customFormat="1" ht="15" customHeight="1" x14ac:dyDescent="0.2">
      <c r="A226" s="112"/>
      <c r="D226" s="176"/>
      <c r="E226" s="11"/>
      <c r="F226" s="11"/>
      <c r="G226" s="11"/>
      <c r="H226" s="11"/>
      <c r="I226" s="11"/>
      <c r="J226" s="11"/>
      <c r="K226" s="11"/>
      <c r="R226" s="277" t="s">
        <v>302</v>
      </c>
      <c r="S226" s="277"/>
      <c r="T226" s="277"/>
      <c r="U226" s="277"/>
      <c r="V226" s="277"/>
      <c r="W226" s="277"/>
      <c r="X226" s="277"/>
      <c r="Z226" s="278" t="s">
        <v>303</v>
      </c>
      <c r="AA226" s="278"/>
    </row>
    <row r="227" spans="1:36" s="179" customFormat="1" ht="21" customHeight="1" x14ac:dyDescent="0.2">
      <c r="A227" s="178"/>
      <c r="C227" s="179" t="s">
        <v>293</v>
      </c>
      <c r="D227" s="173"/>
      <c r="Q227" s="180" t="s">
        <v>137</v>
      </c>
      <c r="R227" s="180" t="s">
        <v>1</v>
      </c>
      <c r="S227" s="180" t="s">
        <v>2</v>
      </c>
      <c r="T227" s="180" t="s">
        <v>3</v>
      </c>
      <c r="U227" s="180" t="s">
        <v>4</v>
      </c>
      <c r="V227" s="181" t="s">
        <v>158</v>
      </c>
      <c r="W227" s="11" t="s">
        <v>295</v>
      </c>
      <c r="X227" s="181" t="s">
        <v>296</v>
      </c>
      <c r="Z227" s="181" t="s">
        <v>304</v>
      </c>
      <c r="AA227" s="181" t="s">
        <v>295</v>
      </c>
      <c r="AB227" s="181"/>
      <c r="AC227" s="181" t="s">
        <v>297</v>
      </c>
      <c r="AD227" s="181" t="s">
        <v>298</v>
      </c>
      <c r="AE227" s="181" t="s">
        <v>299</v>
      </c>
      <c r="AF227" s="181"/>
      <c r="AG227" s="181" t="s">
        <v>300</v>
      </c>
      <c r="AH227" s="181" t="s">
        <v>301</v>
      </c>
      <c r="AJ227" s="182" t="s">
        <v>33</v>
      </c>
    </row>
    <row r="228" spans="1:36" ht="15" customHeight="1" x14ac:dyDescent="0.2">
      <c r="Q228" s="169">
        <f>Data!J4</f>
        <v>6</v>
      </c>
      <c r="R228" s="183">
        <f>$E$159*$F$159*$I$159/100*Data!L4</f>
        <v>0</v>
      </c>
      <c r="S228" s="183">
        <f>$E$160*$F$160*$I$160/100*Data!M4</f>
        <v>0</v>
      </c>
      <c r="T228" s="183">
        <f>$E$161*$F$161*$I$161/100*Data!N4</f>
        <v>0</v>
      </c>
      <c r="U228" s="183">
        <f>$E$162*$F$162*$I$162/100*Data!O4</f>
        <v>0</v>
      </c>
      <c r="V228" s="183">
        <f t="shared" ref="V228:V234" si="12">SUM(R228:U228)</f>
        <v>0</v>
      </c>
      <c r="W228" s="183">
        <f>$J$197</f>
        <v>0</v>
      </c>
      <c r="X228" s="183">
        <f>SUM(V228:W228)</f>
        <v>0</v>
      </c>
      <c r="Y228" s="27"/>
      <c r="Z228" s="183" t="e">
        <f>V228*AH228</f>
        <v>#DIV/0!</v>
      </c>
      <c r="AA228" s="183" t="e">
        <f>W228*AH228</f>
        <v>#DIV/0!</v>
      </c>
      <c r="AB228" s="27"/>
      <c r="AC228" s="183">
        <f>$K$67*(Data!$K4-$J$23)*30.5*86400/1000000</f>
        <v>0</v>
      </c>
      <c r="AD228" s="183" t="e">
        <f>$J$85*(Data!$K4-$J$23)*30.5*86400/1000000</f>
        <v>#DIV/0!</v>
      </c>
      <c r="AE228" s="183" t="e">
        <f>IF(-1*SUM(AC228:AD228) &lt; 1,1,-1*SUM(AC228:AD228) )</f>
        <v>#DIV/0!</v>
      </c>
      <c r="AF228" s="27"/>
      <c r="AG228" s="184" t="e">
        <f t="shared" ref="AG228:AG239" si="13">X228/AE228</f>
        <v>#DIV/0!</v>
      </c>
      <c r="AH228" s="184" t="e">
        <f>VLOOKUP(AG228,Data!$B$35:$C$55,2)</f>
        <v>#DIV/0!</v>
      </c>
      <c r="AJ228" s="174" t="e">
        <f>SUM(Z228,AA228,AC228,AD228)</f>
        <v>#DIV/0!</v>
      </c>
    </row>
    <row r="229" spans="1:36" ht="15" customHeight="1" x14ac:dyDescent="0.2">
      <c r="Q229" s="169">
        <f>Data!J5</f>
        <v>7</v>
      </c>
      <c r="R229" s="183">
        <f>$E$159*$F$159*$I$159/100*Data!L5</f>
        <v>0</v>
      </c>
      <c r="S229" s="183">
        <f>$E$160*$F$160*$I$160/100*Data!M5</f>
        <v>0</v>
      </c>
      <c r="T229" s="183">
        <f>$E$161*$F$161*$I$161/100*Data!N5</f>
        <v>0</v>
      </c>
      <c r="U229" s="183">
        <f>$E$162*$F$162*$I$162/100*Data!O5</f>
        <v>0</v>
      </c>
      <c r="V229" s="183">
        <f t="shared" si="12"/>
        <v>0</v>
      </c>
      <c r="W229" s="183">
        <f t="shared" ref="W229:W239" si="14">$J$197</f>
        <v>0</v>
      </c>
      <c r="X229" s="183">
        <f t="shared" ref="X229:X239" si="15">SUM(V229:W229)</f>
        <v>0</v>
      </c>
      <c r="Y229" s="27"/>
      <c r="Z229" s="183" t="e">
        <f t="shared" ref="Z229:Z239" si="16">V229*AH229</f>
        <v>#DIV/0!</v>
      </c>
      <c r="AA229" s="183" t="e">
        <f t="shared" ref="AA229:AA239" si="17">W229*AH229</f>
        <v>#DIV/0!</v>
      </c>
      <c r="AB229" s="27"/>
      <c r="AC229" s="183">
        <f>$K$67*(Data!$K5-$J$23)*30.5*86400/1000000</f>
        <v>0</v>
      </c>
      <c r="AD229" s="183" t="e">
        <f>$J$85*(Data!$K5-$J$23)*30.5*86400/1000000</f>
        <v>#DIV/0!</v>
      </c>
      <c r="AE229" s="183" t="e">
        <f t="shared" ref="AE229:AE239" si="18">IF(-1*SUM(AC229:AD229) &lt; 1,1,-1*SUM(AC229:AD229) )</f>
        <v>#DIV/0!</v>
      </c>
      <c r="AF229" s="27"/>
      <c r="AG229" s="184" t="e">
        <f t="shared" si="13"/>
        <v>#DIV/0!</v>
      </c>
      <c r="AH229" s="184" t="e">
        <f>VLOOKUP(AG229,Data!$B$35:$C$55,2)</f>
        <v>#DIV/0!</v>
      </c>
      <c r="AJ229" s="174" t="e">
        <f t="shared" ref="AJ229:AJ239" si="19">SUM(Z229,AA229,AC229,AD229)</f>
        <v>#DIV/0!</v>
      </c>
    </row>
    <row r="230" spans="1:36" ht="15" customHeight="1" x14ac:dyDescent="0.2">
      <c r="Q230" s="169">
        <f>Data!J6</f>
        <v>8</v>
      </c>
      <c r="R230" s="183">
        <f>$E$159*$F$159*$I$159/100*Data!L6</f>
        <v>0</v>
      </c>
      <c r="S230" s="183">
        <f>$E$160*$F$160*$I$160/100*Data!M6</f>
        <v>0</v>
      </c>
      <c r="T230" s="183">
        <f>$E$161*$F$161*$I$161/100*Data!N6</f>
        <v>0</v>
      </c>
      <c r="U230" s="183">
        <f>$E$162*$F$162*$I$162/100*Data!O6</f>
        <v>0</v>
      </c>
      <c r="V230" s="183">
        <f t="shared" si="12"/>
        <v>0</v>
      </c>
      <c r="W230" s="183">
        <f t="shared" si="14"/>
        <v>0</v>
      </c>
      <c r="X230" s="183">
        <f t="shared" si="15"/>
        <v>0</v>
      </c>
      <c r="Y230" s="27"/>
      <c r="Z230" s="183" t="e">
        <f t="shared" si="16"/>
        <v>#DIV/0!</v>
      </c>
      <c r="AA230" s="183" t="e">
        <f t="shared" si="17"/>
        <v>#DIV/0!</v>
      </c>
      <c r="AB230" s="27"/>
      <c r="AC230" s="183">
        <f>$K$67*(Data!$K6-$J$23)*30.5*86400/1000000</f>
        <v>0</v>
      </c>
      <c r="AD230" s="183" t="e">
        <f>$J$85*(Data!$K6-$J$23)*30.5*86400/1000000</f>
        <v>#DIV/0!</v>
      </c>
      <c r="AE230" s="183" t="e">
        <f t="shared" si="18"/>
        <v>#DIV/0!</v>
      </c>
      <c r="AF230" s="27"/>
      <c r="AG230" s="184" t="e">
        <f t="shared" si="13"/>
        <v>#DIV/0!</v>
      </c>
      <c r="AH230" s="184" t="e">
        <f>VLOOKUP(AG230,Data!$B$35:$C$55,2)</f>
        <v>#DIV/0!</v>
      </c>
      <c r="AJ230" s="174" t="e">
        <f t="shared" si="19"/>
        <v>#DIV/0!</v>
      </c>
    </row>
    <row r="231" spans="1:36" ht="15" customHeight="1" x14ac:dyDescent="0.2">
      <c r="Q231" s="169">
        <f>Data!J7</f>
        <v>9</v>
      </c>
      <c r="R231" s="183">
        <f>$E$159*$F$159*$I$159/100*Data!L7</f>
        <v>0</v>
      </c>
      <c r="S231" s="183">
        <f>$E$160*$F$160*$I$160/100*Data!M7</f>
        <v>0</v>
      </c>
      <c r="T231" s="183">
        <f>$E$161*$F$161*$I$161/100*Data!N7</f>
        <v>0</v>
      </c>
      <c r="U231" s="183">
        <f>$E$162*$F$162*$I$162/100*Data!O7</f>
        <v>0</v>
      </c>
      <c r="V231" s="183">
        <f t="shared" si="12"/>
        <v>0</v>
      </c>
      <c r="W231" s="183">
        <f t="shared" si="14"/>
        <v>0</v>
      </c>
      <c r="X231" s="183">
        <f t="shared" si="15"/>
        <v>0</v>
      </c>
      <c r="Y231" s="27"/>
      <c r="Z231" s="183" t="e">
        <f t="shared" si="16"/>
        <v>#DIV/0!</v>
      </c>
      <c r="AA231" s="183" t="e">
        <f t="shared" si="17"/>
        <v>#DIV/0!</v>
      </c>
      <c r="AB231" s="27"/>
      <c r="AC231" s="183">
        <f>$K$67*(Data!$K7-$J$23)*30.5*86400/1000000</f>
        <v>0</v>
      </c>
      <c r="AD231" s="183" t="e">
        <f>$J$85*(Data!$K7-$J$23)*30.5*86400/1000000</f>
        <v>#DIV/0!</v>
      </c>
      <c r="AE231" s="183" t="e">
        <f t="shared" si="18"/>
        <v>#DIV/0!</v>
      </c>
      <c r="AF231" s="27"/>
      <c r="AG231" s="184" t="e">
        <f t="shared" si="13"/>
        <v>#DIV/0!</v>
      </c>
      <c r="AH231" s="184" t="e">
        <f>VLOOKUP(AG231,Data!$B$35:$C$55,2)</f>
        <v>#DIV/0!</v>
      </c>
      <c r="AJ231" s="174" t="e">
        <f t="shared" si="19"/>
        <v>#DIV/0!</v>
      </c>
    </row>
    <row r="232" spans="1:36" ht="15" customHeight="1" x14ac:dyDescent="0.2">
      <c r="Q232" s="169">
        <f>Data!J8</f>
        <v>10</v>
      </c>
      <c r="R232" s="183">
        <f>$E$159*$F$159*$I$159/100*Data!L8</f>
        <v>0</v>
      </c>
      <c r="S232" s="183">
        <f>$E$160*$F$160*$I$160/100*Data!M8</f>
        <v>0</v>
      </c>
      <c r="T232" s="183">
        <f>$E$161*$F$161*$I$161/100*Data!N8</f>
        <v>0</v>
      </c>
      <c r="U232" s="183">
        <f>$E$162*$F$162*$I$162/100*Data!O8</f>
        <v>0</v>
      </c>
      <c r="V232" s="183">
        <f t="shared" si="12"/>
        <v>0</v>
      </c>
      <c r="W232" s="183">
        <f t="shared" si="14"/>
        <v>0</v>
      </c>
      <c r="X232" s="183">
        <f t="shared" si="15"/>
        <v>0</v>
      </c>
      <c r="Y232" s="27"/>
      <c r="Z232" s="183" t="e">
        <f t="shared" si="16"/>
        <v>#DIV/0!</v>
      </c>
      <c r="AA232" s="183" t="e">
        <f t="shared" si="17"/>
        <v>#DIV/0!</v>
      </c>
      <c r="AB232" s="27"/>
      <c r="AC232" s="183">
        <f>$K$67*(Data!$K8-$J$23)*30.5*86400/1000000</f>
        <v>0</v>
      </c>
      <c r="AD232" s="183" t="e">
        <f>$J$85*(Data!$K8-$J$23)*30.5*86400/1000000</f>
        <v>#DIV/0!</v>
      </c>
      <c r="AE232" s="183" t="e">
        <f t="shared" si="18"/>
        <v>#DIV/0!</v>
      </c>
      <c r="AF232" s="27"/>
      <c r="AG232" s="184" t="e">
        <f t="shared" si="13"/>
        <v>#DIV/0!</v>
      </c>
      <c r="AH232" s="184" t="e">
        <f>VLOOKUP(AG232,Data!$B$35:$C$55,2)</f>
        <v>#DIV/0!</v>
      </c>
      <c r="AJ232" s="174" t="e">
        <f t="shared" si="19"/>
        <v>#DIV/0!</v>
      </c>
    </row>
    <row r="233" spans="1:36" ht="15" customHeight="1" x14ac:dyDescent="0.2">
      <c r="Q233" s="169">
        <f>Data!J9</f>
        <v>11</v>
      </c>
      <c r="R233" s="183">
        <f>$E$159*$F$159*$I$159/100*Data!L9</f>
        <v>0</v>
      </c>
      <c r="S233" s="183">
        <f>$E$160*$F$160*$I$160/100*Data!M9</f>
        <v>0</v>
      </c>
      <c r="T233" s="183">
        <f>$E$161*$F$161*$I$161/100*Data!N9</f>
        <v>0</v>
      </c>
      <c r="U233" s="183">
        <f>$E$162*$F$162*$I$162/100*Data!O9</f>
        <v>0</v>
      </c>
      <c r="V233" s="183">
        <f t="shared" si="12"/>
        <v>0</v>
      </c>
      <c r="W233" s="183">
        <f t="shared" si="14"/>
        <v>0</v>
      </c>
      <c r="X233" s="183">
        <f t="shared" si="15"/>
        <v>0</v>
      </c>
      <c r="Y233" s="27"/>
      <c r="Z233" s="183" t="e">
        <f t="shared" si="16"/>
        <v>#DIV/0!</v>
      </c>
      <c r="AA233" s="183" t="e">
        <f t="shared" si="17"/>
        <v>#DIV/0!</v>
      </c>
      <c r="AB233" s="27"/>
      <c r="AC233" s="183">
        <f>$K$67*(Data!$K9-$J$23)*30.5*86400/1000000</f>
        <v>0</v>
      </c>
      <c r="AD233" s="183" t="e">
        <f>$J$85*(Data!$K9-$J$23)*30.5*86400/1000000</f>
        <v>#DIV/0!</v>
      </c>
      <c r="AE233" s="183" t="e">
        <f t="shared" si="18"/>
        <v>#DIV/0!</v>
      </c>
      <c r="AF233" s="27"/>
      <c r="AG233" s="184" t="e">
        <f t="shared" si="13"/>
        <v>#DIV/0!</v>
      </c>
      <c r="AH233" s="184" t="e">
        <f>VLOOKUP(AG233,Data!$B$35:$C$55,2)</f>
        <v>#DIV/0!</v>
      </c>
      <c r="AJ233" s="174" t="e">
        <f t="shared" si="19"/>
        <v>#DIV/0!</v>
      </c>
    </row>
    <row r="234" spans="1:36" ht="15" customHeight="1" x14ac:dyDescent="0.2">
      <c r="Q234" s="169">
        <f>Data!J10</f>
        <v>12</v>
      </c>
      <c r="R234" s="183">
        <f>$E$159*$F$159*$I$159/100*Data!L10</f>
        <v>0</v>
      </c>
      <c r="S234" s="183">
        <f>$E$160*$F$160*$I$160/100*Data!M10</f>
        <v>0</v>
      </c>
      <c r="T234" s="183">
        <f>$E$161*$F$161*$I$161/100*Data!N10</f>
        <v>0</v>
      </c>
      <c r="U234" s="183">
        <f>$E$162*$F$162*$I$162/100*Data!O10</f>
        <v>0</v>
      </c>
      <c r="V234" s="183">
        <f t="shared" si="12"/>
        <v>0</v>
      </c>
      <c r="W234" s="183">
        <f t="shared" si="14"/>
        <v>0</v>
      </c>
      <c r="X234" s="183">
        <f t="shared" si="15"/>
        <v>0</v>
      </c>
      <c r="Y234" s="27"/>
      <c r="Z234" s="183" t="e">
        <f t="shared" si="16"/>
        <v>#DIV/0!</v>
      </c>
      <c r="AA234" s="183" t="e">
        <f t="shared" si="17"/>
        <v>#DIV/0!</v>
      </c>
      <c r="AB234" s="27"/>
      <c r="AC234" s="183">
        <f>$K$67*(Data!$K10-$J$23)*30.5*86400/1000000</f>
        <v>0</v>
      </c>
      <c r="AD234" s="183" t="e">
        <f>$J$85*(Data!$K10-$J$23)*30.5*86400/1000000</f>
        <v>#DIV/0!</v>
      </c>
      <c r="AE234" s="183" t="e">
        <f t="shared" si="18"/>
        <v>#DIV/0!</v>
      </c>
      <c r="AF234" s="27"/>
      <c r="AG234" s="184" t="e">
        <f t="shared" si="13"/>
        <v>#DIV/0!</v>
      </c>
      <c r="AH234" s="184" t="e">
        <f>VLOOKUP(AG234,Data!$B$35:$C$55,2)</f>
        <v>#DIV/0!</v>
      </c>
      <c r="AJ234" s="174" t="e">
        <f t="shared" si="19"/>
        <v>#DIV/0!</v>
      </c>
    </row>
    <row r="235" spans="1:36" ht="15" customHeight="1" x14ac:dyDescent="0.2">
      <c r="Q235" s="169">
        <f>Data!J11</f>
        <v>1</v>
      </c>
      <c r="R235" s="183">
        <f>$E$159*$F$159*$I$159/100*Data!L11</f>
        <v>0</v>
      </c>
      <c r="S235" s="183">
        <f>$E$160*$F$160*$I$160/100*Data!M11</f>
        <v>0</v>
      </c>
      <c r="T235" s="183">
        <f>$E$161*$F$161*$I$161/100*Data!N11</f>
        <v>0</v>
      </c>
      <c r="U235" s="183">
        <f>$E$162*$F$162*$I$162/100*Data!O11</f>
        <v>0</v>
      </c>
      <c r="V235" s="183">
        <f>SUM(R235:U235)</f>
        <v>0</v>
      </c>
      <c r="W235" s="183">
        <f t="shared" si="14"/>
        <v>0</v>
      </c>
      <c r="X235" s="183">
        <f t="shared" si="15"/>
        <v>0</v>
      </c>
      <c r="Y235" s="27"/>
      <c r="Z235" s="183" t="e">
        <f t="shared" si="16"/>
        <v>#DIV/0!</v>
      </c>
      <c r="AA235" s="183" t="e">
        <f t="shared" si="17"/>
        <v>#DIV/0!</v>
      </c>
      <c r="AB235" s="27"/>
      <c r="AC235" s="183">
        <f>$K$67*(Data!$K11-$J$23)*30.5*86400/1000000</f>
        <v>0</v>
      </c>
      <c r="AD235" s="183" t="e">
        <f>$J$85*(Data!$K11-$J$23)*30.5*86400/1000000</f>
        <v>#DIV/0!</v>
      </c>
      <c r="AE235" s="183" t="e">
        <f t="shared" si="18"/>
        <v>#DIV/0!</v>
      </c>
      <c r="AF235" s="27"/>
      <c r="AG235" s="184" t="e">
        <f t="shared" si="13"/>
        <v>#DIV/0!</v>
      </c>
      <c r="AH235" s="184" t="e">
        <f>VLOOKUP(AG235,Data!$B$35:$C$55,2)</f>
        <v>#DIV/0!</v>
      </c>
      <c r="AJ235" s="174" t="e">
        <f t="shared" si="19"/>
        <v>#DIV/0!</v>
      </c>
    </row>
    <row r="236" spans="1:36" ht="15" customHeight="1" x14ac:dyDescent="0.2">
      <c r="Q236" s="169">
        <f>Data!J12</f>
        <v>2</v>
      </c>
      <c r="R236" s="183">
        <f>$E$159*$F$159*$I$159/100*Data!L12</f>
        <v>0</v>
      </c>
      <c r="S236" s="183">
        <f>$E$160*$F$160*$I$160/100*Data!M12</f>
        <v>0</v>
      </c>
      <c r="T236" s="183">
        <f>$E$161*$F$161*$I$161/100*Data!N12</f>
        <v>0</v>
      </c>
      <c r="U236" s="183">
        <f>$E$162*$F$162*$I$162/100*Data!O12</f>
        <v>0</v>
      </c>
      <c r="V236" s="183">
        <f t="shared" ref="V236:V239" si="20">SUM(R236:U236)</f>
        <v>0</v>
      </c>
      <c r="W236" s="183">
        <f t="shared" si="14"/>
        <v>0</v>
      </c>
      <c r="X236" s="183">
        <f t="shared" si="15"/>
        <v>0</v>
      </c>
      <c r="Y236" s="27"/>
      <c r="Z236" s="183" t="e">
        <f t="shared" si="16"/>
        <v>#DIV/0!</v>
      </c>
      <c r="AA236" s="183" t="e">
        <f t="shared" si="17"/>
        <v>#DIV/0!</v>
      </c>
      <c r="AB236" s="27"/>
      <c r="AC236" s="183">
        <f>$K$67*(Data!$K12-$J$23)*30.5*86400/1000000</f>
        <v>0</v>
      </c>
      <c r="AD236" s="183" t="e">
        <f>$J$85*(Data!$K12-$J$23)*30.5*86400/1000000</f>
        <v>#DIV/0!</v>
      </c>
      <c r="AE236" s="183" t="e">
        <f t="shared" si="18"/>
        <v>#DIV/0!</v>
      </c>
      <c r="AF236" s="27"/>
      <c r="AG236" s="184" t="e">
        <f t="shared" si="13"/>
        <v>#DIV/0!</v>
      </c>
      <c r="AH236" s="184" t="e">
        <f>VLOOKUP(AG236,Data!$B$35:$C$55,2)</f>
        <v>#DIV/0!</v>
      </c>
      <c r="AJ236" s="174" t="e">
        <f t="shared" si="19"/>
        <v>#DIV/0!</v>
      </c>
    </row>
    <row r="237" spans="1:36" ht="15" customHeight="1" x14ac:dyDescent="0.2">
      <c r="Q237" s="169">
        <f>Data!J13</f>
        <v>3</v>
      </c>
      <c r="R237" s="183">
        <f>$E$159*$F$159*$I$159/100*Data!L13</f>
        <v>0</v>
      </c>
      <c r="S237" s="183">
        <f>$E$160*$F$160*$I$160/100*Data!M13</f>
        <v>0</v>
      </c>
      <c r="T237" s="183">
        <f>$E$161*$F$161*$I$161/100*Data!N13</f>
        <v>0</v>
      </c>
      <c r="U237" s="183">
        <f>$E$162*$F$162*$I$162/100*Data!O13</f>
        <v>0</v>
      </c>
      <c r="V237" s="183">
        <f t="shared" si="20"/>
        <v>0</v>
      </c>
      <c r="W237" s="183">
        <f t="shared" si="14"/>
        <v>0</v>
      </c>
      <c r="X237" s="183">
        <f t="shared" si="15"/>
        <v>0</v>
      </c>
      <c r="Y237" s="27"/>
      <c r="Z237" s="183" t="e">
        <f t="shared" si="16"/>
        <v>#DIV/0!</v>
      </c>
      <c r="AA237" s="183" t="e">
        <f t="shared" si="17"/>
        <v>#DIV/0!</v>
      </c>
      <c r="AB237" s="27"/>
      <c r="AC237" s="183">
        <f>$K$67*(Data!$K13-$J$23)*30.5*86400/1000000</f>
        <v>0</v>
      </c>
      <c r="AD237" s="183" t="e">
        <f>$J$85*(Data!$K13-$J$23)*30.5*86400/1000000</f>
        <v>#DIV/0!</v>
      </c>
      <c r="AE237" s="183" t="e">
        <f t="shared" si="18"/>
        <v>#DIV/0!</v>
      </c>
      <c r="AF237" s="27"/>
      <c r="AG237" s="184" t="e">
        <f t="shared" si="13"/>
        <v>#DIV/0!</v>
      </c>
      <c r="AH237" s="184" t="e">
        <f>VLOOKUP(AG237,Data!$B$35:$C$55,2)</f>
        <v>#DIV/0!</v>
      </c>
      <c r="AJ237" s="174" t="e">
        <f t="shared" si="19"/>
        <v>#DIV/0!</v>
      </c>
    </row>
    <row r="238" spans="1:36" ht="15" customHeight="1" x14ac:dyDescent="0.2">
      <c r="Q238" s="169">
        <f>Data!J14</f>
        <v>4</v>
      </c>
      <c r="R238" s="183">
        <f>$E$159*$F$159*$I$159/100*Data!L14</f>
        <v>0</v>
      </c>
      <c r="S238" s="183">
        <f>$E$160*$F$160*$I$160/100*Data!M14</f>
        <v>0</v>
      </c>
      <c r="T238" s="183">
        <f>$E$161*$F$161*$I$161/100*Data!N14</f>
        <v>0</v>
      </c>
      <c r="U238" s="183">
        <f>$E$162*$F$162*$I$162/100*Data!O14</f>
        <v>0</v>
      </c>
      <c r="V238" s="183">
        <f t="shared" si="20"/>
        <v>0</v>
      </c>
      <c r="W238" s="183">
        <f t="shared" si="14"/>
        <v>0</v>
      </c>
      <c r="X238" s="183">
        <f t="shared" si="15"/>
        <v>0</v>
      </c>
      <c r="Y238" s="27"/>
      <c r="Z238" s="183" t="e">
        <f t="shared" si="16"/>
        <v>#DIV/0!</v>
      </c>
      <c r="AA238" s="183" t="e">
        <f t="shared" si="17"/>
        <v>#DIV/0!</v>
      </c>
      <c r="AB238" s="27"/>
      <c r="AC238" s="183">
        <f>$K$67*(Data!$K14-$J$23)*30.5*86400/1000000</f>
        <v>0</v>
      </c>
      <c r="AD238" s="183" t="e">
        <f>$J$85*(Data!$K14-$J$23)*30.5*86400/1000000</f>
        <v>#DIV/0!</v>
      </c>
      <c r="AE238" s="183" t="e">
        <f t="shared" si="18"/>
        <v>#DIV/0!</v>
      </c>
      <c r="AF238" s="27"/>
      <c r="AG238" s="184" t="e">
        <f t="shared" si="13"/>
        <v>#DIV/0!</v>
      </c>
      <c r="AH238" s="184" t="e">
        <f>VLOOKUP(AG238,Data!$B$35:$C$55,2)</f>
        <v>#DIV/0!</v>
      </c>
      <c r="AJ238" s="174" t="e">
        <f t="shared" si="19"/>
        <v>#DIV/0!</v>
      </c>
    </row>
    <row r="239" spans="1:36" ht="15" customHeight="1" x14ac:dyDescent="0.2">
      <c r="Q239" s="169">
        <f>Data!J15</f>
        <v>5</v>
      </c>
      <c r="R239" s="183">
        <f>$E$159*$F$159*$I$159/100*Data!L15</f>
        <v>0</v>
      </c>
      <c r="S239" s="183">
        <f>$E$160*$F$160*$I$160/100*Data!M15</f>
        <v>0</v>
      </c>
      <c r="T239" s="183">
        <f>$E$161*$F$161*$I$161/100*Data!N15</f>
        <v>0</v>
      </c>
      <c r="U239" s="183">
        <f>$E$162*$F$162*$I$162/100*Data!O15</f>
        <v>0</v>
      </c>
      <c r="V239" s="183">
        <f t="shared" si="20"/>
        <v>0</v>
      </c>
      <c r="W239" s="183">
        <f t="shared" si="14"/>
        <v>0</v>
      </c>
      <c r="X239" s="183">
        <f t="shared" si="15"/>
        <v>0</v>
      </c>
      <c r="Y239" s="27"/>
      <c r="Z239" s="183" t="e">
        <f t="shared" si="16"/>
        <v>#DIV/0!</v>
      </c>
      <c r="AA239" s="183" t="e">
        <f t="shared" si="17"/>
        <v>#DIV/0!</v>
      </c>
      <c r="AB239" s="27"/>
      <c r="AC239" s="183">
        <f>$K$67*(Data!$K15-$J$23)*30.5*86400/1000000</f>
        <v>0</v>
      </c>
      <c r="AD239" s="183" t="e">
        <f>$J$85*(Data!$K15-$J$23)*30.5*86400/1000000</f>
        <v>#DIV/0!</v>
      </c>
      <c r="AE239" s="183" t="e">
        <f t="shared" si="18"/>
        <v>#DIV/0!</v>
      </c>
      <c r="AF239" s="27"/>
      <c r="AG239" s="184" t="e">
        <f t="shared" si="13"/>
        <v>#DIV/0!</v>
      </c>
      <c r="AH239" s="184" t="e">
        <f>VLOOKUP(AG239,Data!$B$35:$C$55,2)</f>
        <v>#DIV/0!</v>
      </c>
      <c r="AJ239" s="174" t="e">
        <f t="shared" si="19"/>
        <v>#DIV/0!</v>
      </c>
    </row>
    <row r="240" spans="1:36" ht="15" customHeight="1" x14ac:dyDescent="0.2">
      <c r="Q240" s="11"/>
      <c r="R240" s="27"/>
      <c r="S240" s="27"/>
      <c r="T240" s="27"/>
      <c r="U240" s="27"/>
      <c r="V240" s="27"/>
      <c r="W240" s="27"/>
      <c r="X240" s="27"/>
      <c r="Y240" s="27"/>
      <c r="Z240" s="27"/>
      <c r="AA240" s="27"/>
      <c r="AB240" s="27"/>
      <c r="AC240" s="27"/>
      <c r="AD240" s="27"/>
      <c r="AE240" s="27"/>
      <c r="AF240" s="27"/>
      <c r="AG240" s="27"/>
      <c r="AH240" s="27"/>
    </row>
    <row r="241" spans="17:36" ht="15" customHeight="1" x14ac:dyDescent="0.2">
      <c r="Q241" s="175" t="s">
        <v>290</v>
      </c>
      <c r="R241" s="185"/>
      <c r="S241" s="185"/>
      <c r="T241" s="185"/>
      <c r="U241" s="185"/>
      <c r="V241" s="185"/>
      <c r="W241" s="185"/>
      <c r="X241" s="27"/>
      <c r="Y241" s="27"/>
      <c r="Z241" s="185">
        <f>SUMIF($AJ228:$AJ239,"&lt;0",Z228:Z239)</f>
        <v>0</v>
      </c>
      <c r="AA241" s="185">
        <f>SUMIF($AJ228:$AJ239,"&lt;0",AA228:AA239)</f>
        <v>0</v>
      </c>
      <c r="AB241" s="27"/>
      <c r="AC241" s="185">
        <f>SUMIF($AJ228:$AJ239,"&lt;0",AC228:AC239)</f>
        <v>0</v>
      </c>
      <c r="AD241" s="185">
        <f>SUMIF($AJ228:$AJ239,"&lt;0",AD228:AD239)</f>
        <v>0</v>
      </c>
      <c r="AE241" s="27"/>
      <c r="AF241" s="27"/>
      <c r="AG241" s="27"/>
      <c r="AH241" s="27"/>
      <c r="AJ241" s="174">
        <f>SUMIF($AJ228:$AJ239,"&lt;0",AJ228:AJ239)</f>
        <v>0</v>
      </c>
    </row>
    <row r="242" spans="17:36" ht="15" customHeight="1" x14ac:dyDescent="0.2"/>
    <row r="243" spans="17:36" ht="15" customHeight="1" x14ac:dyDescent="0.2"/>
    <row r="244" spans="17:36" ht="15" customHeight="1" x14ac:dyDescent="0.2">
      <c r="R244" s="3" t="s">
        <v>294</v>
      </c>
    </row>
    <row r="245" spans="17:36" ht="15" customHeight="1" x14ac:dyDescent="0.2"/>
    <row r="246" spans="17:36" ht="15" customHeight="1" x14ac:dyDescent="0.2">
      <c r="R246" s="3" t="s">
        <v>305</v>
      </c>
    </row>
    <row r="247" spans="17:36" ht="15" customHeight="1" x14ac:dyDescent="0.2">
      <c r="R247" s="3" t="s">
        <v>306</v>
      </c>
    </row>
    <row r="248" spans="17:36" ht="15" customHeight="1" x14ac:dyDescent="0.2">
      <c r="R248" s="3" t="s">
        <v>307</v>
      </c>
    </row>
  </sheetData>
  <mergeCells count="6">
    <mergeCell ref="Z226:AA226"/>
    <mergeCell ref="B2:L2"/>
    <mergeCell ref="E5:G5"/>
    <mergeCell ref="I5:K5"/>
    <mergeCell ref="M23:M27"/>
    <mergeCell ref="R226:X226"/>
  </mergeCells>
  <dataValidations disablePrompts="1" count="2">
    <dataValidation type="list" showInputMessage="1" showErrorMessage="1" sqref="E80" xr:uid="{00000000-0002-0000-0500-000000000000}">
      <formula1>#REF!</formula1>
    </dataValidation>
    <dataValidation type="list" allowBlank="1" showInputMessage="1" showErrorMessage="1" sqref="E92" xr:uid="{00000000-0002-0000-0500-000001000000}">
      <formula1>#REF!</formula1>
    </dataValidation>
  </dataValidations>
  <pageMargins left="0.7" right="0.7" top="0.75" bottom="0.75" header="0.3" footer="0.3"/>
  <pageSetup paperSize="9" orientation="portrait"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248"/>
  <sheetViews>
    <sheetView showGridLines="0" topLeftCell="B167" workbookViewId="0">
      <selection activeCell="A6" sqref="A6"/>
    </sheetView>
  </sheetViews>
  <sheetFormatPr defaultColWidth="9.140625" defaultRowHeight="12.75" x14ac:dyDescent="0.2"/>
  <cols>
    <col min="1" max="1" width="7" style="112" customWidth="1"/>
    <col min="2" max="2" width="9.140625" style="3"/>
    <col min="3" max="3" width="52.28515625" style="3" customWidth="1"/>
    <col min="4" max="4" width="12.42578125" style="5" customWidth="1"/>
    <col min="5" max="11" width="15.42578125" style="11" customWidth="1"/>
    <col min="12" max="12" width="15.42578125" style="3" customWidth="1"/>
    <col min="13" max="16" width="9.140625" style="3"/>
    <col min="17" max="17" width="14.42578125" style="3" customWidth="1"/>
    <col min="18" max="21" width="9.140625" style="3"/>
    <col min="22" max="22" width="8.28515625" style="3" customWidth="1"/>
    <col min="23" max="25" width="9.140625" style="3"/>
    <col min="26" max="26" width="12.140625" style="3" customWidth="1"/>
    <col min="27" max="27" width="10.42578125" style="3" bestFit="1" customWidth="1"/>
    <col min="28" max="28" width="9.140625" style="3"/>
    <col min="29" max="29" width="12.42578125" style="3" customWidth="1"/>
    <col min="30" max="16384" width="9.140625" style="3"/>
  </cols>
  <sheetData>
    <row r="1" spans="1:12" ht="13.5" thickBot="1" x14ac:dyDescent="0.25"/>
    <row r="2" spans="1:12" ht="30.75" thickBot="1" x14ac:dyDescent="0.45">
      <c r="B2" s="257" t="str">
        <f>CONCATENATE("REKENSHEET - ", Invulsheet!Q5)</f>
        <v>REKENSHEET - 3e verbeterslag</v>
      </c>
      <c r="C2" s="257"/>
      <c r="D2" s="257"/>
      <c r="E2" s="257"/>
      <c r="F2" s="257"/>
      <c r="G2" s="257"/>
      <c r="H2" s="257"/>
      <c r="I2" s="257"/>
      <c r="J2" s="257"/>
      <c r="K2" s="257"/>
      <c r="L2" s="257"/>
    </row>
    <row r="5" spans="1:12" ht="20.25" x14ac:dyDescent="0.3">
      <c r="E5" s="279" t="s">
        <v>134</v>
      </c>
      <c r="F5" s="279"/>
      <c r="G5" s="279"/>
      <c r="H5" s="34" t="s">
        <v>133</v>
      </c>
      <c r="I5" s="280" t="s">
        <v>135</v>
      </c>
      <c r="J5" s="280"/>
      <c r="K5" s="280"/>
    </row>
    <row r="8" spans="1:12" ht="24" customHeight="1" x14ac:dyDescent="0.3">
      <c r="C8" s="9" t="s">
        <v>70</v>
      </c>
      <c r="D8" s="23"/>
      <c r="E8" s="12"/>
      <c r="F8" s="12"/>
      <c r="G8" s="12"/>
      <c r="H8" s="12"/>
      <c r="I8" s="12"/>
      <c r="J8" s="12"/>
      <c r="K8" s="12"/>
    </row>
    <row r="9" spans="1:12" ht="15" customHeight="1" x14ac:dyDescent="0.2"/>
    <row r="10" spans="1:12" ht="15" customHeight="1" x14ac:dyDescent="0.2">
      <c r="C10" s="3" t="s">
        <v>108</v>
      </c>
      <c r="D10" s="5" t="s">
        <v>110</v>
      </c>
      <c r="F10" s="32">
        <f>Invulsheet!F10</f>
        <v>0</v>
      </c>
    </row>
    <row r="11" spans="1:12" ht="15" customHeight="1" x14ac:dyDescent="0.2">
      <c r="C11" s="3" t="s">
        <v>109</v>
      </c>
      <c r="D11" s="5" t="s">
        <v>48</v>
      </c>
      <c r="F11" s="32">
        <f>Invulsheet!F11</f>
        <v>0</v>
      </c>
    </row>
    <row r="12" spans="1:12" s="107" customFormat="1" ht="15" customHeight="1" x14ac:dyDescent="0.2">
      <c r="A12" s="112"/>
      <c r="C12" s="107" t="s">
        <v>281</v>
      </c>
      <c r="D12" s="5" t="s">
        <v>280</v>
      </c>
      <c r="E12" s="11"/>
      <c r="F12" s="32">
        <f>Invulsheet!F12</f>
        <v>0</v>
      </c>
      <c r="G12" s="11"/>
      <c r="H12" s="11"/>
      <c r="I12" s="11"/>
      <c r="J12" s="11"/>
      <c r="K12" s="11"/>
    </row>
    <row r="13" spans="1:12" s="107" customFormat="1" ht="15" customHeight="1" x14ac:dyDescent="0.2">
      <c r="A13" s="112"/>
      <c r="C13" s="107" t="s">
        <v>279</v>
      </c>
      <c r="D13" s="5" t="s">
        <v>56</v>
      </c>
      <c r="E13" s="11"/>
      <c r="F13" s="32">
        <f>Invulsheet!F13</f>
        <v>0</v>
      </c>
      <c r="G13" s="11"/>
      <c r="H13" s="11"/>
      <c r="I13" s="11"/>
      <c r="J13" s="11"/>
      <c r="K13" s="11"/>
    </row>
    <row r="14" spans="1:12" ht="15" customHeight="1" x14ac:dyDescent="0.2"/>
    <row r="15" spans="1:12" ht="15" customHeight="1" x14ac:dyDescent="0.2">
      <c r="C15" s="3" t="s">
        <v>224</v>
      </c>
      <c r="D15" s="5" t="s">
        <v>225</v>
      </c>
      <c r="F15" s="32">
        <f>Invulsheet!R16</f>
        <v>0</v>
      </c>
    </row>
    <row r="16" spans="1:12" ht="15" customHeight="1" x14ac:dyDescent="0.2">
      <c r="C16" s="3" t="s">
        <v>57</v>
      </c>
      <c r="D16" s="5" t="s">
        <v>61</v>
      </c>
      <c r="F16" s="32">
        <f>Invulsheet!R15</f>
        <v>0</v>
      </c>
    </row>
    <row r="17" spans="3:13" ht="15" customHeight="1" x14ac:dyDescent="0.2">
      <c r="C17" s="3" t="s">
        <v>37</v>
      </c>
      <c r="D17" s="5" t="s">
        <v>58</v>
      </c>
      <c r="F17" s="3"/>
      <c r="J17" s="33" t="e">
        <f>F16/F15</f>
        <v>#DIV/0!</v>
      </c>
    </row>
    <row r="18" spans="3:13" ht="15" customHeight="1" x14ac:dyDescent="0.2"/>
    <row r="19" spans="3:13" ht="15" customHeight="1" x14ac:dyDescent="0.2"/>
    <row r="20" spans="3:13" ht="15" customHeight="1" x14ac:dyDescent="0.2">
      <c r="C20" s="107" t="s">
        <v>222</v>
      </c>
      <c r="D20" s="5" t="s">
        <v>60</v>
      </c>
      <c r="F20" s="32">
        <f>Invulsheet!R18</f>
        <v>20</v>
      </c>
    </row>
    <row r="21" spans="3:13" ht="15" customHeight="1" x14ac:dyDescent="0.2">
      <c r="C21" s="107" t="s">
        <v>223</v>
      </c>
      <c r="D21" s="5" t="s">
        <v>60</v>
      </c>
      <c r="F21" s="32">
        <f>Invulsheet!R19</f>
        <v>15</v>
      </c>
    </row>
    <row r="22" spans="3:13" ht="15" customHeight="1" x14ac:dyDescent="0.2">
      <c r="C22" s="3" t="s">
        <v>72</v>
      </c>
      <c r="D22" s="5" t="s">
        <v>59</v>
      </c>
      <c r="F22" s="32">
        <f>Invulsheet!R20</f>
        <v>80</v>
      </c>
    </row>
    <row r="23" spans="3:13" ht="15" customHeight="1" x14ac:dyDescent="0.2">
      <c r="C23" s="3" t="s">
        <v>136</v>
      </c>
      <c r="D23" s="5" t="s">
        <v>60</v>
      </c>
      <c r="F23" s="35"/>
      <c r="J23" s="38">
        <f xml:space="preserve">  F20 * F22 * F26 / 20000  +  F21 * (1 - F26 * F22 / 20000)</f>
        <v>16.2</v>
      </c>
      <c r="M23" s="282"/>
    </row>
    <row r="24" spans="3:13" ht="15" customHeight="1" x14ac:dyDescent="0.2">
      <c r="M24" s="282"/>
    </row>
    <row r="25" spans="3:13" ht="15" customHeight="1" x14ac:dyDescent="0.2">
      <c r="C25" s="3" t="s">
        <v>71</v>
      </c>
      <c r="F25" s="32">
        <f>Invulsheet!R22</f>
        <v>0</v>
      </c>
      <c r="M25" s="282"/>
    </row>
    <row r="26" spans="3:13" ht="15" customHeight="1" x14ac:dyDescent="0.2">
      <c r="C26" s="3" t="s">
        <v>116</v>
      </c>
      <c r="D26" s="5" t="s">
        <v>59</v>
      </c>
      <c r="F26" s="32">
        <f>Invulsheet!R23</f>
        <v>60</v>
      </c>
      <c r="M26" s="282"/>
    </row>
    <row r="27" spans="3:13" ht="15" customHeight="1" x14ac:dyDescent="0.2">
      <c r="M27" s="282"/>
    </row>
    <row r="28" spans="3:13" ht="15" customHeight="1" x14ac:dyDescent="0.2"/>
    <row r="29" spans="3:13" ht="24" customHeight="1" x14ac:dyDescent="0.3">
      <c r="C29" s="9" t="s">
        <v>73</v>
      </c>
      <c r="D29" s="23"/>
      <c r="E29" s="12"/>
      <c r="F29" s="12"/>
      <c r="G29" s="12"/>
      <c r="H29" s="12"/>
      <c r="I29" s="12"/>
      <c r="J29" s="12"/>
      <c r="K29" s="12"/>
    </row>
    <row r="30" spans="3:13" ht="15" customHeight="1" x14ac:dyDescent="0.2"/>
    <row r="31" spans="3:13" ht="15" customHeight="1" x14ac:dyDescent="0.3">
      <c r="E31" s="79" t="s">
        <v>22</v>
      </c>
      <c r="F31" s="79" t="s">
        <v>7</v>
      </c>
      <c r="G31" s="79" t="s">
        <v>20</v>
      </c>
      <c r="H31" s="79"/>
      <c r="I31" s="79" t="s">
        <v>141</v>
      </c>
      <c r="J31" s="79" t="s">
        <v>34</v>
      </c>
      <c r="K31" s="79" t="s">
        <v>140</v>
      </c>
    </row>
    <row r="32" spans="3:13" ht="15" customHeight="1" x14ac:dyDescent="0.2">
      <c r="E32" s="79" t="s">
        <v>8</v>
      </c>
      <c r="F32" s="79" t="s">
        <v>9</v>
      </c>
      <c r="G32" s="79" t="s">
        <v>10</v>
      </c>
      <c r="H32" s="79"/>
      <c r="I32" s="79" t="s">
        <v>10</v>
      </c>
      <c r="J32" s="79"/>
      <c r="K32" s="79" t="s">
        <v>23</v>
      </c>
    </row>
    <row r="33" spans="3:12" ht="15" customHeight="1" x14ac:dyDescent="0.2">
      <c r="I33" s="3"/>
    </row>
    <row r="34" spans="3:12" ht="15" customHeight="1" x14ac:dyDescent="0.2">
      <c r="C34" s="3" t="s">
        <v>24</v>
      </c>
      <c r="E34" s="32">
        <f>Invulsheet!Q34</f>
        <v>0</v>
      </c>
      <c r="F34" s="32">
        <f>Invulsheet!R34</f>
        <v>0</v>
      </c>
      <c r="I34" s="38">
        <f>1/(F34+0.17+0.17)</f>
        <v>2.9411764705882351</v>
      </c>
      <c r="J34" s="38">
        <v>0.5</v>
      </c>
      <c r="K34" s="38">
        <f>E34*I34*J34</f>
        <v>0</v>
      </c>
    </row>
    <row r="35" spans="3:12" ht="15" customHeight="1" x14ac:dyDescent="0.2">
      <c r="C35" s="3" t="s">
        <v>25</v>
      </c>
      <c r="E35" s="32">
        <f>Invulsheet!Q35</f>
        <v>0</v>
      </c>
      <c r="F35" s="32">
        <f>Invulsheet!R35</f>
        <v>0</v>
      </c>
      <c r="I35" s="38">
        <f>1/(F35+0.17+0.17)</f>
        <v>2.9411764705882351</v>
      </c>
      <c r="J35" s="38">
        <v>0.5</v>
      </c>
      <c r="K35" s="38">
        <f t="shared" ref="K35:K36" si="0">E35*I35*J35</f>
        <v>0</v>
      </c>
    </row>
    <row r="36" spans="3:12" ht="15" customHeight="1" x14ac:dyDescent="0.2">
      <c r="C36" s="3" t="s">
        <v>26</v>
      </c>
      <c r="E36" s="32">
        <f>Invulsheet!Q36</f>
        <v>0</v>
      </c>
      <c r="F36" s="32">
        <f>Invulsheet!R36</f>
        <v>0</v>
      </c>
      <c r="I36" s="38">
        <f>1/(F36+0.17+0.17)</f>
        <v>2.9411764705882351</v>
      </c>
      <c r="J36" s="38">
        <v>0.5</v>
      </c>
      <c r="K36" s="38">
        <f t="shared" si="0"/>
        <v>0</v>
      </c>
      <c r="L36" s="46" t="e">
        <f>-SUM(K34:K36)/$K$67*$AC$241</f>
        <v>#DIV/0!</v>
      </c>
    </row>
    <row r="37" spans="3:12" ht="15" customHeight="1" x14ac:dyDescent="0.2">
      <c r="I37" s="3"/>
      <c r="L37" s="72"/>
    </row>
    <row r="38" spans="3:12" ht="15" customHeight="1" x14ac:dyDescent="0.2">
      <c r="C38" s="3" t="s">
        <v>27</v>
      </c>
      <c r="E38" s="32">
        <f>Invulsheet!Q38</f>
        <v>0</v>
      </c>
      <c r="F38" s="32">
        <f>Invulsheet!R38</f>
        <v>0</v>
      </c>
      <c r="I38" s="38">
        <f>1/(F38+0.1+0.04)</f>
        <v>7.1428571428571423</v>
      </c>
      <c r="J38" s="38">
        <v>1</v>
      </c>
      <c r="K38" s="38">
        <f t="shared" ref="K38:K41" si="1">E38*I38*J38</f>
        <v>0</v>
      </c>
      <c r="L38" s="72"/>
    </row>
    <row r="39" spans="3:12" ht="15" customHeight="1" x14ac:dyDescent="0.2">
      <c r="C39" s="3" t="s">
        <v>28</v>
      </c>
      <c r="E39" s="32">
        <f>Invulsheet!Q39</f>
        <v>0</v>
      </c>
      <c r="F39" s="32">
        <f>Invulsheet!R39</f>
        <v>0</v>
      </c>
      <c r="I39" s="38">
        <f t="shared" ref="I39:I41" si="2">1/(F39+0.1+0.04)</f>
        <v>7.1428571428571423</v>
      </c>
      <c r="J39" s="38">
        <v>1</v>
      </c>
      <c r="K39" s="38">
        <f t="shared" si="1"/>
        <v>0</v>
      </c>
      <c r="L39" s="72"/>
    </row>
    <row r="40" spans="3:12" ht="15" customHeight="1" x14ac:dyDescent="0.2">
      <c r="C40" s="3" t="s">
        <v>29</v>
      </c>
      <c r="E40" s="32">
        <f>Invulsheet!Q40</f>
        <v>0</v>
      </c>
      <c r="F40" s="32">
        <f>Invulsheet!R40</f>
        <v>0</v>
      </c>
      <c r="I40" s="38">
        <f t="shared" si="2"/>
        <v>7.1428571428571423</v>
      </c>
      <c r="J40" s="38">
        <v>1</v>
      </c>
      <c r="K40" s="38">
        <f t="shared" si="1"/>
        <v>0</v>
      </c>
      <c r="L40" s="72"/>
    </row>
    <row r="41" spans="3:12" ht="15" customHeight="1" x14ac:dyDescent="0.2">
      <c r="C41" s="3" t="s">
        <v>62</v>
      </c>
      <c r="E41" s="32">
        <f>Invulsheet!Q41</f>
        <v>0</v>
      </c>
      <c r="F41" s="32">
        <f>Invulsheet!R41</f>
        <v>0</v>
      </c>
      <c r="I41" s="38">
        <f t="shared" si="2"/>
        <v>7.1428571428571423</v>
      </c>
      <c r="J41" s="38">
        <v>1</v>
      </c>
      <c r="K41" s="38">
        <f t="shared" si="1"/>
        <v>0</v>
      </c>
      <c r="L41" s="46" t="e">
        <f>-SUM(K38:K41)/$K$67*$AC$241</f>
        <v>#DIV/0!</v>
      </c>
    </row>
    <row r="42" spans="3:12" ht="15" customHeight="1" x14ac:dyDescent="0.2">
      <c r="I42" s="3"/>
      <c r="L42" s="72"/>
    </row>
    <row r="43" spans="3:12" ht="15" customHeight="1" x14ac:dyDescent="0.2">
      <c r="C43" s="3" t="s">
        <v>74</v>
      </c>
      <c r="E43" s="32">
        <f>Invulsheet!Q43</f>
        <v>0</v>
      </c>
      <c r="F43" s="32">
        <f>Invulsheet!R43</f>
        <v>0</v>
      </c>
      <c r="I43" s="38">
        <f>1/(F43+0.13+0.04)</f>
        <v>5.8823529411764701</v>
      </c>
      <c r="J43" s="38">
        <v>1</v>
      </c>
      <c r="K43" s="38">
        <f t="shared" ref="K43:K46" si="3">E43*I43*J43</f>
        <v>0</v>
      </c>
      <c r="L43" s="72"/>
    </row>
    <row r="44" spans="3:12" ht="15" customHeight="1" x14ac:dyDescent="0.2">
      <c r="C44" s="3" t="s">
        <v>65</v>
      </c>
      <c r="E44" s="32">
        <f>Invulsheet!Q44</f>
        <v>0</v>
      </c>
      <c r="F44" s="32">
        <f>Invulsheet!R44</f>
        <v>0</v>
      </c>
      <c r="I44" s="38">
        <f t="shared" ref="I44:I46" si="4">1/(F44+0.13+0.04)</f>
        <v>5.8823529411764701</v>
      </c>
      <c r="J44" s="38">
        <v>1</v>
      </c>
      <c r="K44" s="38">
        <f t="shared" si="3"/>
        <v>0</v>
      </c>
      <c r="L44" s="72"/>
    </row>
    <row r="45" spans="3:12" ht="15" customHeight="1" x14ac:dyDescent="0.2">
      <c r="C45" s="3" t="s">
        <v>64</v>
      </c>
      <c r="E45" s="32">
        <f>Invulsheet!Q45</f>
        <v>0</v>
      </c>
      <c r="F45" s="32">
        <f>Invulsheet!R45</f>
        <v>0</v>
      </c>
      <c r="I45" s="38">
        <f t="shared" si="4"/>
        <v>5.8823529411764701</v>
      </c>
      <c r="J45" s="38">
        <v>1</v>
      </c>
      <c r="K45" s="38">
        <f t="shared" si="3"/>
        <v>0</v>
      </c>
      <c r="L45" s="72"/>
    </row>
    <row r="46" spans="3:12" ht="15" customHeight="1" x14ac:dyDescent="0.2">
      <c r="C46" s="3" t="s">
        <v>63</v>
      </c>
      <c r="E46" s="32">
        <f>Invulsheet!Q46</f>
        <v>0</v>
      </c>
      <c r="F46" s="32">
        <f>Invulsheet!R46</f>
        <v>0</v>
      </c>
      <c r="I46" s="38">
        <f t="shared" si="4"/>
        <v>5.8823529411764701</v>
      </c>
      <c r="J46" s="38">
        <v>1</v>
      </c>
      <c r="K46" s="38">
        <f t="shared" si="3"/>
        <v>0</v>
      </c>
      <c r="L46" s="46" t="e">
        <f>-SUM(K43:K46)/$K$67*$AC$241</f>
        <v>#DIV/0!</v>
      </c>
    </row>
    <row r="47" spans="3:12" ht="15" customHeight="1" x14ac:dyDescent="0.2">
      <c r="I47" s="3"/>
      <c r="L47" s="72"/>
    </row>
    <row r="48" spans="3:12" ht="15" customHeight="1" x14ac:dyDescent="0.2">
      <c r="C48" s="3" t="s">
        <v>66</v>
      </c>
      <c r="E48" s="32">
        <f>Invulsheet!Q48</f>
        <v>0</v>
      </c>
      <c r="F48" s="32">
        <f>Invulsheet!R48</f>
        <v>0</v>
      </c>
      <c r="I48" s="38">
        <f>1/(F48+0.13+0.13)</f>
        <v>3.8461538461538458</v>
      </c>
      <c r="J48" s="38">
        <v>0.6</v>
      </c>
      <c r="K48" s="38">
        <f t="shared" ref="K48:K50" si="5">E48*I48*J48</f>
        <v>0</v>
      </c>
      <c r="L48" s="72"/>
    </row>
    <row r="49" spans="3:12" ht="15" customHeight="1" x14ac:dyDescent="0.2">
      <c r="C49" s="3" t="s">
        <v>67</v>
      </c>
      <c r="E49" s="32">
        <f>Invulsheet!Q49</f>
        <v>0</v>
      </c>
      <c r="F49" s="32">
        <f>Invulsheet!R49</f>
        <v>0</v>
      </c>
      <c r="I49" s="38">
        <f t="shared" ref="I49:I50" si="6">1/(F49+0.13+0.13)</f>
        <v>3.8461538461538458</v>
      </c>
      <c r="J49" s="38">
        <v>0.6</v>
      </c>
      <c r="K49" s="38">
        <f t="shared" si="5"/>
        <v>0</v>
      </c>
      <c r="L49" s="72"/>
    </row>
    <row r="50" spans="3:12" ht="15" customHeight="1" x14ac:dyDescent="0.2">
      <c r="C50" s="3" t="s">
        <v>68</v>
      </c>
      <c r="E50" s="32">
        <f>Invulsheet!Q50</f>
        <v>0</v>
      </c>
      <c r="F50" s="32">
        <f>Invulsheet!R50</f>
        <v>0</v>
      </c>
      <c r="I50" s="38">
        <f t="shared" si="6"/>
        <v>3.8461538461538458</v>
      </c>
      <c r="J50" s="38">
        <v>0.6</v>
      </c>
      <c r="K50" s="38">
        <f t="shared" si="5"/>
        <v>0</v>
      </c>
      <c r="L50" s="46" t="e">
        <f>-SUM(K48:K50)/$K$67*$AC$241</f>
        <v>#DIV/0!</v>
      </c>
    </row>
    <row r="51" spans="3:12" ht="15" customHeight="1" x14ac:dyDescent="0.2">
      <c r="I51" s="3"/>
      <c r="L51" s="72"/>
    </row>
    <row r="52" spans="3:12" ht="15" customHeight="1" x14ac:dyDescent="0.2">
      <c r="C52" s="3" t="s">
        <v>249</v>
      </c>
      <c r="E52" s="32">
        <f>Invulsheet!Q52</f>
        <v>0</v>
      </c>
      <c r="F52" s="32">
        <f>Invulsheet!R52</f>
        <v>0</v>
      </c>
      <c r="I52" s="38">
        <f>1/(F52+0.04+0.17)</f>
        <v>4.7619047619047619</v>
      </c>
      <c r="J52" s="38">
        <v>1</v>
      </c>
      <c r="K52" s="38">
        <f t="shared" ref="K52:K57" si="7">E52*I52*J52</f>
        <v>0</v>
      </c>
      <c r="L52" s="72"/>
    </row>
    <row r="53" spans="3:12" ht="15" customHeight="1" x14ac:dyDescent="0.2">
      <c r="C53" s="3" t="s">
        <v>257</v>
      </c>
      <c r="E53" s="32">
        <f>Invulsheet!Q53</f>
        <v>0</v>
      </c>
      <c r="F53" s="32">
        <f>Invulsheet!R53</f>
        <v>0</v>
      </c>
      <c r="I53" s="38">
        <f>1/(F53+0.04+0.17)</f>
        <v>4.7619047619047619</v>
      </c>
      <c r="J53" s="38">
        <v>1</v>
      </c>
      <c r="K53" s="38">
        <f t="shared" si="7"/>
        <v>0</v>
      </c>
      <c r="L53" s="72"/>
    </row>
    <row r="54" spans="3:12" ht="15" customHeight="1" x14ac:dyDescent="0.2">
      <c r="C54" s="3" t="s">
        <v>256</v>
      </c>
      <c r="E54" s="32">
        <f>Invulsheet!Q54</f>
        <v>0</v>
      </c>
      <c r="F54" s="32">
        <f>Invulsheet!R54</f>
        <v>0</v>
      </c>
      <c r="I54" s="38">
        <f>1/(F54+0.04+0.17)</f>
        <v>4.7619047619047619</v>
      </c>
      <c r="J54" s="38">
        <v>1</v>
      </c>
      <c r="K54" s="38">
        <f t="shared" ref="K54:K55" si="8">E54*I54*J54</f>
        <v>0</v>
      </c>
      <c r="L54" s="72"/>
    </row>
    <row r="55" spans="3:12" ht="15" customHeight="1" x14ac:dyDescent="0.2">
      <c r="C55" s="3" t="s">
        <v>255</v>
      </c>
      <c r="E55" s="32">
        <f>Invulsheet!Q55</f>
        <v>0</v>
      </c>
      <c r="F55" s="32">
        <f>Invulsheet!R55</f>
        <v>0</v>
      </c>
      <c r="I55" s="38">
        <f>1/(F55+0.04+0.17)</f>
        <v>4.7619047619047619</v>
      </c>
      <c r="J55" s="38">
        <v>1</v>
      </c>
      <c r="K55" s="38">
        <f t="shared" si="8"/>
        <v>0</v>
      </c>
      <c r="L55" s="72"/>
    </row>
    <row r="56" spans="3:12" ht="15" customHeight="1" x14ac:dyDescent="0.2">
      <c r="C56" s="3" t="s">
        <v>254</v>
      </c>
      <c r="E56" s="32">
        <f>Invulsheet!Q56</f>
        <v>0</v>
      </c>
      <c r="G56" s="32">
        <f>Invulsheet!S56</f>
        <v>0</v>
      </c>
      <c r="H56" s="31"/>
      <c r="I56" s="38">
        <f>IFERROR(1/(1/G56+0.04+0.17), 0)</f>
        <v>0</v>
      </c>
      <c r="J56" s="38">
        <v>1</v>
      </c>
      <c r="K56" s="38">
        <f t="shared" si="7"/>
        <v>0</v>
      </c>
      <c r="L56" s="72"/>
    </row>
    <row r="57" spans="3:12" ht="15" customHeight="1" x14ac:dyDescent="0.2">
      <c r="C57" s="3" t="s">
        <v>253</v>
      </c>
      <c r="E57" s="32">
        <f>Invulsheet!Q57</f>
        <v>0</v>
      </c>
      <c r="G57" s="32">
        <f>Invulsheet!S57</f>
        <v>0</v>
      </c>
      <c r="H57" s="31"/>
      <c r="I57" s="38">
        <f t="shared" ref="I57:I59" si="9">IFERROR(1/(1/G57+0.04+0.17), 0)</f>
        <v>0</v>
      </c>
      <c r="J57" s="38">
        <v>1</v>
      </c>
      <c r="K57" s="38">
        <f t="shared" si="7"/>
        <v>0</v>
      </c>
    </row>
    <row r="58" spans="3:12" ht="15" customHeight="1" x14ac:dyDescent="0.2">
      <c r="C58" s="3" t="s">
        <v>252</v>
      </c>
      <c r="E58" s="32">
        <f>Invulsheet!Q58</f>
        <v>0</v>
      </c>
      <c r="G58" s="32">
        <f>Invulsheet!S58</f>
        <v>0</v>
      </c>
      <c r="H58" s="31"/>
      <c r="I58" s="38">
        <f t="shared" si="9"/>
        <v>0</v>
      </c>
      <c r="J58" s="38">
        <v>1</v>
      </c>
      <c r="K58" s="38">
        <f t="shared" ref="K58:K59" si="10">E58*I58*J58</f>
        <v>0</v>
      </c>
      <c r="L58" s="47"/>
    </row>
    <row r="59" spans="3:12" ht="15" customHeight="1" x14ac:dyDescent="0.2">
      <c r="C59" s="3" t="s">
        <v>250</v>
      </c>
      <c r="E59" s="32">
        <f>Invulsheet!Q59</f>
        <v>0</v>
      </c>
      <c r="G59" s="32">
        <f>Invulsheet!S59</f>
        <v>0</v>
      </c>
      <c r="H59" s="31"/>
      <c r="I59" s="38">
        <f t="shared" si="9"/>
        <v>0</v>
      </c>
      <c r="J59" s="38">
        <v>1</v>
      </c>
      <c r="K59" s="38">
        <f t="shared" si="10"/>
        <v>0</v>
      </c>
      <c r="L59" s="46" t="e">
        <f>-SUM(K52:K59)/$K$67*$AC$241</f>
        <v>#DIV/0!</v>
      </c>
    </row>
    <row r="60" spans="3:12" ht="15" customHeight="1" x14ac:dyDescent="0.2">
      <c r="I60" s="3"/>
      <c r="L60" s="72"/>
    </row>
    <row r="61" spans="3:12" ht="15" customHeight="1" x14ac:dyDescent="0.2">
      <c r="C61" s="3" t="s">
        <v>251</v>
      </c>
      <c r="E61" s="32">
        <f>Invulsheet!Q61</f>
        <v>0</v>
      </c>
      <c r="G61" s="32">
        <f>Invulsheet!S61</f>
        <v>0</v>
      </c>
      <c r="H61" s="31"/>
      <c r="I61" s="38">
        <f>G61</f>
        <v>0</v>
      </c>
      <c r="J61" s="38">
        <v>1</v>
      </c>
      <c r="K61" s="38">
        <f t="shared" ref="K61:K65" si="11">E61*I61*J61</f>
        <v>0</v>
      </c>
      <c r="L61" s="72"/>
    </row>
    <row r="62" spans="3:12" ht="15" customHeight="1" x14ac:dyDescent="0.2">
      <c r="C62" s="3" t="s">
        <v>30</v>
      </c>
      <c r="E62" s="32">
        <f>Invulsheet!Q62</f>
        <v>0</v>
      </c>
      <c r="G62" s="32">
        <f>Invulsheet!S62</f>
        <v>0</v>
      </c>
      <c r="H62" s="31"/>
      <c r="I62" s="38">
        <f>G62</f>
        <v>0</v>
      </c>
      <c r="J62" s="38">
        <v>1</v>
      </c>
      <c r="K62" s="38">
        <f t="shared" si="11"/>
        <v>0</v>
      </c>
      <c r="L62" s="72"/>
    </row>
    <row r="63" spans="3:12" ht="15" customHeight="1" x14ac:dyDescent="0.2">
      <c r="C63" s="3" t="s">
        <v>31</v>
      </c>
      <c r="E63" s="32">
        <f>Invulsheet!Q63</f>
        <v>0</v>
      </c>
      <c r="G63" s="32">
        <f>Invulsheet!S63</f>
        <v>0</v>
      </c>
      <c r="H63" s="31"/>
      <c r="I63" s="38">
        <f>G63</f>
        <v>0</v>
      </c>
      <c r="J63" s="38">
        <v>1</v>
      </c>
      <c r="K63" s="38">
        <f t="shared" si="11"/>
        <v>0</v>
      </c>
      <c r="L63" s="72"/>
    </row>
    <row r="64" spans="3:12" ht="15" customHeight="1" x14ac:dyDescent="0.2">
      <c r="C64" s="3" t="s">
        <v>75</v>
      </c>
      <c r="E64" s="32">
        <f>Invulsheet!Q64</f>
        <v>0</v>
      </c>
      <c r="G64" s="32">
        <f>Invulsheet!S64</f>
        <v>0</v>
      </c>
      <c r="H64" s="31"/>
      <c r="I64" s="38">
        <f>G64</f>
        <v>0</v>
      </c>
      <c r="J64" s="38">
        <v>1</v>
      </c>
      <c r="K64" s="38">
        <f t="shared" si="11"/>
        <v>0</v>
      </c>
      <c r="L64" s="72"/>
    </row>
    <row r="65" spans="1:12" ht="15" customHeight="1" x14ac:dyDescent="0.2">
      <c r="C65" s="3" t="s">
        <v>76</v>
      </c>
      <c r="E65" s="32">
        <f>Invulsheet!Q65</f>
        <v>0</v>
      </c>
      <c r="G65" s="32">
        <f>Invulsheet!S65</f>
        <v>0</v>
      </c>
      <c r="H65" s="31"/>
      <c r="I65" s="38">
        <f>G65</f>
        <v>0</v>
      </c>
      <c r="J65" s="38">
        <v>1</v>
      </c>
      <c r="K65" s="38">
        <f t="shared" si="11"/>
        <v>0</v>
      </c>
      <c r="L65" s="46" t="e">
        <f>-SUM(K61:K65)/$K$67*$AC$241</f>
        <v>#DIV/0!</v>
      </c>
    </row>
    <row r="66" spans="1:12" ht="15" customHeight="1" x14ac:dyDescent="0.2">
      <c r="E66" s="35"/>
      <c r="G66" s="35"/>
      <c r="H66" s="31"/>
      <c r="I66" s="40"/>
      <c r="J66" s="40"/>
      <c r="K66" s="40"/>
    </row>
    <row r="67" spans="1:12" ht="15" customHeight="1" x14ac:dyDescent="0.2">
      <c r="C67" s="3" t="s">
        <v>33</v>
      </c>
      <c r="D67" s="5" t="s">
        <v>5</v>
      </c>
      <c r="E67" s="35"/>
      <c r="G67" s="35"/>
      <c r="H67" s="31"/>
      <c r="I67" s="40"/>
      <c r="J67" s="40"/>
      <c r="K67" s="38">
        <f>SUM(K34:K65)</f>
        <v>0</v>
      </c>
    </row>
    <row r="68" spans="1:12" ht="15" customHeight="1" x14ac:dyDescent="0.2">
      <c r="C68" s="3" t="s">
        <v>21</v>
      </c>
      <c r="D68" s="5" t="s">
        <v>49</v>
      </c>
      <c r="E68" s="35"/>
      <c r="G68" s="35"/>
      <c r="H68" s="31"/>
      <c r="I68" s="40"/>
      <c r="J68" s="40"/>
      <c r="L68" s="46">
        <f>-AC241</f>
        <v>0</v>
      </c>
    </row>
    <row r="69" spans="1:12" ht="15" customHeight="1" x14ac:dyDescent="0.2"/>
    <row r="70" spans="1:12" ht="15" customHeight="1" x14ac:dyDescent="0.2"/>
    <row r="71" spans="1:12" ht="24" customHeight="1" x14ac:dyDescent="0.3">
      <c r="C71" s="9" t="s">
        <v>77</v>
      </c>
      <c r="D71" s="23"/>
      <c r="E71" s="12"/>
      <c r="F71" s="12"/>
      <c r="G71" s="12"/>
      <c r="H71" s="12"/>
      <c r="I71" s="12"/>
      <c r="J71" s="12"/>
      <c r="K71" s="12"/>
    </row>
    <row r="72" spans="1:12" ht="15" customHeight="1" x14ac:dyDescent="0.2"/>
    <row r="73" spans="1:12" ht="15" customHeight="1" x14ac:dyDescent="0.2">
      <c r="C73" s="3" t="s">
        <v>46</v>
      </c>
      <c r="D73" s="5" t="s">
        <v>17</v>
      </c>
      <c r="F73" s="42">
        <f>Invulsheet!R70</f>
        <v>0</v>
      </c>
    </row>
    <row r="74" spans="1:12" ht="15" customHeight="1" x14ac:dyDescent="0.2">
      <c r="C74" s="3" t="s">
        <v>45</v>
      </c>
      <c r="D74" s="5" t="s">
        <v>78</v>
      </c>
      <c r="F74" s="44"/>
      <c r="J74" s="38" t="e">
        <f>F73*3.6/J17*(1/10)^0.7</f>
        <v>#DIV/0!</v>
      </c>
    </row>
    <row r="75" spans="1:12" ht="15" customHeight="1" x14ac:dyDescent="0.2">
      <c r="C75" s="3" t="s">
        <v>44</v>
      </c>
      <c r="D75" s="5" t="s">
        <v>143</v>
      </c>
      <c r="F75" s="44"/>
      <c r="J75" s="37" t="e">
        <f>J74*F16/3600</f>
        <v>#DIV/0!</v>
      </c>
    </row>
    <row r="76" spans="1:12" ht="15" customHeight="1" x14ac:dyDescent="0.2">
      <c r="C76" s="3" t="s">
        <v>142</v>
      </c>
      <c r="D76" s="5" t="s">
        <v>5</v>
      </c>
      <c r="F76" s="44"/>
      <c r="J76" s="38" t="e">
        <f>J75*1230</f>
        <v>#DIV/0!</v>
      </c>
      <c r="K76" s="46" t="e">
        <f>-J76/$J$85*$AD$241</f>
        <v>#DIV/0!</v>
      </c>
    </row>
    <row r="77" spans="1:12" ht="15" customHeight="1" x14ac:dyDescent="0.2"/>
    <row r="78" spans="1:12" ht="15" customHeight="1" x14ac:dyDescent="0.2">
      <c r="C78" s="3" t="s">
        <v>39</v>
      </c>
      <c r="D78" s="5" t="s">
        <v>78</v>
      </c>
      <c r="F78" s="42">
        <f>Invulsheet!R72</f>
        <v>0</v>
      </c>
    </row>
    <row r="79" spans="1:12" s="107" customFormat="1" ht="15" customHeight="1" x14ac:dyDescent="0.2">
      <c r="A79" s="112"/>
      <c r="C79" s="107" t="s">
        <v>248</v>
      </c>
      <c r="D79" s="5"/>
      <c r="E79" s="11"/>
      <c r="F79" s="42">
        <f>Invulsheet!R73</f>
        <v>0</v>
      </c>
      <c r="G79" s="11"/>
      <c r="H79" s="11"/>
      <c r="I79" s="11"/>
      <c r="J79" s="11"/>
      <c r="K79" s="11"/>
    </row>
    <row r="80" spans="1:12" ht="15" customHeight="1" x14ac:dyDescent="0.2">
      <c r="C80" s="3" t="s">
        <v>43</v>
      </c>
      <c r="F80" s="42">
        <f>Invulsheet!R74</f>
        <v>0</v>
      </c>
    </row>
    <row r="81" spans="1:11" ht="15" customHeight="1" x14ac:dyDescent="0.2">
      <c r="C81" s="3" t="s">
        <v>38</v>
      </c>
      <c r="D81" s="5" t="s">
        <v>59</v>
      </c>
      <c r="F81" s="121">
        <f>Invulsheet!R75</f>
        <v>0</v>
      </c>
    </row>
    <row r="82" spans="1:11" ht="15" customHeight="1" x14ac:dyDescent="0.2">
      <c r="C82" s="3" t="s">
        <v>40</v>
      </c>
      <c r="D82" s="5" t="s">
        <v>143</v>
      </c>
      <c r="F82" s="44"/>
      <c r="J82" s="37">
        <f>F78*F16*IF(F80=Data!B3,0.5,1)/3600</f>
        <v>0</v>
      </c>
    </row>
    <row r="83" spans="1:11" ht="15" customHeight="1" x14ac:dyDescent="0.2">
      <c r="C83" s="3" t="s">
        <v>144</v>
      </c>
      <c r="D83" s="5" t="s">
        <v>5</v>
      </c>
      <c r="F83" s="44"/>
      <c r="J83" s="38">
        <f>J82*(1-F81)*1230</f>
        <v>0</v>
      </c>
      <c r="K83" s="46" t="e">
        <f>-J83/$J$85*$AD$241</f>
        <v>#DIV/0!</v>
      </c>
    </row>
    <row r="84" spans="1:11" ht="15" customHeight="1" x14ac:dyDescent="0.2">
      <c r="F84" s="44"/>
      <c r="J84" s="40"/>
    </row>
    <row r="85" spans="1:11" ht="15" customHeight="1" x14ac:dyDescent="0.2">
      <c r="C85" s="3" t="s">
        <v>33</v>
      </c>
      <c r="D85" s="5" t="s">
        <v>5</v>
      </c>
      <c r="F85" s="44"/>
      <c r="J85" s="38" t="e">
        <f>J83+J76</f>
        <v>#DIV/0!</v>
      </c>
    </row>
    <row r="86" spans="1:11" ht="15" customHeight="1" x14ac:dyDescent="0.2">
      <c r="C86" s="3" t="s">
        <v>163</v>
      </c>
      <c r="D86" s="5" t="s">
        <v>49</v>
      </c>
      <c r="F86" s="44"/>
      <c r="K86" s="46">
        <f>-$AD$241</f>
        <v>0</v>
      </c>
    </row>
    <row r="87" spans="1:11" s="107" customFormat="1" ht="15" customHeight="1" x14ac:dyDescent="0.2">
      <c r="A87" s="112"/>
      <c r="D87" s="5"/>
      <c r="E87" s="11"/>
      <c r="F87" s="44"/>
      <c r="G87" s="11"/>
      <c r="H87" s="11"/>
      <c r="I87" s="11"/>
      <c r="J87" s="11"/>
      <c r="K87" s="47"/>
    </row>
    <row r="88" spans="1:11" s="107" customFormat="1" ht="15" customHeight="1" x14ac:dyDescent="0.2">
      <c r="A88" s="112"/>
      <c r="C88" s="107" t="s">
        <v>264</v>
      </c>
      <c r="D88" s="5" t="s">
        <v>48</v>
      </c>
      <c r="E88" s="11"/>
      <c r="F88" s="44"/>
      <c r="G88" s="11"/>
      <c r="H88" s="11"/>
      <c r="I88" s="11"/>
      <c r="J88" s="46">
        <f>IFERROR(VLOOKUP(F79,Data!E27:F29,2,FALSE),0)</f>
        <v>0</v>
      </c>
      <c r="K88" s="47"/>
    </row>
    <row r="89" spans="1:11" ht="15" customHeight="1" x14ac:dyDescent="0.2">
      <c r="F89" s="24"/>
    </row>
    <row r="90" spans="1:11" ht="15" customHeight="1" x14ac:dyDescent="0.2"/>
    <row r="91" spans="1:11" ht="24" customHeight="1" x14ac:dyDescent="0.3">
      <c r="C91" s="9" t="s">
        <v>79</v>
      </c>
      <c r="D91" s="23"/>
      <c r="E91" s="12"/>
      <c r="F91" s="12"/>
      <c r="G91" s="12"/>
      <c r="H91" s="12"/>
      <c r="I91" s="12"/>
      <c r="J91" s="12"/>
      <c r="K91" s="12"/>
    </row>
    <row r="92" spans="1:11" ht="15" customHeight="1" x14ac:dyDescent="0.2"/>
    <row r="93" spans="1:11" ht="15" customHeight="1" x14ac:dyDescent="0.2">
      <c r="C93" s="3" t="s">
        <v>80</v>
      </c>
      <c r="D93" s="5" t="s">
        <v>0</v>
      </c>
      <c r="F93" s="41">
        <f>Invulsheet!R83</f>
        <v>10</v>
      </c>
      <c r="G93" s="3"/>
      <c r="H93" s="3"/>
      <c r="I93" s="3"/>
      <c r="J93" s="3"/>
      <c r="K93" s="3"/>
    </row>
    <row r="94" spans="1:11" ht="15" customHeight="1" x14ac:dyDescent="0.2">
      <c r="C94" s="3" t="s">
        <v>81</v>
      </c>
      <c r="D94" s="5" t="s">
        <v>0</v>
      </c>
      <c r="F94" s="41">
        <f>Invulsheet!R84</f>
        <v>40</v>
      </c>
    </row>
    <row r="95" spans="1:11" ht="15" customHeight="1" x14ac:dyDescent="0.2">
      <c r="C95" s="3" t="s">
        <v>147</v>
      </c>
      <c r="J95" s="38">
        <f>F94-F93</f>
        <v>30</v>
      </c>
    </row>
    <row r="96" spans="1:11" ht="15" customHeight="1" x14ac:dyDescent="0.2">
      <c r="C96" s="3" t="s">
        <v>51</v>
      </c>
      <c r="F96" s="41">
        <f>Invulsheet!R85</f>
        <v>5</v>
      </c>
    </row>
    <row r="97" spans="3:11" ht="15" customHeight="1" x14ac:dyDescent="0.2">
      <c r="C97" s="3" t="s">
        <v>145</v>
      </c>
      <c r="D97" s="5" t="s">
        <v>146</v>
      </c>
      <c r="J97" s="38">
        <f>VLOOKUP(F96,Data!B20:C25,2)</f>
        <v>12</v>
      </c>
    </row>
    <row r="98" spans="3:11" ht="15" customHeight="1" x14ac:dyDescent="0.2">
      <c r="C98" s="3" t="s">
        <v>90</v>
      </c>
      <c r="D98" s="5" t="s">
        <v>89</v>
      </c>
      <c r="F98" s="41">
        <f>Invulsheet!R86</f>
        <v>4</v>
      </c>
    </row>
    <row r="99" spans="3:11" ht="15" customHeight="1" x14ac:dyDescent="0.2"/>
    <row r="100" spans="3:11" ht="15" customHeight="1" x14ac:dyDescent="0.2">
      <c r="C100" s="3" t="s">
        <v>82</v>
      </c>
      <c r="D100" s="5" t="s">
        <v>54</v>
      </c>
      <c r="F100" s="41">
        <f>Invulsheet!R88</f>
        <v>0</v>
      </c>
    </row>
    <row r="101" spans="3:11" ht="15" customHeight="1" x14ac:dyDescent="0.2">
      <c r="C101" s="3" t="s">
        <v>85</v>
      </c>
      <c r="D101" s="5" t="s">
        <v>84</v>
      </c>
      <c r="F101" s="41">
        <f>Invulsheet!R89</f>
        <v>0</v>
      </c>
      <c r="J101" s="3"/>
    </row>
    <row r="102" spans="3:11" ht="15" customHeight="1" x14ac:dyDescent="0.2">
      <c r="C102" s="3" t="s">
        <v>83</v>
      </c>
      <c r="D102" s="5" t="s">
        <v>59</v>
      </c>
      <c r="F102" s="41">
        <f>Invulsheet!R90</f>
        <v>0</v>
      </c>
    </row>
    <row r="103" spans="3:11" ht="15" customHeight="1" x14ac:dyDescent="0.2">
      <c r="C103" s="3" t="s">
        <v>148</v>
      </c>
      <c r="F103" s="35"/>
      <c r="J103" s="33">
        <f>(52-F96)*F101</f>
        <v>0</v>
      </c>
    </row>
    <row r="104" spans="3:11" ht="15" customHeight="1" x14ac:dyDescent="0.2">
      <c r="C104" s="3" t="s">
        <v>149</v>
      </c>
      <c r="D104" s="5" t="s">
        <v>18</v>
      </c>
      <c r="F104" s="35"/>
      <c r="J104" s="36">
        <f>4.18*F100*J97*J95*(1-F102/100)/1000000</f>
        <v>0</v>
      </c>
    </row>
    <row r="105" spans="3:11" ht="15" customHeight="1" x14ac:dyDescent="0.2">
      <c r="C105" s="3" t="s">
        <v>150</v>
      </c>
      <c r="D105" s="5" t="s">
        <v>56</v>
      </c>
      <c r="F105" s="35"/>
      <c r="I105" s="39">
        <f>J104*J103</f>
        <v>0</v>
      </c>
      <c r="J105" s="3"/>
      <c r="K105" s="3"/>
    </row>
    <row r="106" spans="3:11" ht="15" customHeight="1" x14ac:dyDescent="0.2">
      <c r="F106" s="35"/>
      <c r="I106" s="48"/>
    </row>
    <row r="107" spans="3:11" ht="15" customHeight="1" x14ac:dyDescent="0.2">
      <c r="I107" s="48"/>
    </row>
    <row r="108" spans="3:11" ht="15" customHeight="1" x14ac:dyDescent="0.2">
      <c r="C108" s="3" t="s">
        <v>86</v>
      </c>
      <c r="D108" s="5" t="s">
        <v>84</v>
      </c>
      <c r="F108" s="41">
        <f>Invulsheet!R92</f>
        <v>0</v>
      </c>
      <c r="I108" s="48"/>
    </row>
    <row r="109" spans="3:11" ht="15" customHeight="1" x14ac:dyDescent="0.2">
      <c r="C109" s="3" t="s">
        <v>87</v>
      </c>
      <c r="D109" s="5" t="s">
        <v>88</v>
      </c>
      <c r="F109" s="41">
        <f>Invulsheet!R93</f>
        <v>110</v>
      </c>
      <c r="I109" s="48"/>
    </row>
    <row r="110" spans="3:11" ht="15" customHeight="1" x14ac:dyDescent="0.2">
      <c r="C110" s="3" t="s">
        <v>151</v>
      </c>
      <c r="F110" s="35"/>
      <c r="I110" s="48"/>
      <c r="J110" s="33">
        <f>(52-F103)*F108</f>
        <v>0</v>
      </c>
    </row>
    <row r="111" spans="3:11" ht="15" customHeight="1" x14ac:dyDescent="0.2">
      <c r="C111" s="3" t="s">
        <v>149</v>
      </c>
      <c r="D111" s="5" t="s">
        <v>18</v>
      </c>
      <c r="F111" s="35"/>
      <c r="I111" s="48"/>
      <c r="J111" s="36">
        <f>4.18*J95*F109/1000000</f>
        <v>1.3793999999999999E-2</v>
      </c>
    </row>
    <row r="112" spans="3:11" ht="15" customHeight="1" x14ac:dyDescent="0.2">
      <c r="C112" s="3" t="s">
        <v>150</v>
      </c>
      <c r="D112" s="5" t="s">
        <v>56</v>
      </c>
      <c r="F112" s="35"/>
      <c r="I112" s="39">
        <f>J111*J110</f>
        <v>0</v>
      </c>
      <c r="J112" s="3"/>
      <c r="K112" s="3"/>
    </row>
    <row r="113" spans="1:11" ht="15" customHeight="1" x14ac:dyDescent="0.2">
      <c r="I113" s="48"/>
    </row>
    <row r="114" spans="1:11" ht="15" customHeight="1" x14ac:dyDescent="0.2">
      <c r="C114" s="27" t="s">
        <v>91</v>
      </c>
      <c r="D114" s="5" t="s">
        <v>92</v>
      </c>
      <c r="F114" s="41">
        <f>Invulsheet!R95</f>
        <v>0</v>
      </c>
      <c r="I114" s="48"/>
    </row>
    <row r="115" spans="1:11" ht="15" customHeight="1" x14ac:dyDescent="0.2">
      <c r="C115" s="3" t="s">
        <v>152</v>
      </c>
      <c r="D115" s="5" t="s">
        <v>55</v>
      </c>
      <c r="F115" s="35"/>
      <c r="I115" s="48"/>
      <c r="J115" s="36">
        <f>F114*J97*J95*4.18/1000000</f>
        <v>0</v>
      </c>
    </row>
    <row r="116" spans="1:11" ht="15" customHeight="1" x14ac:dyDescent="0.2">
      <c r="C116" s="3" t="s">
        <v>150</v>
      </c>
      <c r="D116" s="5" t="s">
        <v>56</v>
      </c>
      <c r="F116" s="35"/>
      <c r="I116" s="39">
        <f>J115*(52-F98)*7</f>
        <v>0</v>
      </c>
      <c r="J116" s="3"/>
    </row>
    <row r="117" spans="1:11" ht="15" customHeight="1" x14ac:dyDescent="0.2">
      <c r="F117" s="35"/>
      <c r="I117" s="48"/>
    </row>
    <row r="118" spans="1:11" ht="15" customHeight="1" x14ac:dyDescent="0.2">
      <c r="C118" s="3" t="s">
        <v>153</v>
      </c>
      <c r="D118" s="5" t="s">
        <v>56</v>
      </c>
      <c r="F118" s="35"/>
      <c r="I118" s="39">
        <f>I116+I112+I105</f>
        <v>0</v>
      </c>
    </row>
    <row r="119" spans="1:11" ht="15" customHeight="1" x14ac:dyDescent="0.2">
      <c r="F119" s="24"/>
      <c r="I119" s="48"/>
    </row>
    <row r="120" spans="1:11" s="107" customFormat="1" ht="15" customHeight="1" x14ac:dyDescent="0.2">
      <c r="A120" s="112"/>
      <c r="C120" s="1" t="s">
        <v>265</v>
      </c>
      <c r="D120" s="5"/>
      <c r="E120" s="11"/>
      <c r="F120" s="24"/>
      <c r="G120" s="11"/>
      <c r="H120" s="11"/>
      <c r="I120" s="48"/>
      <c r="J120" s="11"/>
      <c r="K120" s="11"/>
    </row>
    <row r="121" spans="1:11" s="107" customFormat="1" ht="15" customHeight="1" x14ac:dyDescent="0.2">
      <c r="A121" s="112"/>
      <c r="C121" s="107" t="s">
        <v>266</v>
      </c>
      <c r="D121" s="5"/>
      <c r="E121" s="11"/>
      <c r="F121" s="121">
        <f>Invulsheet!R99</f>
        <v>1</v>
      </c>
      <c r="G121" s="11"/>
      <c r="H121" s="11"/>
      <c r="I121" s="39">
        <f>F121*I118</f>
        <v>0</v>
      </c>
      <c r="J121" s="5" t="s">
        <v>56</v>
      </c>
      <c r="K121" s="11"/>
    </row>
    <row r="122" spans="1:11" ht="15" customHeight="1" x14ac:dyDescent="0.2">
      <c r="C122" s="3" t="s">
        <v>93</v>
      </c>
      <c r="F122" s="41">
        <f>Invulsheet!R100</f>
        <v>0</v>
      </c>
      <c r="I122" s="48"/>
    </row>
    <row r="123" spans="1:11" ht="15" customHeight="1" x14ac:dyDescent="0.2">
      <c r="C123" s="3" t="s">
        <v>95</v>
      </c>
      <c r="F123" s="43">
        <f>Invulsheet!R101</f>
        <v>0</v>
      </c>
      <c r="I123" s="48"/>
    </row>
    <row r="124" spans="1:11" s="107" customFormat="1" ht="15" customHeight="1" x14ac:dyDescent="0.2">
      <c r="A124" s="112"/>
      <c r="C124" s="107" t="s">
        <v>268</v>
      </c>
      <c r="D124" s="5"/>
      <c r="E124" s="11"/>
      <c r="F124" s="43">
        <f>Invulsheet!R102</f>
        <v>0</v>
      </c>
      <c r="G124" s="11"/>
      <c r="H124" s="11"/>
      <c r="I124" s="39">
        <f>-1*F124</f>
        <v>0</v>
      </c>
      <c r="J124" s="5" t="s">
        <v>56</v>
      </c>
      <c r="K124" s="11" t="str">
        <f>IF(I125+I124+I121&lt;0,"Overproductie!","")</f>
        <v/>
      </c>
    </row>
    <row r="125" spans="1:11" s="107" customFormat="1" ht="15" customHeight="1" x14ac:dyDescent="0.2">
      <c r="A125" s="112"/>
      <c r="C125" s="107" t="s">
        <v>154</v>
      </c>
      <c r="D125" s="5"/>
      <c r="E125" s="11"/>
      <c r="F125" s="43">
        <f>Invulsheet!R103</f>
        <v>0</v>
      </c>
      <c r="G125" s="11"/>
      <c r="H125" s="11"/>
      <c r="I125" s="39">
        <f>IFERROR(VLOOKUP(F125,Data!$E$20:$F$23,2,FALSE)*F121,0)</f>
        <v>0</v>
      </c>
      <c r="J125" s="5" t="s">
        <v>56</v>
      </c>
      <c r="K125" s="11"/>
    </row>
    <row r="126" spans="1:11" ht="15" customHeight="1" x14ac:dyDescent="0.2">
      <c r="C126" s="3" t="s">
        <v>155</v>
      </c>
      <c r="D126" s="5" t="s">
        <v>56</v>
      </c>
      <c r="I126" s="39">
        <f>IFERROR(MAX(0, I121+I124+I125)/F123,0)</f>
        <v>0</v>
      </c>
      <c r="J126" s="5" t="s">
        <v>56</v>
      </c>
    </row>
    <row r="127" spans="1:11" s="107" customFormat="1" ht="15" customHeight="1" x14ac:dyDescent="0.2">
      <c r="A127" s="112"/>
      <c r="D127" s="5"/>
      <c r="E127" s="11"/>
      <c r="F127" s="45"/>
      <c r="G127" s="11"/>
      <c r="H127" s="11"/>
      <c r="I127" s="120"/>
      <c r="J127" s="11"/>
      <c r="K127" s="11"/>
    </row>
    <row r="128" spans="1:11" s="107" customFormat="1" ht="15" customHeight="1" x14ac:dyDescent="0.2">
      <c r="A128" s="112"/>
      <c r="C128" s="1" t="s">
        <v>267</v>
      </c>
      <c r="D128" s="5"/>
      <c r="E128" s="11"/>
      <c r="F128" s="45"/>
      <c r="G128" s="11"/>
      <c r="H128" s="11"/>
      <c r="I128" s="120"/>
      <c r="J128" s="11"/>
      <c r="K128" s="11"/>
    </row>
    <row r="129" spans="1:12" s="107" customFormat="1" ht="15" customHeight="1" x14ac:dyDescent="0.2">
      <c r="A129" s="112"/>
      <c r="C129" s="107" t="s">
        <v>266</v>
      </c>
      <c r="D129" s="5"/>
      <c r="E129" s="11"/>
      <c r="F129" s="121">
        <f>Invulsheet!S106</f>
        <v>0</v>
      </c>
      <c r="G129" s="11"/>
      <c r="H129" s="11"/>
      <c r="I129" s="39">
        <f>F129*I118</f>
        <v>0</v>
      </c>
      <c r="J129" s="5" t="s">
        <v>56</v>
      </c>
      <c r="K129" s="11"/>
    </row>
    <row r="130" spans="1:12" s="107" customFormat="1" ht="15" customHeight="1" x14ac:dyDescent="0.2">
      <c r="A130" s="112"/>
      <c r="C130" s="107" t="s">
        <v>93</v>
      </c>
      <c r="D130" s="5"/>
      <c r="E130" s="11"/>
      <c r="F130" s="41" t="str">
        <f>Invulsheet!R107</f>
        <v>Elektriciteit</v>
      </c>
      <c r="G130" s="11"/>
      <c r="H130" s="11"/>
      <c r="I130" s="120"/>
      <c r="J130" s="11"/>
      <c r="K130" s="11"/>
    </row>
    <row r="131" spans="1:12" s="107" customFormat="1" ht="15" customHeight="1" x14ac:dyDescent="0.2">
      <c r="A131" s="112"/>
      <c r="C131" s="107" t="s">
        <v>95</v>
      </c>
      <c r="D131" s="5"/>
      <c r="E131" s="11"/>
      <c r="F131" s="43">
        <f>Invulsheet!R108</f>
        <v>1</v>
      </c>
      <c r="G131" s="11"/>
      <c r="H131" s="11"/>
      <c r="I131" s="120"/>
      <c r="J131" s="11"/>
      <c r="K131" s="11"/>
    </row>
    <row r="132" spans="1:12" s="107" customFormat="1" ht="15" customHeight="1" x14ac:dyDescent="0.2">
      <c r="A132" s="112"/>
      <c r="C132" s="107" t="s">
        <v>154</v>
      </c>
      <c r="D132" s="5"/>
      <c r="E132" s="11"/>
      <c r="F132" s="41" t="str">
        <f>Invulsheet!R109</f>
        <v>Geen</v>
      </c>
      <c r="G132" s="11"/>
      <c r="H132" s="11"/>
      <c r="I132" s="39">
        <f>VLOOKUP(F132,Data!$E$20:$F$23,2,FALSE)*F129</f>
        <v>0</v>
      </c>
      <c r="J132" s="5" t="s">
        <v>56</v>
      </c>
      <c r="K132" s="11"/>
    </row>
    <row r="133" spans="1:12" s="107" customFormat="1" ht="15" customHeight="1" x14ac:dyDescent="0.2">
      <c r="A133" s="112"/>
      <c r="C133" s="107" t="s">
        <v>155</v>
      </c>
      <c r="D133" s="5" t="s">
        <v>56</v>
      </c>
      <c r="E133" s="11"/>
      <c r="F133" s="45"/>
      <c r="G133" s="11"/>
      <c r="H133" s="11"/>
      <c r="I133" s="39">
        <f>MAX(0, I129+I132)/F131</f>
        <v>0</v>
      </c>
      <c r="J133" s="5" t="s">
        <v>56</v>
      </c>
      <c r="K133" s="11"/>
    </row>
    <row r="134" spans="1:12" ht="15" customHeight="1" x14ac:dyDescent="0.2">
      <c r="F134" s="24"/>
    </row>
    <row r="135" spans="1:12" ht="15" customHeight="1" x14ac:dyDescent="0.2"/>
    <row r="136" spans="1:12" ht="24" customHeight="1" x14ac:dyDescent="0.3">
      <c r="C136" s="9" t="s">
        <v>96</v>
      </c>
      <c r="D136" s="23"/>
      <c r="E136" s="12"/>
      <c r="F136" s="12"/>
      <c r="G136" s="12"/>
      <c r="H136" s="12"/>
      <c r="I136" s="12"/>
      <c r="J136" s="12"/>
      <c r="K136" s="12"/>
    </row>
    <row r="137" spans="1:12" ht="15" customHeight="1" x14ac:dyDescent="0.2"/>
    <row r="138" spans="1:12" s="107" customFormat="1" ht="15" customHeight="1" x14ac:dyDescent="0.2">
      <c r="A138" s="112"/>
      <c r="C138" s="1" t="s">
        <v>265</v>
      </c>
      <c r="D138" s="5"/>
      <c r="E138" s="11"/>
      <c r="F138" s="11"/>
      <c r="G138" s="11"/>
      <c r="H138" s="11"/>
      <c r="I138" s="11"/>
      <c r="J138" s="11"/>
      <c r="K138" s="11"/>
    </row>
    <row r="139" spans="1:12" s="107" customFormat="1" ht="15" customHeight="1" x14ac:dyDescent="0.2">
      <c r="A139" s="112"/>
      <c r="C139" s="107" t="s">
        <v>266</v>
      </c>
      <c r="D139" s="5"/>
      <c r="E139" s="11"/>
      <c r="F139" s="121">
        <f>Invulsheet!R115</f>
        <v>1</v>
      </c>
      <c r="G139" s="11"/>
      <c r="H139" s="11"/>
      <c r="I139" s="38">
        <f>J208*F139/1000</f>
        <v>0</v>
      </c>
      <c r="J139" s="5" t="s">
        <v>56</v>
      </c>
      <c r="K139" s="11"/>
    </row>
    <row r="140" spans="1:12" ht="15" customHeight="1" x14ac:dyDescent="0.2">
      <c r="C140" s="3" t="s">
        <v>97</v>
      </c>
      <c r="F140" s="41">
        <f>Invulsheet!R116</f>
        <v>0</v>
      </c>
    </row>
    <row r="141" spans="1:12" ht="15" customHeight="1" x14ac:dyDescent="0.2">
      <c r="C141" s="3" t="s">
        <v>98</v>
      </c>
      <c r="F141" s="43">
        <f>Invulsheet!R117</f>
        <v>0</v>
      </c>
    </row>
    <row r="142" spans="1:12" s="107" customFormat="1" ht="15" customHeight="1" x14ac:dyDescent="0.2">
      <c r="A142" s="112"/>
      <c r="D142" s="5"/>
      <c r="E142" s="11"/>
      <c r="F142" s="11"/>
      <c r="G142" s="11"/>
      <c r="H142" s="11"/>
      <c r="I142" s="11"/>
      <c r="J142" s="5"/>
      <c r="K142" s="129"/>
      <c r="L142" s="231"/>
    </row>
    <row r="143" spans="1:12" s="107" customFormat="1" ht="15" customHeight="1" x14ac:dyDescent="0.2">
      <c r="A143" s="112"/>
      <c r="C143" s="107" t="s">
        <v>270</v>
      </c>
      <c r="D143" s="5" t="s">
        <v>56</v>
      </c>
      <c r="E143" s="11"/>
      <c r="F143" s="41">
        <f>Invulsheet!R119</f>
        <v>0</v>
      </c>
      <c r="G143" s="11"/>
      <c r="H143" s="11"/>
      <c r="I143" s="38">
        <f>-1*F143</f>
        <v>0</v>
      </c>
      <c r="J143" s="5" t="s">
        <v>56</v>
      </c>
      <c r="K143" s="129" t="str">
        <f>IF(I143+I139&lt;0,"Overproductie","")</f>
        <v/>
      </c>
      <c r="L143" s="129"/>
    </row>
    <row r="144" spans="1:12" s="107" customFormat="1" ht="15" customHeight="1" x14ac:dyDescent="0.2">
      <c r="A144" s="112"/>
      <c r="C144" s="107" t="s">
        <v>165</v>
      </c>
      <c r="D144" s="5" t="s">
        <v>56</v>
      </c>
      <c r="E144" s="11"/>
      <c r="F144" s="124"/>
      <c r="G144" s="11"/>
      <c r="H144" s="11"/>
      <c r="I144" s="38" t="e">
        <f>MAX(0,I143+I139)/F141</f>
        <v>#DIV/0!</v>
      </c>
      <c r="J144" s="5" t="s">
        <v>56</v>
      </c>
      <c r="K144" s="11"/>
    </row>
    <row r="145" spans="1:12" s="107" customFormat="1" ht="15" customHeight="1" x14ac:dyDescent="0.2">
      <c r="A145" s="112"/>
      <c r="D145" s="5"/>
      <c r="E145" s="11"/>
      <c r="F145" s="124"/>
      <c r="G145" s="11"/>
      <c r="H145" s="11"/>
      <c r="I145" s="11"/>
      <c r="J145" s="11"/>
      <c r="K145" s="11"/>
    </row>
    <row r="146" spans="1:12" s="107" customFormat="1" ht="15" customHeight="1" x14ac:dyDescent="0.2">
      <c r="A146" s="112"/>
      <c r="C146" s="1" t="s">
        <v>267</v>
      </c>
      <c r="D146" s="5"/>
      <c r="E146" s="11"/>
      <c r="F146" s="124"/>
      <c r="G146" s="11"/>
      <c r="H146" s="11"/>
      <c r="I146" s="11"/>
      <c r="J146" s="11"/>
      <c r="K146" s="11"/>
    </row>
    <row r="147" spans="1:12" s="107" customFormat="1" ht="15" customHeight="1" x14ac:dyDescent="0.2">
      <c r="A147" s="112"/>
      <c r="C147" s="107" t="s">
        <v>266</v>
      </c>
      <c r="D147" s="5"/>
      <c r="E147" s="11"/>
      <c r="F147" s="121">
        <f>Invulsheet!S122</f>
        <v>0</v>
      </c>
      <c r="G147" s="11"/>
      <c r="H147" s="11"/>
      <c r="I147" s="38">
        <f>J208*F147/1000</f>
        <v>0</v>
      </c>
      <c r="J147" s="5" t="s">
        <v>56</v>
      </c>
      <c r="K147" s="11"/>
    </row>
    <row r="148" spans="1:12" s="107" customFormat="1" ht="15" customHeight="1" x14ac:dyDescent="0.2">
      <c r="A148" s="112"/>
      <c r="C148" s="107" t="s">
        <v>97</v>
      </c>
      <c r="D148" s="5"/>
      <c r="E148" s="11"/>
      <c r="F148" s="41" t="str">
        <f>Invulsheet!R123</f>
        <v>Gas</v>
      </c>
      <c r="G148" s="11"/>
      <c r="H148" s="11"/>
      <c r="I148" s="11"/>
      <c r="J148" s="11"/>
      <c r="K148" s="11"/>
    </row>
    <row r="149" spans="1:12" s="107" customFormat="1" ht="15" customHeight="1" x14ac:dyDescent="0.2">
      <c r="A149" s="112"/>
      <c r="C149" s="107" t="s">
        <v>98</v>
      </c>
      <c r="D149" s="5"/>
      <c r="E149" s="11"/>
      <c r="F149" s="43">
        <f>Invulsheet!R124</f>
        <v>1</v>
      </c>
      <c r="G149" s="11"/>
      <c r="H149" s="11"/>
      <c r="I149" s="11"/>
      <c r="J149" s="11"/>
      <c r="K149" s="11"/>
    </row>
    <row r="150" spans="1:12" ht="15" customHeight="1" x14ac:dyDescent="0.2">
      <c r="C150" s="107" t="s">
        <v>269</v>
      </c>
      <c r="D150" s="5" t="s">
        <v>247</v>
      </c>
      <c r="F150" s="41">
        <f>Invulsheet!R125</f>
        <v>0</v>
      </c>
      <c r="I150" s="38">
        <f>F150*1.5*F147</f>
        <v>0</v>
      </c>
      <c r="J150" s="5" t="s">
        <v>48</v>
      </c>
      <c r="L150" s="231" t="s">
        <v>338</v>
      </c>
    </row>
    <row r="151" spans="1:12" s="107" customFormat="1" ht="15" customHeight="1" x14ac:dyDescent="0.2">
      <c r="A151" s="112"/>
      <c r="C151" s="107" t="s">
        <v>165</v>
      </c>
      <c r="D151" s="5" t="s">
        <v>56</v>
      </c>
      <c r="E151" s="11"/>
      <c r="F151" s="124"/>
      <c r="G151" s="11"/>
      <c r="H151" s="11"/>
      <c r="I151" s="38">
        <f>I147/F149</f>
        <v>0</v>
      </c>
      <c r="J151" s="5" t="s">
        <v>56</v>
      </c>
      <c r="K151" s="11"/>
    </row>
    <row r="152" spans="1:12" s="107" customFormat="1" ht="15" customHeight="1" x14ac:dyDescent="0.2">
      <c r="A152" s="112"/>
      <c r="D152" s="5"/>
      <c r="E152" s="11"/>
      <c r="F152" s="124"/>
      <c r="G152" s="11"/>
      <c r="H152" s="11"/>
      <c r="I152" s="11"/>
      <c r="J152" s="11"/>
      <c r="K152" s="11"/>
    </row>
    <row r="153" spans="1:12" ht="15" customHeight="1" x14ac:dyDescent="0.2"/>
    <row r="154" spans="1:12" ht="24" customHeight="1" x14ac:dyDescent="0.3">
      <c r="C154" s="9" t="s">
        <v>162</v>
      </c>
      <c r="D154" s="23"/>
      <c r="E154" s="12"/>
      <c r="F154" s="12"/>
      <c r="G154" s="12"/>
      <c r="H154" s="12"/>
      <c r="I154" s="12"/>
      <c r="J154" s="12"/>
      <c r="K154" s="12"/>
    </row>
    <row r="155" spans="1:12" ht="15" customHeight="1" x14ac:dyDescent="0.2"/>
    <row r="156" spans="1:12" ht="15" customHeight="1" x14ac:dyDescent="0.2">
      <c r="E156" s="79" t="s">
        <v>22</v>
      </c>
      <c r="F156" s="79" t="s">
        <v>104</v>
      </c>
      <c r="G156" s="79" t="s">
        <v>106</v>
      </c>
      <c r="H156" s="79"/>
      <c r="I156" s="79" t="s">
        <v>132</v>
      </c>
      <c r="J156" s="79"/>
      <c r="K156" s="79" t="s">
        <v>292</v>
      </c>
    </row>
    <row r="157" spans="1:12" ht="15" customHeight="1" x14ac:dyDescent="0.2">
      <c r="E157" s="79" t="s">
        <v>8</v>
      </c>
      <c r="F157" s="79" t="s">
        <v>105</v>
      </c>
      <c r="G157" s="79" t="s">
        <v>107</v>
      </c>
      <c r="H157" s="79"/>
      <c r="I157" s="79" t="s">
        <v>59</v>
      </c>
      <c r="J157" s="79"/>
      <c r="K157" s="79" t="s">
        <v>49</v>
      </c>
    </row>
    <row r="158" spans="1:12" ht="15" customHeight="1" x14ac:dyDescent="0.2"/>
    <row r="159" spans="1:12" ht="15" customHeight="1" x14ac:dyDescent="0.2">
      <c r="C159" s="3" t="s">
        <v>100</v>
      </c>
      <c r="E159" s="43">
        <f>Invulsheet!Q132</f>
        <v>0</v>
      </c>
      <c r="F159" s="43">
        <f>Invulsheet!R132</f>
        <v>0</v>
      </c>
      <c r="G159" s="43">
        <f>Invulsheet!S132</f>
        <v>0</v>
      </c>
      <c r="H159" s="24"/>
      <c r="I159" s="46">
        <f>50+(100-G159)/2</f>
        <v>100</v>
      </c>
      <c r="J159" s="46"/>
      <c r="K159" s="46"/>
    </row>
    <row r="160" spans="1:12" ht="15" customHeight="1" x14ac:dyDescent="0.2">
      <c r="C160" s="3" t="s">
        <v>101</v>
      </c>
      <c r="E160" s="43">
        <f>Invulsheet!Q133</f>
        <v>0</v>
      </c>
      <c r="F160" s="43">
        <f>Invulsheet!R133</f>
        <v>0</v>
      </c>
      <c r="G160" s="43">
        <f>Invulsheet!S133</f>
        <v>0</v>
      </c>
      <c r="H160" s="24"/>
      <c r="I160" s="46">
        <f>70+(100-G160)*3/10</f>
        <v>100</v>
      </c>
      <c r="J160" s="46"/>
      <c r="K160" s="46"/>
    </row>
    <row r="161" spans="3:11" ht="15" customHeight="1" x14ac:dyDescent="0.2">
      <c r="C161" s="3" t="s">
        <v>102</v>
      </c>
      <c r="E161" s="43">
        <f>Invulsheet!Q134</f>
        <v>0</v>
      </c>
      <c r="F161" s="43">
        <f>Invulsheet!R134</f>
        <v>0</v>
      </c>
      <c r="G161" s="43">
        <f>Invulsheet!S134</f>
        <v>0</v>
      </c>
      <c r="H161" s="24"/>
      <c r="I161" s="46">
        <v>100</v>
      </c>
      <c r="J161" s="46"/>
      <c r="K161" s="46"/>
    </row>
    <row r="162" spans="3:11" ht="15" customHeight="1" x14ac:dyDescent="0.2">
      <c r="C162" s="3" t="s">
        <v>103</v>
      </c>
      <c r="E162" s="43">
        <f>Invulsheet!Q135</f>
        <v>0</v>
      </c>
      <c r="F162" s="43">
        <f>Invulsheet!R135</f>
        <v>0</v>
      </c>
      <c r="G162" s="43">
        <f>Invulsheet!S135</f>
        <v>0</v>
      </c>
      <c r="H162" s="24"/>
      <c r="I162" s="46">
        <f>70+(100-G162)*3/10</f>
        <v>100</v>
      </c>
      <c r="J162" s="46"/>
      <c r="K162" s="46"/>
    </row>
    <row r="163" spans="3:11" ht="15" customHeight="1" x14ac:dyDescent="0.2">
      <c r="E163" s="45"/>
      <c r="F163" s="45"/>
      <c r="G163" s="45"/>
      <c r="H163" s="24"/>
      <c r="I163" s="47"/>
      <c r="J163" s="47"/>
      <c r="K163" s="47"/>
    </row>
    <row r="164" spans="3:11" ht="15" customHeight="1" x14ac:dyDescent="0.2">
      <c r="C164" s="3" t="s">
        <v>33</v>
      </c>
      <c r="D164" s="5" t="s">
        <v>49</v>
      </c>
      <c r="E164" s="45"/>
      <c r="F164" s="45"/>
      <c r="G164" s="45"/>
      <c r="H164" s="24"/>
      <c r="I164" s="47"/>
      <c r="J164" s="47"/>
      <c r="K164" s="46">
        <f>Z241</f>
        <v>0</v>
      </c>
    </row>
    <row r="165" spans="3:11" ht="15" customHeight="1" x14ac:dyDescent="0.2"/>
    <row r="166" spans="3:11" ht="15" customHeight="1" x14ac:dyDescent="0.2"/>
    <row r="167" spans="3:11" ht="24" customHeight="1" x14ac:dyDescent="0.3">
      <c r="C167" s="9" t="s">
        <v>200</v>
      </c>
      <c r="D167" s="23"/>
      <c r="E167" s="12"/>
      <c r="F167" s="12"/>
      <c r="G167" s="12"/>
      <c r="H167" s="12"/>
      <c r="I167" s="12"/>
      <c r="J167" s="12"/>
      <c r="K167" s="12"/>
    </row>
    <row r="168" spans="3:11" ht="15" customHeight="1" x14ac:dyDescent="0.2"/>
    <row r="169" spans="3:11" ht="15" customHeight="1" x14ac:dyDescent="0.2">
      <c r="C169" s="3" t="s">
        <v>194</v>
      </c>
      <c r="F169" s="41">
        <f>Invulsheet!R140</f>
        <v>0</v>
      </c>
    </row>
    <row r="170" spans="3:11" ht="15" customHeight="1" x14ac:dyDescent="0.2">
      <c r="C170" s="3" t="s">
        <v>195</v>
      </c>
      <c r="F170" s="41">
        <f>Invulsheet!R141</f>
        <v>0</v>
      </c>
      <c r="J170" s="11" t="s">
        <v>94</v>
      </c>
      <c r="K170" s="11" t="s">
        <v>117</v>
      </c>
    </row>
    <row r="171" spans="3:11" ht="15" customHeight="1" x14ac:dyDescent="0.2">
      <c r="I171" s="11" t="s">
        <v>204</v>
      </c>
      <c r="J171" s="11" t="s">
        <v>206</v>
      </c>
      <c r="K171" s="11" t="s">
        <v>205</v>
      </c>
    </row>
    <row r="172" spans="3:11" ht="15" customHeight="1" x14ac:dyDescent="0.2">
      <c r="C172" s="3" t="s">
        <v>157</v>
      </c>
      <c r="I172" s="46" t="e">
        <f>VLOOKUP(F169,Data!B9:C11,2,FALSE)</f>
        <v>#N/A</v>
      </c>
      <c r="J172" s="46">
        <f>IF(F170="Gas",I172/35.17/Data!B15,0)</f>
        <v>0</v>
      </c>
      <c r="K172" s="46" t="e">
        <f>IF(F170&lt;&gt;"Gas",I172/3.6/Data!C15,0)</f>
        <v>#N/A</v>
      </c>
    </row>
    <row r="173" spans="3:11" ht="15" customHeight="1" x14ac:dyDescent="0.2"/>
    <row r="174" spans="3:11" ht="15" customHeight="1" x14ac:dyDescent="0.2"/>
    <row r="175" spans="3:11" ht="24" customHeight="1" x14ac:dyDescent="0.3">
      <c r="C175" s="9" t="s">
        <v>201</v>
      </c>
      <c r="D175" s="23"/>
      <c r="E175" s="12"/>
      <c r="F175" s="12"/>
      <c r="G175" s="12"/>
      <c r="H175" s="12"/>
      <c r="I175" s="12"/>
      <c r="J175" s="12"/>
      <c r="K175" s="12"/>
    </row>
    <row r="176" spans="3:11" ht="15" customHeight="1" x14ac:dyDescent="0.2"/>
    <row r="177" spans="3:11" ht="15" customHeight="1" x14ac:dyDescent="0.2">
      <c r="I177" s="11" t="s">
        <v>157</v>
      </c>
      <c r="J177" s="11" t="s">
        <v>157</v>
      </c>
      <c r="K177" s="11" t="s">
        <v>159</v>
      </c>
    </row>
    <row r="178" spans="3:11" ht="15" customHeight="1" x14ac:dyDescent="0.2">
      <c r="I178" s="11" t="s">
        <v>156</v>
      </c>
      <c r="J178" s="11" t="s">
        <v>48</v>
      </c>
      <c r="K178" s="11" t="s">
        <v>48</v>
      </c>
    </row>
    <row r="179" spans="3:11" ht="15" customHeight="1" x14ac:dyDescent="0.2"/>
    <row r="180" spans="3:11" ht="15" customHeight="1" x14ac:dyDescent="0.2">
      <c r="C180" s="3" t="s">
        <v>111</v>
      </c>
      <c r="D180" s="5" t="s">
        <v>112</v>
      </c>
      <c r="F180" s="43">
        <f>Invulsheet!R146</f>
        <v>0</v>
      </c>
      <c r="I180" s="7">
        <f>1.39</f>
        <v>1.39</v>
      </c>
      <c r="J180" s="46">
        <f>I180*F180*52</f>
        <v>0</v>
      </c>
      <c r="K180" s="46">
        <f>J180*0.2</f>
        <v>0</v>
      </c>
    </row>
    <row r="181" spans="3:11" ht="15" customHeight="1" x14ac:dyDescent="0.2">
      <c r="C181" s="3" t="s">
        <v>113</v>
      </c>
      <c r="D181" s="5" t="s">
        <v>112</v>
      </c>
      <c r="F181" s="43">
        <f>Invulsheet!R147</f>
        <v>0</v>
      </c>
      <c r="I181" s="2">
        <v>1.1000000000000001</v>
      </c>
      <c r="J181" s="46">
        <f>I181*F181*52</f>
        <v>0</v>
      </c>
      <c r="K181" s="46">
        <v>0</v>
      </c>
    </row>
    <row r="182" spans="3:11" ht="15" customHeight="1" x14ac:dyDescent="0.2">
      <c r="C182" s="3" t="s">
        <v>114</v>
      </c>
      <c r="D182" s="5" t="s">
        <v>112</v>
      </c>
      <c r="F182" s="43">
        <f>Invulsheet!R148</f>
        <v>0</v>
      </c>
      <c r="I182" s="7">
        <f>2.85</f>
        <v>2.85</v>
      </c>
      <c r="J182" s="46">
        <f>I182*F182*52</f>
        <v>0</v>
      </c>
      <c r="K182" s="46">
        <f>J182*0.2</f>
        <v>0</v>
      </c>
    </row>
    <row r="183" spans="3:11" ht="15" customHeight="1" x14ac:dyDescent="0.2">
      <c r="C183" s="107" t="s">
        <v>313</v>
      </c>
      <c r="D183" s="5" t="s">
        <v>48</v>
      </c>
      <c r="F183" s="41">
        <f>Invulsheet!R152</f>
        <v>0</v>
      </c>
      <c r="J183" s="46">
        <f>F183</f>
        <v>0</v>
      </c>
      <c r="K183" s="46">
        <f>J183</f>
        <v>0</v>
      </c>
    </row>
    <row r="184" spans="3:11" ht="15" customHeight="1" x14ac:dyDescent="0.2">
      <c r="C184" s="3" t="s">
        <v>115</v>
      </c>
      <c r="D184" s="5" t="s">
        <v>48</v>
      </c>
      <c r="F184" s="41">
        <f>Invulsheet!R150</f>
        <v>0</v>
      </c>
      <c r="J184" s="46">
        <f>F184</f>
        <v>0</v>
      </c>
      <c r="K184" s="46">
        <f>F184</f>
        <v>0</v>
      </c>
    </row>
    <row r="185" spans="3:11" ht="15" customHeight="1" x14ac:dyDescent="0.2">
      <c r="C185" s="3" t="s">
        <v>32</v>
      </c>
      <c r="D185" s="5" t="s">
        <v>48</v>
      </c>
      <c r="F185" s="41">
        <f>Invulsheet!S166</f>
        <v>0</v>
      </c>
      <c r="J185" s="46">
        <f>F185</f>
        <v>0</v>
      </c>
      <c r="K185" s="46">
        <f>F185</f>
        <v>0</v>
      </c>
    </row>
    <row r="186" spans="3:11" ht="15" customHeight="1" x14ac:dyDescent="0.2"/>
    <row r="187" spans="3:11" ht="15" customHeight="1" x14ac:dyDescent="0.2">
      <c r="C187" s="3" t="s">
        <v>33</v>
      </c>
      <c r="J187" s="46">
        <f>SUM(J180:J185)</f>
        <v>0</v>
      </c>
      <c r="K187" s="46">
        <f>SUM(K180:K185)</f>
        <v>0</v>
      </c>
    </row>
    <row r="188" spans="3:11" ht="15" customHeight="1" x14ac:dyDescent="0.2"/>
    <row r="189" spans="3:11" ht="15" customHeight="1" x14ac:dyDescent="0.2"/>
    <row r="190" spans="3:11" ht="24" customHeight="1" x14ac:dyDescent="0.3">
      <c r="C190" s="9" t="s">
        <v>202</v>
      </c>
      <c r="D190" s="23"/>
      <c r="E190" s="12"/>
      <c r="F190" s="12"/>
      <c r="G190" s="12"/>
      <c r="H190" s="12"/>
      <c r="I190" s="12"/>
      <c r="J190" s="12"/>
      <c r="K190" s="12"/>
    </row>
    <row r="191" spans="3:11" ht="15" customHeight="1" x14ac:dyDescent="0.2"/>
    <row r="192" spans="3:11" ht="15" customHeight="1" x14ac:dyDescent="0.2">
      <c r="C192" s="3" t="s">
        <v>160</v>
      </c>
      <c r="D192" s="5" t="s">
        <v>288</v>
      </c>
      <c r="J192" s="46">
        <f>F25*0.1*F26/100*30.4*24</f>
        <v>0</v>
      </c>
    </row>
    <row r="193" spans="1:11" ht="15" customHeight="1" x14ac:dyDescent="0.2">
      <c r="C193" s="3" t="s">
        <v>161</v>
      </c>
      <c r="D193" s="5" t="s">
        <v>288</v>
      </c>
      <c r="J193" s="46">
        <f>K187/12</f>
        <v>0</v>
      </c>
    </row>
    <row r="194" spans="1:11" s="107" customFormat="1" ht="15" customHeight="1" x14ac:dyDescent="0.2">
      <c r="A194" s="112"/>
      <c r="D194" s="5"/>
      <c r="E194" s="11"/>
      <c r="F194" s="11"/>
      <c r="G194" s="11"/>
      <c r="H194" s="11"/>
      <c r="I194" s="11"/>
      <c r="J194" s="11"/>
      <c r="K194" s="11"/>
    </row>
    <row r="195" spans="1:11" s="107" customFormat="1" ht="15" customHeight="1" x14ac:dyDescent="0.2">
      <c r="A195" s="112"/>
      <c r="C195" s="107" t="s">
        <v>271</v>
      </c>
      <c r="D195" s="5" t="s">
        <v>288</v>
      </c>
      <c r="E195" s="11"/>
      <c r="F195" s="11"/>
      <c r="G195" s="11"/>
      <c r="H195" s="11"/>
      <c r="I195" s="11"/>
      <c r="J195" s="46">
        <f>J88/12</f>
        <v>0</v>
      </c>
      <c r="K195" s="11"/>
    </row>
    <row r="196" spans="1:11" ht="15" customHeight="1" x14ac:dyDescent="0.2"/>
    <row r="197" spans="1:11" ht="15" customHeight="1" x14ac:dyDescent="0.2">
      <c r="C197" s="3" t="s">
        <v>308</v>
      </c>
      <c r="D197" s="5" t="s">
        <v>289</v>
      </c>
      <c r="J197" s="46">
        <f>SUM(J192:J195)*3.6</f>
        <v>0</v>
      </c>
    </row>
    <row r="198" spans="1:11" s="107" customFormat="1" ht="15" customHeight="1" x14ac:dyDescent="0.2">
      <c r="A198" s="112"/>
      <c r="C198" s="107" t="s">
        <v>309</v>
      </c>
      <c r="D198" s="176" t="s">
        <v>49</v>
      </c>
      <c r="E198" s="11"/>
      <c r="F198" s="11"/>
      <c r="G198" s="11"/>
      <c r="H198" s="11"/>
      <c r="I198" s="11"/>
      <c r="J198" s="46">
        <f>AA241</f>
        <v>0</v>
      </c>
      <c r="K198" s="11"/>
    </row>
    <row r="199" spans="1:11" ht="15" customHeight="1" x14ac:dyDescent="0.2"/>
    <row r="200" spans="1:11" ht="15" customHeight="1" x14ac:dyDescent="0.2"/>
    <row r="201" spans="1:11" ht="24" customHeight="1" x14ac:dyDescent="0.3">
      <c r="C201" s="9" t="s">
        <v>203</v>
      </c>
      <c r="D201" s="23"/>
      <c r="E201" s="12"/>
      <c r="F201" s="12"/>
      <c r="G201" s="12"/>
      <c r="H201" s="12"/>
      <c r="I201" s="12"/>
      <c r="J201" s="12"/>
      <c r="K201" s="12"/>
    </row>
    <row r="202" spans="1:11" ht="15" customHeight="1" x14ac:dyDescent="0.2"/>
    <row r="203" spans="1:11" ht="15" customHeight="1" x14ac:dyDescent="0.2">
      <c r="C203" s="3" t="s">
        <v>36</v>
      </c>
      <c r="D203" s="5" t="s">
        <v>49</v>
      </c>
      <c r="J203" s="46">
        <f>-AD241</f>
        <v>0</v>
      </c>
    </row>
    <row r="204" spans="1:11" ht="15" customHeight="1" x14ac:dyDescent="0.2">
      <c r="C204" s="3" t="s">
        <v>21</v>
      </c>
      <c r="D204" s="5" t="s">
        <v>49</v>
      </c>
      <c r="J204" s="46">
        <f>-AC241</f>
        <v>0</v>
      </c>
    </row>
    <row r="205" spans="1:11" ht="15" customHeight="1" x14ac:dyDescent="0.2">
      <c r="C205" s="3" t="s">
        <v>35</v>
      </c>
      <c r="D205" s="5" t="s">
        <v>49</v>
      </c>
      <c r="J205" s="46">
        <f>-K164</f>
        <v>0</v>
      </c>
    </row>
    <row r="206" spans="1:11" ht="15" customHeight="1" x14ac:dyDescent="0.2">
      <c r="C206" s="3" t="s">
        <v>47</v>
      </c>
      <c r="D206" s="5" t="s">
        <v>49</v>
      </c>
      <c r="J206" s="46">
        <f>-J198</f>
        <v>0</v>
      </c>
    </row>
    <row r="207" spans="1:11" ht="15" customHeight="1" x14ac:dyDescent="0.2"/>
    <row r="208" spans="1:11" ht="15" customHeight="1" x14ac:dyDescent="0.2">
      <c r="C208" s="3" t="s">
        <v>164</v>
      </c>
      <c r="D208" s="5" t="s">
        <v>49</v>
      </c>
      <c r="J208" s="46">
        <f>MAX(0, SUM(J203:J206))</f>
        <v>0</v>
      </c>
    </row>
    <row r="209" spans="1:11" ht="15" customHeight="1" x14ac:dyDescent="0.2">
      <c r="C209" s="3" t="s">
        <v>165</v>
      </c>
      <c r="D209" s="5" t="s">
        <v>49</v>
      </c>
      <c r="J209" s="46" t="e">
        <f>(I151+I144)*1000</f>
        <v>#DIV/0!</v>
      </c>
    </row>
    <row r="210" spans="1:11" ht="15" customHeight="1" x14ac:dyDescent="0.2"/>
    <row r="211" spans="1:11" ht="15" customHeight="1" x14ac:dyDescent="0.2"/>
    <row r="212" spans="1:11" s="107" customFormat="1" ht="24" customHeight="1" x14ac:dyDescent="0.3">
      <c r="A212" s="112"/>
      <c r="C212" s="9" t="s">
        <v>272</v>
      </c>
      <c r="D212" s="23"/>
      <c r="E212" s="12"/>
      <c r="F212" s="12"/>
      <c r="G212" s="12"/>
      <c r="H212" s="12"/>
      <c r="I212" s="12"/>
      <c r="J212" s="12"/>
      <c r="K212" s="12"/>
    </row>
    <row r="213" spans="1:11" s="107" customFormat="1" ht="15" customHeight="1" x14ac:dyDescent="0.2">
      <c r="A213" s="112"/>
      <c r="D213" s="5"/>
      <c r="E213" s="11"/>
      <c r="F213" s="11"/>
      <c r="G213" s="11"/>
      <c r="H213" s="11"/>
      <c r="I213" s="11"/>
      <c r="J213" s="11"/>
      <c r="K213" s="11"/>
    </row>
    <row r="214" spans="1:11" ht="15" customHeight="1" x14ac:dyDescent="0.2">
      <c r="C214" s="107" t="s">
        <v>233</v>
      </c>
      <c r="D214" s="5" t="s">
        <v>236</v>
      </c>
      <c r="F214" s="41">
        <f>Invulsheet!R172</f>
        <v>7</v>
      </c>
    </row>
    <row r="215" spans="1:11" ht="15" customHeight="1" x14ac:dyDescent="0.2">
      <c r="C215" s="107" t="s">
        <v>234</v>
      </c>
      <c r="D215" s="5" t="s">
        <v>235</v>
      </c>
      <c r="F215" s="41">
        <f>Invulsheet!R173</f>
        <v>225</v>
      </c>
    </row>
    <row r="216" spans="1:11" ht="15" customHeight="1" x14ac:dyDescent="0.2">
      <c r="C216" s="107" t="s">
        <v>237</v>
      </c>
      <c r="F216" s="41" t="str">
        <f>Invulsheet!R174</f>
        <v>West</v>
      </c>
      <c r="J216" s="38">
        <f>IFERROR(VLOOKUP(F216,Data!F33:H37,2,FALSE),0)</f>
        <v>0.8</v>
      </c>
    </row>
    <row r="217" spans="1:11" ht="15" customHeight="1" x14ac:dyDescent="0.2">
      <c r="C217" s="107" t="s">
        <v>238</v>
      </c>
      <c r="D217" s="5" t="s">
        <v>243</v>
      </c>
      <c r="F217" s="41">
        <f>Invulsheet!R175</f>
        <v>40</v>
      </c>
      <c r="J217" s="38">
        <f>VLOOKUP(F217,Data!I33:J51,2,FALSE)</f>
        <v>0.99099099099099097</v>
      </c>
    </row>
    <row r="218" spans="1:11" ht="15" customHeight="1" x14ac:dyDescent="0.2">
      <c r="C218" s="190" t="s">
        <v>310</v>
      </c>
      <c r="F218" s="41">
        <f>Invulsheet!R176</f>
        <v>0</v>
      </c>
    </row>
    <row r="219" spans="1:11" ht="15" customHeight="1" x14ac:dyDescent="0.2">
      <c r="C219" s="107" t="s">
        <v>244</v>
      </c>
      <c r="D219" s="5" t="s">
        <v>48</v>
      </c>
      <c r="J219" s="46">
        <f>F214*F215*J216*J217*(1-F218)</f>
        <v>1248.6486486486485</v>
      </c>
    </row>
    <row r="220" spans="1:11" ht="15" customHeight="1" x14ac:dyDescent="0.2"/>
    <row r="221" spans="1:11" ht="15" customHeight="1" x14ac:dyDescent="0.2"/>
    <row r="222" spans="1:11" ht="15" customHeight="1" x14ac:dyDescent="0.2"/>
    <row r="223" spans="1:11" ht="15" customHeight="1" x14ac:dyDescent="0.2"/>
    <row r="224" spans="1:11" ht="24" customHeight="1" x14ac:dyDescent="0.3">
      <c r="C224" s="9" t="s">
        <v>287</v>
      </c>
      <c r="D224" s="23"/>
      <c r="E224" s="12"/>
      <c r="F224" s="12"/>
      <c r="G224" s="12"/>
      <c r="H224" s="12"/>
      <c r="I224" s="12"/>
      <c r="J224" s="12"/>
      <c r="K224" s="12"/>
    </row>
    <row r="225" spans="1:36" s="107" customFormat="1" ht="15" customHeight="1" x14ac:dyDescent="0.2">
      <c r="A225" s="112"/>
      <c r="D225" s="5"/>
      <c r="E225" s="11"/>
      <c r="F225" s="11"/>
      <c r="G225" s="11"/>
      <c r="H225" s="11"/>
      <c r="I225" s="11"/>
      <c r="J225" s="11"/>
      <c r="K225" s="11"/>
    </row>
    <row r="226" spans="1:36" s="107" customFormat="1" ht="15" customHeight="1" x14ac:dyDescent="0.2">
      <c r="A226" s="112"/>
      <c r="D226" s="176"/>
      <c r="E226" s="11"/>
      <c r="F226" s="11"/>
      <c r="G226" s="11"/>
      <c r="H226" s="11"/>
      <c r="I226" s="11"/>
      <c r="J226" s="11"/>
      <c r="K226" s="11"/>
      <c r="R226" s="277" t="s">
        <v>302</v>
      </c>
      <c r="S226" s="277"/>
      <c r="T226" s="277"/>
      <c r="U226" s="277"/>
      <c r="V226" s="277"/>
      <c r="W226" s="277"/>
      <c r="X226" s="277"/>
      <c r="Z226" s="278" t="s">
        <v>303</v>
      </c>
      <c r="AA226" s="278"/>
    </row>
    <row r="227" spans="1:36" s="179" customFormat="1" ht="21" customHeight="1" x14ac:dyDescent="0.2">
      <c r="A227" s="178"/>
      <c r="C227" s="179" t="s">
        <v>293</v>
      </c>
      <c r="D227" s="173"/>
      <c r="Q227" s="180" t="s">
        <v>137</v>
      </c>
      <c r="R227" s="180" t="s">
        <v>1</v>
      </c>
      <c r="S227" s="180" t="s">
        <v>2</v>
      </c>
      <c r="T227" s="180" t="s">
        <v>3</v>
      </c>
      <c r="U227" s="180" t="s">
        <v>4</v>
      </c>
      <c r="V227" s="181" t="s">
        <v>158</v>
      </c>
      <c r="W227" s="11" t="s">
        <v>295</v>
      </c>
      <c r="X227" s="181" t="s">
        <v>296</v>
      </c>
      <c r="Z227" s="181" t="s">
        <v>304</v>
      </c>
      <c r="AA227" s="181" t="s">
        <v>295</v>
      </c>
      <c r="AB227" s="181"/>
      <c r="AC227" s="181" t="s">
        <v>297</v>
      </c>
      <c r="AD227" s="181" t="s">
        <v>298</v>
      </c>
      <c r="AE227" s="181" t="s">
        <v>299</v>
      </c>
      <c r="AF227" s="181"/>
      <c r="AG227" s="181" t="s">
        <v>300</v>
      </c>
      <c r="AH227" s="181" t="s">
        <v>301</v>
      </c>
      <c r="AJ227" s="182" t="s">
        <v>33</v>
      </c>
    </row>
    <row r="228" spans="1:36" ht="15" customHeight="1" x14ac:dyDescent="0.2">
      <c r="Q228" s="169">
        <f>Data!J4</f>
        <v>6</v>
      </c>
      <c r="R228" s="183">
        <f>$E$159*$F$159*$I$159/100*Data!L4</f>
        <v>0</v>
      </c>
      <c r="S228" s="183">
        <f>$E$160*$F$160*$I$160/100*Data!M4</f>
        <v>0</v>
      </c>
      <c r="T228" s="183">
        <f>$E$161*$F$161*$I$161/100*Data!N4</f>
        <v>0</v>
      </c>
      <c r="U228" s="183">
        <f>$E$162*$F$162*$I$162/100*Data!O4</f>
        <v>0</v>
      </c>
      <c r="V228" s="183">
        <f t="shared" ref="V228:V234" si="12">SUM(R228:U228)</f>
        <v>0</v>
      </c>
      <c r="W228" s="183">
        <f>$J$197</f>
        <v>0</v>
      </c>
      <c r="X228" s="183">
        <f>SUM(V228:W228)</f>
        <v>0</v>
      </c>
      <c r="Y228" s="27"/>
      <c r="Z228" s="183" t="e">
        <f>V228*AH228</f>
        <v>#DIV/0!</v>
      </c>
      <c r="AA228" s="183" t="e">
        <f>W228*AH228</f>
        <v>#DIV/0!</v>
      </c>
      <c r="AB228" s="27"/>
      <c r="AC228" s="183">
        <f>$K$67*(Data!$K4-$J$23)*30.5*86400/1000000</f>
        <v>0</v>
      </c>
      <c r="AD228" s="183" t="e">
        <f>$J$85*(Data!$K4-$J$23)*30.5*86400/1000000</f>
        <v>#DIV/0!</v>
      </c>
      <c r="AE228" s="183" t="e">
        <f>IF(-1*SUM(AC228:AD228) &lt; 1,1,-1*SUM(AC228:AD228) )</f>
        <v>#DIV/0!</v>
      </c>
      <c r="AF228" s="27"/>
      <c r="AG228" s="184" t="e">
        <f t="shared" ref="AG228:AG239" si="13">X228/AE228</f>
        <v>#DIV/0!</v>
      </c>
      <c r="AH228" s="184" t="e">
        <f>VLOOKUP(AG228,Data!$B$35:$C$55,2)</f>
        <v>#DIV/0!</v>
      </c>
      <c r="AJ228" s="174" t="e">
        <f>SUM(Z228,AA228,AC228,AD228)</f>
        <v>#DIV/0!</v>
      </c>
    </row>
    <row r="229" spans="1:36" ht="15" customHeight="1" x14ac:dyDescent="0.2">
      <c r="Q229" s="169">
        <f>Data!J5</f>
        <v>7</v>
      </c>
      <c r="R229" s="183">
        <f>$E$159*$F$159*$I$159/100*Data!L5</f>
        <v>0</v>
      </c>
      <c r="S229" s="183">
        <f>$E$160*$F$160*$I$160/100*Data!M5</f>
        <v>0</v>
      </c>
      <c r="T229" s="183">
        <f>$E$161*$F$161*$I$161/100*Data!N5</f>
        <v>0</v>
      </c>
      <c r="U229" s="183">
        <f>$E$162*$F$162*$I$162/100*Data!O5</f>
        <v>0</v>
      </c>
      <c r="V229" s="183">
        <f t="shared" si="12"/>
        <v>0</v>
      </c>
      <c r="W229" s="183">
        <f t="shared" ref="W229:W239" si="14">$J$197</f>
        <v>0</v>
      </c>
      <c r="X229" s="183">
        <f t="shared" ref="X229:X239" si="15">SUM(V229:W229)</f>
        <v>0</v>
      </c>
      <c r="Y229" s="27"/>
      <c r="Z229" s="183" t="e">
        <f t="shared" ref="Z229:Z239" si="16">V229*AH229</f>
        <v>#DIV/0!</v>
      </c>
      <c r="AA229" s="183" t="e">
        <f t="shared" ref="AA229:AA239" si="17">W229*AH229</f>
        <v>#DIV/0!</v>
      </c>
      <c r="AB229" s="27"/>
      <c r="AC229" s="183">
        <f>$K$67*(Data!$K5-$J$23)*30.5*86400/1000000</f>
        <v>0</v>
      </c>
      <c r="AD229" s="183" t="e">
        <f>$J$85*(Data!$K5-$J$23)*30.5*86400/1000000</f>
        <v>#DIV/0!</v>
      </c>
      <c r="AE229" s="183" t="e">
        <f t="shared" ref="AE229:AE239" si="18">IF(-1*SUM(AC229:AD229) &lt; 1,1,-1*SUM(AC229:AD229) )</f>
        <v>#DIV/0!</v>
      </c>
      <c r="AF229" s="27"/>
      <c r="AG229" s="184" t="e">
        <f t="shared" si="13"/>
        <v>#DIV/0!</v>
      </c>
      <c r="AH229" s="184" t="e">
        <f>VLOOKUP(AG229,Data!$B$35:$C$55,2)</f>
        <v>#DIV/0!</v>
      </c>
      <c r="AJ229" s="174" t="e">
        <f t="shared" ref="AJ229:AJ239" si="19">SUM(Z229,AA229,AC229,AD229)</f>
        <v>#DIV/0!</v>
      </c>
    </row>
    <row r="230" spans="1:36" ht="15" customHeight="1" x14ac:dyDescent="0.2">
      <c r="Q230" s="169">
        <f>Data!J6</f>
        <v>8</v>
      </c>
      <c r="R230" s="183">
        <f>$E$159*$F$159*$I$159/100*Data!L6</f>
        <v>0</v>
      </c>
      <c r="S230" s="183">
        <f>$E$160*$F$160*$I$160/100*Data!M6</f>
        <v>0</v>
      </c>
      <c r="T230" s="183">
        <f>$E$161*$F$161*$I$161/100*Data!N6</f>
        <v>0</v>
      </c>
      <c r="U230" s="183">
        <f>$E$162*$F$162*$I$162/100*Data!O6</f>
        <v>0</v>
      </c>
      <c r="V230" s="183">
        <f t="shared" si="12"/>
        <v>0</v>
      </c>
      <c r="W230" s="183">
        <f t="shared" si="14"/>
        <v>0</v>
      </c>
      <c r="X230" s="183">
        <f t="shared" si="15"/>
        <v>0</v>
      </c>
      <c r="Y230" s="27"/>
      <c r="Z230" s="183" t="e">
        <f t="shared" si="16"/>
        <v>#DIV/0!</v>
      </c>
      <c r="AA230" s="183" t="e">
        <f t="shared" si="17"/>
        <v>#DIV/0!</v>
      </c>
      <c r="AB230" s="27"/>
      <c r="AC230" s="183">
        <f>$K$67*(Data!$K6-$J$23)*30.5*86400/1000000</f>
        <v>0</v>
      </c>
      <c r="AD230" s="183" t="e">
        <f>$J$85*(Data!$K6-$J$23)*30.5*86400/1000000</f>
        <v>#DIV/0!</v>
      </c>
      <c r="AE230" s="183" t="e">
        <f t="shared" si="18"/>
        <v>#DIV/0!</v>
      </c>
      <c r="AF230" s="27"/>
      <c r="AG230" s="184" t="e">
        <f t="shared" si="13"/>
        <v>#DIV/0!</v>
      </c>
      <c r="AH230" s="184" t="e">
        <f>VLOOKUP(AG230,Data!$B$35:$C$55,2)</f>
        <v>#DIV/0!</v>
      </c>
      <c r="AJ230" s="174" t="e">
        <f t="shared" si="19"/>
        <v>#DIV/0!</v>
      </c>
    </row>
    <row r="231" spans="1:36" ht="15" customHeight="1" x14ac:dyDescent="0.2">
      <c r="Q231" s="169">
        <f>Data!J7</f>
        <v>9</v>
      </c>
      <c r="R231" s="183">
        <f>$E$159*$F$159*$I$159/100*Data!L7</f>
        <v>0</v>
      </c>
      <c r="S231" s="183">
        <f>$E$160*$F$160*$I$160/100*Data!M7</f>
        <v>0</v>
      </c>
      <c r="T231" s="183">
        <f>$E$161*$F$161*$I$161/100*Data!N7</f>
        <v>0</v>
      </c>
      <c r="U231" s="183">
        <f>$E$162*$F$162*$I$162/100*Data!O7</f>
        <v>0</v>
      </c>
      <c r="V231" s="183">
        <f t="shared" si="12"/>
        <v>0</v>
      </c>
      <c r="W231" s="183">
        <f t="shared" si="14"/>
        <v>0</v>
      </c>
      <c r="X231" s="183">
        <f t="shared" si="15"/>
        <v>0</v>
      </c>
      <c r="Y231" s="27"/>
      <c r="Z231" s="183" t="e">
        <f t="shared" si="16"/>
        <v>#DIV/0!</v>
      </c>
      <c r="AA231" s="183" t="e">
        <f t="shared" si="17"/>
        <v>#DIV/0!</v>
      </c>
      <c r="AB231" s="27"/>
      <c r="AC231" s="183">
        <f>$K$67*(Data!$K7-$J$23)*30.5*86400/1000000</f>
        <v>0</v>
      </c>
      <c r="AD231" s="183" t="e">
        <f>$J$85*(Data!$K7-$J$23)*30.5*86400/1000000</f>
        <v>#DIV/0!</v>
      </c>
      <c r="AE231" s="183" t="e">
        <f t="shared" si="18"/>
        <v>#DIV/0!</v>
      </c>
      <c r="AF231" s="27"/>
      <c r="AG231" s="184" t="e">
        <f t="shared" si="13"/>
        <v>#DIV/0!</v>
      </c>
      <c r="AH231" s="184" t="e">
        <f>VLOOKUP(AG231,Data!$B$35:$C$55,2)</f>
        <v>#DIV/0!</v>
      </c>
      <c r="AJ231" s="174" t="e">
        <f t="shared" si="19"/>
        <v>#DIV/0!</v>
      </c>
    </row>
    <row r="232" spans="1:36" ht="15" customHeight="1" x14ac:dyDescent="0.2">
      <c r="Q232" s="169">
        <f>Data!J8</f>
        <v>10</v>
      </c>
      <c r="R232" s="183">
        <f>$E$159*$F$159*$I$159/100*Data!L8</f>
        <v>0</v>
      </c>
      <c r="S232" s="183">
        <f>$E$160*$F$160*$I$160/100*Data!M8</f>
        <v>0</v>
      </c>
      <c r="T232" s="183">
        <f>$E$161*$F$161*$I$161/100*Data!N8</f>
        <v>0</v>
      </c>
      <c r="U232" s="183">
        <f>$E$162*$F$162*$I$162/100*Data!O8</f>
        <v>0</v>
      </c>
      <c r="V232" s="183">
        <f t="shared" si="12"/>
        <v>0</v>
      </c>
      <c r="W232" s="183">
        <f t="shared" si="14"/>
        <v>0</v>
      </c>
      <c r="X232" s="183">
        <f t="shared" si="15"/>
        <v>0</v>
      </c>
      <c r="Y232" s="27"/>
      <c r="Z232" s="183" t="e">
        <f t="shared" si="16"/>
        <v>#DIV/0!</v>
      </c>
      <c r="AA232" s="183" t="e">
        <f t="shared" si="17"/>
        <v>#DIV/0!</v>
      </c>
      <c r="AB232" s="27"/>
      <c r="AC232" s="183">
        <f>$K$67*(Data!$K8-$J$23)*30.5*86400/1000000</f>
        <v>0</v>
      </c>
      <c r="AD232" s="183" t="e">
        <f>$J$85*(Data!$K8-$J$23)*30.5*86400/1000000</f>
        <v>#DIV/0!</v>
      </c>
      <c r="AE232" s="183" t="e">
        <f t="shared" si="18"/>
        <v>#DIV/0!</v>
      </c>
      <c r="AF232" s="27"/>
      <c r="AG232" s="184" t="e">
        <f t="shared" si="13"/>
        <v>#DIV/0!</v>
      </c>
      <c r="AH232" s="184" t="e">
        <f>VLOOKUP(AG232,Data!$B$35:$C$55,2)</f>
        <v>#DIV/0!</v>
      </c>
      <c r="AJ232" s="174" t="e">
        <f t="shared" si="19"/>
        <v>#DIV/0!</v>
      </c>
    </row>
    <row r="233" spans="1:36" ht="15" customHeight="1" x14ac:dyDescent="0.2">
      <c r="Q233" s="169">
        <f>Data!J9</f>
        <v>11</v>
      </c>
      <c r="R233" s="183">
        <f>$E$159*$F$159*$I$159/100*Data!L9</f>
        <v>0</v>
      </c>
      <c r="S233" s="183">
        <f>$E$160*$F$160*$I$160/100*Data!M9</f>
        <v>0</v>
      </c>
      <c r="T233" s="183">
        <f>$E$161*$F$161*$I$161/100*Data!N9</f>
        <v>0</v>
      </c>
      <c r="U233" s="183">
        <f>$E$162*$F$162*$I$162/100*Data!O9</f>
        <v>0</v>
      </c>
      <c r="V233" s="183">
        <f t="shared" si="12"/>
        <v>0</v>
      </c>
      <c r="W233" s="183">
        <f t="shared" si="14"/>
        <v>0</v>
      </c>
      <c r="X233" s="183">
        <f t="shared" si="15"/>
        <v>0</v>
      </c>
      <c r="Y233" s="27"/>
      <c r="Z233" s="183" t="e">
        <f t="shared" si="16"/>
        <v>#DIV/0!</v>
      </c>
      <c r="AA233" s="183" t="e">
        <f t="shared" si="17"/>
        <v>#DIV/0!</v>
      </c>
      <c r="AB233" s="27"/>
      <c r="AC233" s="183">
        <f>$K$67*(Data!$K9-$J$23)*30.5*86400/1000000</f>
        <v>0</v>
      </c>
      <c r="AD233" s="183" t="e">
        <f>$J$85*(Data!$K9-$J$23)*30.5*86400/1000000</f>
        <v>#DIV/0!</v>
      </c>
      <c r="AE233" s="183" t="e">
        <f t="shared" si="18"/>
        <v>#DIV/0!</v>
      </c>
      <c r="AF233" s="27"/>
      <c r="AG233" s="184" t="e">
        <f t="shared" si="13"/>
        <v>#DIV/0!</v>
      </c>
      <c r="AH233" s="184" t="e">
        <f>VLOOKUP(AG233,Data!$B$35:$C$55,2)</f>
        <v>#DIV/0!</v>
      </c>
      <c r="AJ233" s="174" t="e">
        <f t="shared" si="19"/>
        <v>#DIV/0!</v>
      </c>
    </row>
    <row r="234" spans="1:36" ht="15" customHeight="1" x14ac:dyDescent="0.2">
      <c r="Q234" s="169">
        <f>Data!J10</f>
        <v>12</v>
      </c>
      <c r="R234" s="183">
        <f>$E$159*$F$159*$I$159/100*Data!L10</f>
        <v>0</v>
      </c>
      <c r="S234" s="183">
        <f>$E$160*$F$160*$I$160/100*Data!M10</f>
        <v>0</v>
      </c>
      <c r="T234" s="183">
        <f>$E$161*$F$161*$I$161/100*Data!N10</f>
        <v>0</v>
      </c>
      <c r="U234" s="183">
        <f>$E$162*$F$162*$I$162/100*Data!O10</f>
        <v>0</v>
      </c>
      <c r="V234" s="183">
        <f t="shared" si="12"/>
        <v>0</v>
      </c>
      <c r="W234" s="183">
        <f t="shared" si="14"/>
        <v>0</v>
      </c>
      <c r="X234" s="183">
        <f t="shared" si="15"/>
        <v>0</v>
      </c>
      <c r="Y234" s="27"/>
      <c r="Z234" s="183" t="e">
        <f t="shared" si="16"/>
        <v>#DIV/0!</v>
      </c>
      <c r="AA234" s="183" t="e">
        <f t="shared" si="17"/>
        <v>#DIV/0!</v>
      </c>
      <c r="AB234" s="27"/>
      <c r="AC234" s="183">
        <f>$K$67*(Data!$K10-$J$23)*30.5*86400/1000000</f>
        <v>0</v>
      </c>
      <c r="AD234" s="183" t="e">
        <f>$J$85*(Data!$K10-$J$23)*30.5*86400/1000000</f>
        <v>#DIV/0!</v>
      </c>
      <c r="AE234" s="183" t="e">
        <f t="shared" si="18"/>
        <v>#DIV/0!</v>
      </c>
      <c r="AF234" s="27"/>
      <c r="AG234" s="184" t="e">
        <f t="shared" si="13"/>
        <v>#DIV/0!</v>
      </c>
      <c r="AH234" s="184" t="e">
        <f>VLOOKUP(AG234,Data!$B$35:$C$55,2)</f>
        <v>#DIV/0!</v>
      </c>
      <c r="AJ234" s="174" t="e">
        <f t="shared" si="19"/>
        <v>#DIV/0!</v>
      </c>
    </row>
    <row r="235" spans="1:36" ht="15" customHeight="1" x14ac:dyDescent="0.2">
      <c r="Q235" s="169">
        <f>Data!J11</f>
        <v>1</v>
      </c>
      <c r="R235" s="183">
        <f>$E$159*$F$159*$I$159/100*Data!L11</f>
        <v>0</v>
      </c>
      <c r="S235" s="183">
        <f>$E$160*$F$160*$I$160/100*Data!M11</f>
        <v>0</v>
      </c>
      <c r="T235" s="183">
        <f>$E$161*$F$161*$I$161/100*Data!N11</f>
        <v>0</v>
      </c>
      <c r="U235" s="183">
        <f>$E$162*$F$162*$I$162/100*Data!O11</f>
        <v>0</v>
      </c>
      <c r="V235" s="183">
        <f>SUM(R235:U235)</f>
        <v>0</v>
      </c>
      <c r="W235" s="183">
        <f t="shared" si="14"/>
        <v>0</v>
      </c>
      <c r="X235" s="183">
        <f t="shared" si="15"/>
        <v>0</v>
      </c>
      <c r="Y235" s="27"/>
      <c r="Z235" s="183" t="e">
        <f t="shared" si="16"/>
        <v>#DIV/0!</v>
      </c>
      <c r="AA235" s="183" t="e">
        <f t="shared" si="17"/>
        <v>#DIV/0!</v>
      </c>
      <c r="AB235" s="27"/>
      <c r="AC235" s="183">
        <f>$K$67*(Data!$K11-$J$23)*30.5*86400/1000000</f>
        <v>0</v>
      </c>
      <c r="AD235" s="183" t="e">
        <f>$J$85*(Data!$K11-$J$23)*30.5*86400/1000000</f>
        <v>#DIV/0!</v>
      </c>
      <c r="AE235" s="183" t="e">
        <f t="shared" si="18"/>
        <v>#DIV/0!</v>
      </c>
      <c r="AF235" s="27"/>
      <c r="AG235" s="184" t="e">
        <f t="shared" si="13"/>
        <v>#DIV/0!</v>
      </c>
      <c r="AH235" s="184" t="e">
        <f>VLOOKUP(AG235,Data!$B$35:$C$55,2)</f>
        <v>#DIV/0!</v>
      </c>
      <c r="AJ235" s="174" t="e">
        <f t="shared" si="19"/>
        <v>#DIV/0!</v>
      </c>
    </row>
    <row r="236" spans="1:36" ht="15" customHeight="1" x14ac:dyDescent="0.2">
      <c r="Q236" s="169">
        <f>Data!J12</f>
        <v>2</v>
      </c>
      <c r="R236" s="183">
        <f>$E$159*$F$159*$I$159/100*Data!L12</f>
        <v>0</v>
      </c>
      <c r="S236" s="183">
        <f>$E$160*$F$160*$I$160/100*Data!M12</f>
        <v>0</v>
      </c>
      <c r="T236" s="183">
        <f>$E$161*$F$161*$I$161/100*Data!N12</f>
        <v>0</v>
      </c>
      <c r="U236" s="183">
        <f>$E$162*$F$162*$I$162/100*Data!O12</f>
        <v>0</v>
      </c>
      <c r="V236" s="183">
        <f t="shared" ref="V236:V239" si="20">SUM(R236:U236)</f>
        <v>0</v>
      </c>
      <c r="W236" s="183">
        <f t="shared" si="14"/>
        <v>0</v>
      </c>
      <c r="X236" s="183">
        <f t="shared" si="15"/>
        <v>0</v>
      </c>
      <c r="Y236" s="27"/>
      <c r="Z236" s="183" t="e">
        <f t="shared" si="16"/>
        <v>#DIV/0!</v>
      </c>
      <c r="AA236" s="183" t="e">
        <f t="shared" si="17"/>
        <v>#DIV/0!</v>
      </c>
      <c r="AB236" s="27"/>
      <c r="AC236" s="183">
        <f>$K$67*(Data!$K12-$J$23)*30.5*86400/1000000</f>
        <v>0</v>
      </c>
      <c r="AD236" s="183" t="e">
        <f>$J$85*(Data!$K12-$J$23)*30.5*86400/1000000</f>
        <v>#DIV/0!</v>
      </c>
      <c r="AE236" s="183" t="e">
        <f t="shared" si="18"/>
        <v>#DIV/0!</v>
      </c>
      <c r="AF236" s="27"/>
      <c r="AG236" s="184" t="e">
        <f t="shared" si="13"/>
        <v>#DIV/0!</v>
      </c>
      <c r="AH236" s="184" t="e">
        <f>VLOOKUP(AG236,Data!$B$35:$C$55,2)</f>
        <v>#DIV/0!</v>
      </c>
      <c r="AJ236" s="174" t="e">
        <f t="shared" si="19"/>
        <v>#DIV/0!</v>
      </c>
    </row>
    <row r="237" spans="1:36" ht="15" customHeight="1" x14ac:dyDescent="0.2">
      <c r="Q237" s="169">
        <f>Data!J13</f>
        <v>3</v>
      </c>
      <c r="R237" s="183">
        <f>$E$159*$F$159*$I$159/100*Data!L13</f>
        <v>0</v>
      </c>
      <c r="S237" s="183">
        <f>$E$160*$F$160*$I$160/100*Data!M13</f>
        <v>0</v>
      </c>
      <c r="T237" s="183">
        <f>$E$161*$F$161*$I$161/100*Data!N13</f>
        <v>0</v>
      </c>
      <c r="U237" s="183">
        <f>$E$162*$F$162*$I$162/100*Data!O13</f>
        <v>0</v>
      </c>
      <c r="V237" s="183">
        <f t="shared" si="20"/>
        <v>0</v>
      </c>
      <c r="W237" s="183">
        <f t="shared" si="14"/>
        <v>0</v>
      </c>
      <c r="X237" s="183">
        <f t="shared" si="15"/>
        <v>0</v>
      </c>
      <c r="Y237" s="27"/>
      <c r="Z237" s="183" t="e">
        <f t="shared" si="16"/>
        <v>#DIV/0!</v>
      </c>
      <c r="AA237" s="183" t="e">
        <f t="shared" si="17"/>
        <v>#DIV/0!</v>
      </c>
      <c r="AB237" s="27"/>
      <c r="AC237" s="183">
        <f>$K$67*(Data!$K13-$J$23)*30.5*86400/1000000</f>
        <v>0</v>
      </c>
      <c r="AD237" s="183" t="e">
        <f>$J$85*(Data!$K13-$J$23)*30.5*86400/1000000</f>
        <v>#DIV/0!</v>
      </c>
      <c r="AE237" s="183" t="e">
        <f t="shared" si="18"/>
        <v>#DIV/0!</v>
      </c>
      <c r="AF237" s="27"/>
      <c r="AG237" s="184" t="e">
        <f t="shared" si="13"/>
        <v>#DIV/0!</v>
      </c>
      <c r="AH237" s="184" t="e">
        <f>VLOOKUP(AG237,Data!$B$35:$C$55,2)</f>
        <v>#DIV/0!</v>
      </c>
      <c r="AJ237" s="174" t="e">
        <f t="shared" si="19"/>
        <v>#DIV/0!</v>
      </c>
    </row>
    <row r="238" spans="1:36" ht="15" customHeight="1" x14ac:dyDescent="0.2">
      <c r="Q238" s="169">
        <f>Data!J14</f>
        <v>4</v>
      </c>
      <c r="R238" s="183">
        <f>$E$159*$F$159*$I$159/100*Data!L14</f>
        <v>0</v>
      </c>
      <c r="S238" s="183">
        <f>$E$160*$F$160*$I$160/100*Data!M14</f>
        <v>0</v>
      </c>
      <c r="T238" s="183">
        <f>$E$161*$F$161*$I$161/100*Data!N14</f>
        <v>0</v>
      </c>
      <c r="U238" s="183">
        <f>$E$162*$F$162*$I$162/100*Data!O14</f>
        <v>0</v>
      </c>
      <c r="V238" s="183">
        <f t="shared" si="20"/>
        <v>0</v>
      </c>
      <c r="W238" s="183">
        <f t="shared" si="14"/>
        <v>0</v>
      </c>
      <c r="X238" s="183">
        <f t="shared" si="15"/>
        <v>0</v>
      </c>
      <c r="Y238" s="27"/>
      <c r="Z238" s="183" t="e">
        <f t="shared" si="16"/>
        <v>#DIV/0!</v>
      </c>
      <c r="AA238" s="183" t="e">
        <f t="shared" si="17"/>
        <v>#DIV/0!</v>
      </c>
      <c r="AB238" s="27"/>
      <c r="AC238" s="183">
        <f>$K$67*(Data!$K14-$J$23)*30.5*86400/1000000</f>
        <v>0</v>
      </c>
      <c r="AD238" s="183" t="e">
        <f>$J$85*(Data!$K14-$J$23)*30.5*86400/1000000</f>
        <v>#DIV/0!</v>
      </c>
      <c r="AE238" s="183" t="e">
        <f t="shared" si="18"/>
        <v>#DIV/0!</v>
      </c>
      <c r="AF238" s="27"/>
      <c r="AG238" s="184" t="e">
        <f t="shared" si="13"/>
        <v>#DIV/0!</v>
      </c>
      <c r="AH238" s="184" t="e">
        <f>VLOOKUP(AG238,Data!$B$35:$C$55,2)</f>
        <v>#DIV/0!</v>
      </c>
      <c r="AJ238" s="174" t="e">
        <f t="shared" si="19"/>
        <v>#DIV/0!</v>
      </c>
    </row>
    <row r="239" spans="1:36" ht="15" customHeight="1" x14ac:dyDescent="0.2">
      <c r="Q239" s="169">
        <f>Data!J15</f>
        <v>5</v>
      </c>
      <c r="R239" s="183">
        <f>$E$159*$F$159*$I$159/100*Data!L15</f>
        <v>0</v>
      </c>
      <c r="S239" s="183">
        <f>$E$160*$F$160*$I$160/100*Data!M15</f>
        <v>0</v>
      </c>
      <c r="T239" s="183">
        <f>$E$161*$F$161*$I$161/100*Data!N15</f>
        <v>0</v>
      </c>
      <c r="U239" s="183">
        <f>$E$162*$F$162*$I$162/100*Data!O15</f>
        <v>0</v>
      </c>
      <c r="V239" s="183">
        <f t="shared" si="20"/>
        <v>0</v>
      </c>
      <c r="W239" s="183">
        <f t="shared" si="14"/>
        <v>0</v>
      </c>
      <c r="X239" s="183">
        <f t="shared" si="15"/>
        <v>0</v>
      </c>
      <c r="Y239" s="27"/>
      <c r="Z239" s="183" t="e">
        <f t="shared" si="16"/>
        <v>#DIV/0!</v>
      </c>
      <c r="AA239" s="183" t="e">
        <f t="shared" si="17"/>
        <v>#DIV/0!</v>
      </c>
      <c r="AB239" s="27"/>
      <c r="AC239" s="183">
        <f>$K$67*(Data!$K15-$J$23)*30.5*86400/1000000</f>
        <v>0</v>
      </c>
      <c r="AD239" s="183" t="e">
        <f>$J$85*(Data!$K15-$J$23)*30.5*86400/1000000</f>
        <v>#DIV/0!</v>
      </c>
      <c r="AE239" s="183" t="e">
        <f t="shared" si="18"/>
        <v>#DIV/0!</v>
      </c>
      <c r="AF239" s="27"/>
      <c r="AG239" s="184" t="e">
        <f t="shared" si="13"/>
        <v>#DIV/0!</v>
      </c>
      <c r="AH239" s="184" t="e">
        <f>VLOOKUP(AG239,Data!$B$35:$C$55,2)</f>
        <v>#DIV/0!</v>
      </c>
      <c r="AJ239" s="174" t="e">
        <f t="shared" si="19"/>
        <v>#DIV/0!</v>
      </c>
    </row>
    <row r="240" spans="1:36" ht="15" customHeight="1" x14ac:dyDescent="0.2">
      <c r="Q240" s="11"/>
      <c r="R240" s="27"/>
      <c r="S240" s="27"/>
      <c r="T240" s="27"/>
      <c r="U240" s="27"/>
      <c r="V240" s="27"/>
      <c r="W240" s="27"/>
      <c r="X240" s="27"/>
      <c r="Y240" s="27"/>
      <c r="Z240" s="27"/>
      <c r="AA240" s="27"/>
      <c r="AB240" s="27"/>
      <c r="AC240" s="27"/>
      <c r="AD240" s="27"/>
      <c r="AE240" s="27"/>
      <c r="AF240" s="27"/>
      <c r="AG240" s="27"/>
      <c r="AH240" s="27"/>
    </row>
    <row r="241" spans="17:36" ht="15" customHeight="1" x14ac:dyDescent="0.2">
      <c r="Q241" s="175" t="s">
        <v>290</v>
      </c>
      <c r="R241" s="185"/>
      <c r="S241" s="185"/>
      <c r="T241" s="185"/>
      <c r="U241" s="185"/>
      <c r="V241" s="185"/>
      <c r="W241" s="185"/>
      <c r="X241" s="27"/>
      <c r="Y241" s="27"/>
      <c r="Z241" s="185">
        <f>SUMIF($AJ228:$AJ239,"&lt;0",Z228:Z239)</f>
        <v>0</v>
      </c>
      <c r="AA241" s="185">
        <f>SUMIF($AJ228:$AJ239,"&lt;0",AA228:AA239)</f>
        <v>0</v>
      </c>
      <c r="AB241" s="27"/>
      <c r="AC241" s="185">
        <f>SUMIF($AJ228:$AJ239,"&lt;0",AC228:AC239)</f>
        <v>0</v>
      </c>
      <c r="AD241" s="185">
        <f>SUMIF($AJ228:$AJ239,"&lt;0",AD228:AD239)</f>
        <v>0</v>
      </c>
      <c r="AE241" s="27"/>
      <c r="AF241" s="27"/>
      <c r="AG241" s="27"/>
      <c r="AH241" s="27"/>
      <c r="AJ241" s="174">
        <f>SUMIF($AJ228:$AJ239,"&lt;0",AJ228:AJ239)</f>
        <v>0</v>
      </c>
    </row>
    <row r="242" spans="17:36" ht="15" customHeight="1" x14ac:dyDescent="0.2"/>
    <row r="243" spans="17:36" ht="15" customHeight="1" x14ac:dyDescent="0.2"/>
    <row r="244" spans="17:36" ht="15" customHeight="1" x14ac:dyDescent="0.2">
      <c r="R244" s="3" t="s">
        <v>294</v>
      </c>
    </row>
    <row r="245" spans="17:36" ht="15" customHeight="1" x14ac:dyDescent="0.2"/>
    <row r="246" spans="17:36" ht="15" customHeight="1" x14ac:dyDescent="0.2">
      <c r="R246" s="3" t="s">
        <v>305</v>
      </c>
    </row>
    <row r="247" spans="17:36" ht="15" customHeight="1" x14ac:dyDescent="0.2">
      <c r="R247" s="3" t="s">
        <v>306</v>
      </c>
    </row>
    <row r="248" spans="17:36" ht="15" customHeight="1" x14ac:dyDescent="0.2">
      <c r="R248" s="3" t="s">
        <v>307</v>
      </c>
    </row>
  </sheetData>
  <mergeCells count="6">
    <mergeCell ref="Z226:AA226"/>
    <mergeCell ref="B2:L2"/>
    <mergeCell ref="E5:G5"/>
    <mergeCell ref="I5:K5"/>
    <mergeCell ref="M23:M27"/>
    <mergeCell ref="R226:X226"/>
  </mergeCells>
  <dataValidations count="2">
    <dataValidation type="list" allowBlank="1" showInputMessage="1" showErrorMessage="1" sqref="E92" xr:uid="{00000000-0002-0000-0600-000000000000}">
      <formula1>#REF!</formula1>
    </dataValidation>
    <dataValidation type="list" showInputMessage="1" showErrorMessage="1" sqref="E80" xr:uid="{00000000-0002-0000-0600-000001000000}">
      <formula1>#REF!</formula1>
    </dataValidation>
  </dataValidations>
  <pageMargins left="0.7" right="0.7" top="0.75" bottom="0.75" header="0.3" footer="0.3"/>
  <pageSetup paperSize="9" orientation="portrait"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248"/>
  <sheetViews>
    <sheetView showGridLines="0" topLeftCell="A28" workbookViewId="0">
      <selection activeCell="A6" sqref="A6"/>
    </sheetView>
  </sheetViews>
  <sheetFormatPr defaultColWidth="9.140625" defaultRowHeight="12.75" x14ac:dyDescent="0.2"/>
  <cols>
    <col min="1" max="1" width="7" style="112" customWidth="1"/>
    <col min="2" max="2" width="9.140625" style="3"/>
    <col min="3" max="3" width="52.28515625" style="3" customWidth="1"/>
    <col min="4" max="4" width="12.42578125" style="5" customWidth="1"/>
    <col min="5" max="11" width="15.42578125" style="11" customWidth="1"/>
    <col min="12" max="12" width="15.42578125" style="3" customWidth="1"/>
    <col min="13" max="16" width="9.140625" style="3"/>
    <col min="17" max="17" width="14.42578125" style="3" customWidth="1"/>
    <col min="18" max="21" width="9.140625" style="3"/>
    <col min="22" max="22" width="8.28515625" style="3" customWidth="1"/>
    <col min="23" max="25" width="9.140625" style="3"/>
    <col min="26" max="26" width="12.140625" style="3" customWidth="1"/>
    <col min="27" max="27" width="10.42578125" style="3" bestFit="1" customWidth="1"/>
    <col min="28" max="28" width="9.140625" style="3"/>
    <col min="29" max="29" width="12.42578125" style="3" customWidth="1"/>
    <col min="30" max="16384" width="9.140625" style="3"/>
  </cols>
  <sheetData>
    <row r="1" spans="1:12" ht="13.5" thickBot="1" x14ac:dyDescent="0.25"/>
    <row r="2" spans="1:12" ht="30.75" thickBot="1" x14ac:dyDescent="0.45">
      <c r="B2" s="257" t="str">
        <f>CONCATENATE("REKENSHEET - ", Invulsheet!U5)</f>
        <v>REKENSHEET - 4e verbetering</v>
      </c>
      <c r="C2" s="257"/>
      <c r="D2" s="257"/>
      <c r="E2" s="257"/>
      <c r="F2" s="257"/>
      <c r="G2" s="257"/>
      <c r="H2" s="257"/>
      <c r="I2" s="257"/>
      <c r="J2" s="257"/>
      <c r="K2" s="257"/>
      <c r="L2" s="257"/>
    </row>
    <row r="5" spans="1:12" ht="20.25" x14ac:dyDescent="0.3">
      <c r="E5" s="279" t="s">
        <v>134</v>
      </c>
      <c r="F5" s="279"/>
      <c r="G5" s="279"/>
      <c r="H5" s="34" t="s">
        <v>133</v>
      </c>
      <c r="I5" s="280" t="s">
        <v>135</v>
      </c>
      <c r="J5" s="280"/>
      <c r="K5" s="280"/>
    </row>
    <row r="8" spans="1:12" ht="24" customHeight="1" x14ac:dyDescent="0.3">
      <c r="C8" s="9" t="s">
        <v>70</v>
      </c>
      <c r="D8" s="23"/>
      <c r="E8" s="12"/>
      <c r="F8" s="12"/>
      <c r="G8" s="12"/>
      <c r="H8" s="12"/>
      <c r="I8" s="12"/>
      <c r="J8" s="12"/>
      <c r="K8" s="12"/>
    </row>
    <row r="9" spans="1:12" ht="15" customHeight="1" x14ac:dyDescent="0.2"/>
    <row r="10" spans="1:12" ht="15" customHeight="1" x14ac:dyDescent="0.2">
      <c r="C10" s="3" t="s">
        <v>108</v>
      </c>
      <c r="D10" s="5" t="s">
        <v>110</v>
      </c>
      <c r="F10" s="32">
        <f>Invulsheet!F10</f>
        <v>0</v>
      </c>
    </row>
    <row r="11" spans="1:12" ht="15" customHeight="1" x14ac:dyDescent="0.2">
      <c r="C11" s="3" t="s">
        <v>109</v>
      </c>
      <c r="D11" s="5" t="s">
        <v>48</v>
      </c>
      <c r="F11" s="32">
        <f>Invulsheet!F11</f>
        <v>0</v>
      </c>
    </row>
    <row r="12" spans="1:12" s="107" customFormat="1" ht="15" customHeight="1" x14ac:dyDescent="0.2">
      <c r="A12" s="112"/>
      <c r="C12" s="107" t="s">
        <v>281</v>
      </c>
      <c r="D12" s="5" t="s">
        <v>280</v>
      </c>
      <c r="E12" s="11"/>
      <c r="F12" s="32">
        <f>Invulsheet!F12</f>
        <v>0</v>
      </c>
      <c r="G12" s="11"/>
      <c r="H12" s="11"/>
      <c r="I12" s="11"/>
      <c r="J12" s="11"/>
      <c r="K12" s="11"/>
    </row>
    <row r="13" spans="1:12" s="107" customFormat="1" ht="15" customHeight="1" x14ac:dyDescent="0.2">
      <c r="A13" s="112"/>
      <c r="C13" s="107" t="s">
        <v>279</v>
      </c>
      <c r="D13" s="5" t="s">
        <v>56</v>
      </c>
      <c r="E13" s="11"/>
      <c r="F13" s="32">
        <f>Invulsheet!F13</f>
        <v>0</v>
      </c>
      <c r="G13" s="11"/>
      <c r="H13" s="11"/>
      <c r="I13" s="11"/>
      <c r="J13" s="11"/>
      <c r="K13" s="11"/>
    </row>
    <row r="14" spans="1:12" ht="15" customHeight="1" x14ac:dyDescent="0.2"/>
    <row r="15" spans="1:12" ht="15" customHeight="1" x14ac:dyDescent="0.2">
      <c r="C15" s="3" t="s">
        <v>224</v>
      </c>
      <c r="D15" s="5" t="s">
        <v>225</v>
      </c>
      <c r="F15" s="32">
        <f>Invulsheet!V16</f>
        <v>0</v>
      </c>
    </row>
    <row r="16" spans="1:12" ht="15" customHeight="1" x14ac:dyDescent="0.2">
      <c r="C16" s="3" t="s">
        <v>57</v>
      </c>
      <c r="D16" s="5" t="s">
        <v>61</v>
      </c>
      <c r="F16" s="32">
        <f>Invulsheet!V15</f>
        <v>0</v>
      </c>
    </row>
    <row r="17" spans="3:13" ht="15" customHeight="1" x14ac:dyDescent="0.2">
      <c r="C17" s="3" t="s">
        <v>37</v>
      </c>
      <c r="D17" s="5" t="s">
        <v>58</v>
      </c>
      <c r="F17" s="3"/>
      <c r="J17" s="33" t="e">
        <f>F16/F15</f>
        <v>#DIV/0!</v>
      </c>
    </row>
    <row r="18" spans="3:13" ht="15" customHeight="1" x14ac:dyDescent="0.2"/>
    <row r="19" spans="3:13" ht="15" customHeight="1" x14ac:dyDescent="0.2"/>
    <row r="20" spans="3:13" ht="15" customHeight="1" x14ac:dyDescent="0.2">
      <c r="C20" s="107" t="s">
        <v>222</v>
      </c>
      <c r="D20" s="5" t="s">
        <v>60</v>
      </c>
      <c r="F20" s="32">
        <f>Invulsheet!V18</f>
        <v>20</v>
      </c>
    </row>
    <row r="21" spans="3:13" ht="15" customHeight="1" x14ac:dyDescent="0.2">
      <c r="C21" s="107" t="s">
        <v>223</v>
      </c>
      <c r="D21" s="5" t="s">
        <v>60</v>
      </c>
      <c r="F21" s="32">
        <f>Invulsheet!V19</f>
        <v>15</v>
      </c>
    </row>
    <row r="22" spans="3:13" ht="15" customHeight="1" x14ac:dyDescent="0.2">
      <c r="C22" s="3" t="s">
        <v>72</v>
      </c>
      <c r="D22" s="5" t="s">
        <v>59</v>
      </c>
      <c r="F22" s="32">
        <f>Invulsheet!V20</f>
        <v>80</v>
      </c>
    </row>
    <row r="23" spans="3:13" ht="15" customHeight="1" x14ac:dyDescent="0.2">
      <c r="C23" s="3" t="s">
        <v>136</v>
      </c>
      <c r="D23" s="5" t="s">
        <v>60</v>
      </c>
      <c r="F23" s="35"/>
      <c r="J23" s="38">
        <f xml:space="preserve">  F20 * F22 * F26 / 20000  +  F21 * (1 - F26 * F22 / 20000)</f>
        <v>16.2</v>
      </c>
      <c r="M23" s="282"/>
    </row>
    <row r="24" spans="3:13" ht="15" customHeight="1" x14ac:dyDescent="0.2">
      <c r="M24" s="282"/>
    </row>
    <row r="25" spans="3:13" ht="15" customHeight="1" x14ac:dyDescent="0.2">
      <c r="C25" s="3" t="s">
        <v>71</v>
      </c>
      <c r="F25" s="32">
        <f>Invulsheet!V22</f>
        <v>0</v>
      </c>
      <c r="M25" s="282"/>
    </row>
    <row r="26" spans="3:13" ht="15" customHeight="1" x14ac:dyDescent="0.2">
      <c r="C26" s="3" t="s">
        <v>116</v>
      </c>
      <c r="D26" s="5" t="s">
        <v>59</v>
      </c>
      <c r="F26" s="32">
        <f>Invulsheet!V23</f>
        <v>60</v>
      </c>
      <c r="M26" s="282"/>
    </row>
    <row r="27" spans="3:13" ht="15" customHeight="1" x14ac:dyDescent="0.2">
      <c r="M27" s="282"/>
    </row>
    <row r="28" spans="3:13" ht="15" customHeight="1" x14ac:dyDescent="0.2"/>
    <row r="29" spans="3:13" ht="24" customHeight="1" x14ac:dyDescent="0.3">
      <c r="C29" s="9" t="s">
        <v>73</v>
      </c>
      <c r="D29" s="23"/>
      <c r="E29" s="12"/>
      <c r="F29" s="12"/>
      <c r="G29" s="12"/>
      <c r="H29" s="12"/>
      <c r="I29" s="12"/>
      <c r="J29" s="12"/>
      <c r="K29" s="12"/>
    </row>
    <row r="30" spans="3:13" ht="15" customHeight="1" x14ac:dyDescent="0.2"/>
    <row r="31" spans="3:13" ht="15" customHeight="1" x14ac:dyDescent="0.3">
      <c r="E31" s="79" t="s">
        <v>22</v>
      </c>
      <c r="F31" s="79" t="s">
        <v>7</v>
      </c>
      <c r="G31" s="79" t="s">
        <v>20</v>
      </c>
      <c r="H31" s="79"/>
      <c r="I31" s="79" t="s">
        <v>141</v>
      </c>
      <c r="J31" s="79" t="s">
        <v>34</v>
      </c>
      <c r="K31" s="79" t="s">
        <v>140</v>
      </c>
    </row>
    <row r="32" spans="3:13" ht="15" customHeight="1" x14ac:dyDescent="0.2">
      <c r="E32" s="79" t="s">
        <v>8</v>
      </c>
      <c r="F32" s="79" t="s">
        <v>9</v>
      </c>
      <c r="G32" s="79" t="s">
        <v>10</v>
      </c>
      <c r="H32" s="79"/>
      <c r="I32" s="79" t="s">
        <v>10</v>
      </c>
      <c r="J32" s="79"/>
      <c r="K32" s="79" t="s">
        <v>23</v>
      </c>
    </row>
    <row r="33" spans="3:12" ht="15" customHeight="1" x14ac:dyDescent="0.2">
      <c r="I33" s="3"/>
    </row>
    <row r="34" spans="3:12" ht="15" customHeight="1" x14ac:dyDescent="0.2">
      <c r="C34" s="3" t="s">
        <v>24</v>
      </c>
      <c r="E34" s="32">
        <f>Invulsheet!U34</f>
        <v>0</v>
      </c>
      <c r="F34" s="32">
        <f>Invulsheet!V34</f>
        <v>0</v>
      </c>
      <c r="I34" s="38">
        <f>1/(F34+0.17+0.17)</f>
        <v>2.9411764705882351</v>
      </c>
      <c r="J34" s="38">
        <v>0.5</v>
      </c>
      <c r="K34" s="38">
        <f>E34*I34*J34</f>
        <v>0</v>
      </c>
    </row>
    <row r="35" spans="3:12" ht="15" customHeight="1" x14ac:dyDescent="0.2">
      <c r="C35" s="3" t="s">
        <v>25</v>
      </c>
      <c r="E35" s="32">
        <f>Invulsheet!U35</f>
        <v>0</v>
      </c>
      <c r="F35" s="32">
        <f>Invulsheet!V35</f>
        <v>0</v>
      </c>
      <c r="I35" s="38">
        <f>1/(F35+0.17+0.17)</f>
        <v>2.9411764705882351</v>
      </c>
      <c r="J35" s="38">
        <v>0.5</v>
      </c>
      <c r="K35" s="38">
        <f t="shared" ref="K35:K36" si="0">E35*I35*J35</f>
        <v>0</v>
      </c>
    </row>
    <row r="36" spans="3:12" ht="15" customHeight="1" x14ac:dyDescent="0.2">
      <c r="C36" s="3" t="s">
        <v>26</v>
      </c>
      <c r="E36" s="32">
        <f>Invulsheet!U36</f>
        <v>0</v>
      </c>
      <c r="F36" s="32">
        <f>Invulsheet!V36</f>
        <v>0</v>
      </c>
      <c r="I36" s="38">
        <f>1/(F36+0.17+0.17)</f>
        <v>2.9411764705882351</v>
      </c>
      <c r="J36" s="38">
        <v>0.5</v>
      </c>
      <c r="K36" s="38">
        <f t="shared" si="0"/>
        <v>0</v>
      </c>
      <c r="L36" s="46" t="e">
        <f>-SUM(K34:K36)/$K$67*$AC$241</f>
        <v>#DIV/0!</v>
      </c>
    </row>
    <row r="37" spans="3:12" ht="15" customHeight="1" x14ac:dyDescent="0.2">
      <c r="I37" s="3"/>
      <c r="L37" s="72"/>
    </row>
    <row r="38" spans="3:12" ht="15" customHeight="1" x14ac:dyDescent="0.2">
      <c r="C38" s="3" t="s">
        <v>27</v>
      </c>
      <c r="E38" s="32">
        <f>Invulsheet!U38</f>
        <v>0</v>
      </c>
      <c r="F38" s="32">
        <f>Invulsheet!V38</f>
        <v>0</v>
      </c>
      <c r="I38" s="38">
        <f>1/(F38+0.1+0.04)</f>
        <v>7.1428571428571423</v>
      </c>
      <c r="J38" s="38">
        <v>1</v>
      </c>
      <c r="K38" s="38">
        <f t="shared" ref="K38:K41" si="1">E38*I38*J38</f>
        <v>0</v>
      </c>
      <c r="L38" s="72"/>
    </row>
    <row r="39" spans="3:12" ht="15" customHeight="1" x14ac:dyDescent="0.2">
      <c r="C39" s="3" t="s">
        <v>28</v>
      </c>
      <c r="E39" s="32">
        <f>Invulsheet!U39</f>
        <v>0</v>
      </c>
      <c r="F39" s="32">
        <f>Invulsheet!V39</f>
        <v>0</v>
      </c>
      <c r="I39" s="38">
        <f t="shared" ref="I39:I41" si="2">1/(F39+0.1+0.04)</f>
        <v>7.1428571428571423</v>
      </c>
      <c r="J39" s="38">
        <v>1</v>
      </c>
      <c r="K39" s="38">
        <f t="shared" si="1"/>
        <v>0</v>
      </c>
      <c r="L39" s="72"/>
    </row>
    <row r="40" spans="3:12" ht="15" customHeight="1" x14ac:dyDescent="0.2">
      <c r="C40" s="3" t="s">
        <v>29</v>
      </c>
      <c r="E40" s="32">
        <f>Invulsheet!U40</f>
        <v>0</v>
      </c>
      <c r="F40" s="32">
        <f>Invulsheet!V40</f>
        <v>0</v>
      </c>
      <c r="I40" s="38">
        <f t="shared" si="2"/>
        <v>7.1428571428571423</v>
      </c>
      <c r="J40" s="38">
        <v>1</v>
      </c>
      <c r="K40" s="38">
        <f t="shared" si="1"/>
        <v>0</v>
      </c>
      <c r="L40" s="72"/>
    </row>
    <row r="41" spans="3:12" ht="15" customHeight="1" x14ac:dyDescent="0.2">
      <c r="C41" s="3" t="s">
        <v>62</v>
      </c>
      <c r="E41" s="32">
        <f>Invulsheet!U41</f>
        <v>0</v>
      </c>
      <c r="F41" s="32">
        <f>Invulsheet!V41</f>
        <v>0</v>
      </c>
      <c r="I41" s="38">
        <f t="shared" si="2"/>
        <v>7.1428571428571423</v>
      </c>
      <c r="J41" s="38">
        <v>1</v>
      </c>
      <c r="K41" s="38">
        <f t="shared" si="1"/>
        <v>0</v>
      </c>
      <c r="L41" s="46" t="e">
        <f>-SUM(K38:K41)/$K$67*$AC$241</f>
        <v>#DIV/0!</v>
      </c>
    </row>
    <row r="42" spans="3:12" ht="15" customHeight="1" x14ac:dyDescent="0.2">
      <c r="I42" s="3"/>
      <c r="L42" s="72"/>
    </row>
    <row r="43" spans="3:12" ht="15" customHeight="1" x14ac:dyDescent="0.2">
      <c r="C43" s="3" t="s">
        <v>74</v>
      </c>
      <c r="E43" s="32">
        <f>Invulsheet!U43</f>
        <v>0</v>
      </c>
      <c r="F43" s="32">
        <f>Invulsheet!V43</f>
        <v>0</v>
      </c>
      <c r="I43" s="38">
        <f>1/(F43+0.13+0.04)</f>
        <v>5.8823529411764701</v>
      </c>
      <c r="J43" s="38">
        <v>1</v>
      </c>
      <c r="K43" s="38">
        <f t="shared" ref="K43:K46" si="3">E43*I43*J43</f>
        <v>0</v>
      </c>
      <c r="L43" s="72"/>
    </row>
    <row r="44" spans="3:12" ht="15" customHeight="1" x14ac:dyDescent="0.2">
      <c r="C44" s="3" t="s">
        <v>65</v>
      </c>
      <c r="E44" s="32">
        <f>Invulsheet!U44</f>
        <v>0</v>
      </c>
      <c r="F44" s="32">
        <f>Invulsheet!V44</f>
        <v>0</v>
      </c>
      <c r="I44" s="38">
        <f t="shared" ref="I44:I46" si="4">1/(F44+0.13+0.04)</f>
        <v>5.8823529411764701</v>
      </c>
      <c r="J44" s="38">
        <v>1</v>
      </c>
      <c r="K44" s="38">
        <f t="shared" si="3"/>
        <v>0</v>
      </c>
      <c r="L44" s="72"/>
    </row>
    <row r="45" spans="3:12" ht="15" customHeight="1" x14ac:dyDescent="0.2">
      <c r="C45" s="3" t="s">
        <v>64</v>
      </c>
      <c r="E45" s="32">
        <f>Invulsheet!U45</f>
        <v>0</v>
      </c>
      <c r="F45" s="32">
        <f>Invulsheet!V45</f>
        <v>0</v>
      </c>
      <c r="I45" s="38">
        <f t="shared" si="4"/>
        <v>5.8823529411764701</v>
      </c>
      <c r="J45" s="38">
        <v>1</v>
      </c>
      <c r="K45" s="38">
        <f t="shared" si="3"/>
        <v>0</v>
      </c>
      <c r="L45" s="72"/>
    </row>
    <row r="46" spans="3:12" ht="15" customHeight="1" x14ac:dyDescent="0.2">
      <c r="C46" s="3" t="s">
        <v>63</v>
      </c>
      <c r="E46" s="32">
        <f>Invulsheet!U46</f>
        <v>0</v>
      </c>
      <c r="F46" s="32">
        <f>Invulsheet!V46</f>
        <v>0</v>
      </c>
      <c r="I46" s="38">
        <f t="shared" si="4"/>
        <v>5.8823529411764701</v>
      </c>
      <c r="J46" s="38">
        <v>1</v>
      </c>
      <c r="K46" s="38">
        <f t="shared" si="3"/>
        <v>0</v>
      </c>
      <c r="L46" s="46" t="e">
        <f>-SUM(K43:K46)/$K$67*$AC$241</f>
        <v>#DIV/0!</v>
      </c>
    </row>
    <row r="47" spans="3:12" ht="15" customHeight="1" x14ac:dyDescent="0.2">
      <c r="I47" s="3"/>
      <c r="L47" s="72"/>
    </row>
    <row r="48" spans="3:12" ht="15" customHeight="1" x14ac:dyDescent="0.2">
      <c r="C48" s="3" t="s">
        <v>66</v>
      </c>
      <c r="E48" s="32">
        <f>Invulsheet!U48</f>
        <v>0</v>
      </c>
      <c r="F48" s="32">
        <f>Invulsheet!V48</f>
        <v>0</v>
      </c>
      <c r="I48" s="38">
        <f>1/(F48+0.13+0.13)</f>
        <v>3.8461538461538458</v>
      </c>
      <c r="J48" s="38">
        <v>0.6</v>
      </c>
      <c r="K48" s="38">
        <f t="shared" ref="K48:K50" si="5">E48*I48*J48</f>
        <v>0</v>
      </c>
      <c r="L48" s="72"/>
    </row>
    <row r="49" spans="3:12" ht="15" customHeight="1" x14ac:dyDescent="0.2">
      <c r="C49" s="3" t="s">
        <v>67</v>
      </c>
      <c r="E49" s="32">
        <f>Invulsheet!U49</f>
        <v>0</v>
      </c>
      <c r="F49" s="32">
        <f>Invulsheet!V49</f>
        <v>0</v>
      </c>
      <c r="I49" s="38">
        <f t="shared" ref="I49:I50" si="6">1/(F49+0.13+0.13)</f>
        <v>3.8461538461538458</v>
      </c>
      <c r="J49" s="38">
        <v>0.6</v>
      </c>
      <c r="K49" s="38">
        <f t="shared" si="5"/>
        <v>0</v>
      </c>
      <c r="L49" s="72"/>
    </row>
    <row r="50" spans="3:12" ht="15" customHeight="1" x14ac:dyDescent="0.2">
      <c r="C50" s="3" t="s">
        <v>68</v>
      </c>
      <c r="E50" s="32">
        <f>Invulsheet!U50</f>
        <v>0</v>
      </c>
      <c r="F50" s="32">
        <f>Invulsheet!V50</f>
        <v>0</v>
      </c>
      <c r="I50" s="38">
        <f t="shared" si="6"/>
        <v>3.8461538461538458</v>
      </c>
      <c r="J50" s="38">
        <v>0.6</v>
      </c>
      <c r="K50" s="38">
        <f t="shared" si="5"/>
        <v>0</v>
      </c>
      <c r="L50" s="46" t="e">
        <f>-SUM(K48:K50)/$K$67*$AC$241</f>
        <v>#DIV/0!</v>
      </c>
    </row>
    <row r="51" spans="3:12" ht="15" customHeight="1" x14ac:dyDescent="0.2">
      <c r="I51" s="3"/>
      <c r="L51" s="72"/>
    </row>
    <row r="52" spans="3:12" ht="15" customHeight="1" x14ac:dyDescent="0.2">
      <c r="C52" s="3" t="s">
        <v>249</v>
      </c>
      <c r="E52" s="32">
        <f>Invulsheet!U52</f>
        <v>0</v>
      </c>
      <c r="F52" s="32">
        <f>Invulsheet!V52</f>
        <v>0</v>
      </c>
      <c r="I52" s="38">
        <f>1/(F52+0.04+0.17)</f>
        <v>4.7619047619047619</v>
      </c>
      <c r="J52" s="38">
        <v>1</v>
      </c>
      <c r="K52" s="38">
        <f t="shared" ref="K52:K57" si="7">E52*I52*J52</f>
        <v>0</v>
      </c>
      <c r="L52" s="72"/>
    </row>
    <row r="53" spans="3:12" ht="15" customHeight="1" x14ac:dyDescent="0.2">
      <c r="C53" s="3" t="s">
        <v>257</v>
      </c>
      <c r="E53" s="32">
        <f>Invulsheet!U53</f>
        <v>0</v>
      </c>
      <c r="F53" s="32">
        <f>Invulsheet!V53</f>
        <v>0</v>
      </c>
      <c r="I53" s="38">
        <f>1/(F53+0.04+0.17)</f>
        <v>4.7619047619047619</v>
      </c>
      <c r="J53" s="38">
        <v>1</v>
      </c>
      <c r="K53" s="38">
        <f t="shared" si="7"/>
        <v>0</v>
      </c>
      <c r="L53" s="72"/>
    </row>
    <row r="54" spans="3:12" ht="15" customHeight="1" x14ac:dyDescent="0.2">
      <c r="C54" s="3" t="s">
        <v>256</v>
      </c>
      <c r="E54" s="32">
        <f>Invulsheet!U54</f>
        <v>0</v>
      </c>
      <c r="F54" s="32">
        <f>Invulsheet!V54</f>
        <v>0</v>
      </c>
      <c r="I54" s="38">
        <f>1/(F54+0.04+0.17)</f>
        <v>4.7619047619047619</v>
      </c>
      <c r="J54" s="38">
        <v>1</v>
      </c>
      <c r="K54" s="38">
        <f t="shared" ref="K54:K55" si="8">E54*I54*J54</f>
        <v>0</v>
      </c>
      <c r="L54" s="72"/>
    </row>
    <row r="55" spans="3:12" ht="15" customHeight="1" x14ac:dyDescent="0.2">
      <c r="C55" s="3" t="s">
        <v>255</v>
      </c>
      <c r="E55" s="32">
        <f>Invulsheet!U55</f>
        <v>0</v>
      </c>
      <c r="F55" s="32">
        <f>Invulsheet!V55</f>
        <v>0</v>
      </c>
      <c r="I55" s="38">
        <f>1/(F55+0.04+0.17)</f>
        <v>4.7619047619047619</v>
      </c>
      <c r="J55" s="38">
        <v>1</v>
      </c>
      <c r="K55" s="38">
        <f t="shared" si="8"/>
        <v>0</v>
      </c>
      <c r="L55" s="72"/>
    </row>
    <row r="56" spans="3:12" ht="15" customHeight="1" x14ac:dyDescent="0.2">
      <c r="C56" s="3" t="s">
        <v>254</v>
      </c>
      <c r="E56" s="32">
        <f>Invulsheet!U56</f>
        <v>0</v>
      </c>
      <c r="G56" s="32">
        <f>Invulsheet!W56</f>
        <v>0</v>
      </c>
      <c r="H56" s="31"/>
      <c r="I56" s="38">
        <f>IFERROR(1/(1/G56+0.04+0.17), 0)</f>
        <v>0</v>
      </c>
      <c r="J56" s="38">
        <v>1</v>
      </c>
      <c r="K56" s="38">
        <f t="shared" si="7"/>
        <v>0</v>
      </c>
      <c r="L56" s="72"/>
    </row>
    <row r="57" spans="3:12" ht="15" customHeight="1" x14ac:dyDescent="0.2">
      <c r="C57" s="3" t="s">
        <v>253</v>
      </c>
      <c r="E57" s="32">
        <f>Invulsheet!U57</f>
        <v>0</v>
      </c>
      <c r="G57" s="32">
        <f>Invulsheet!W57</f>
        <v>0</v>
      </c>
      <c r="H57" s="31"/>
      <c r="I57" s="38">
        <f t="shared" ref="I57:I59" si="9">IFERROR(1/(1/G57+0.04+0.17), 0)</f>
        <v>0</v>
      </c>
      <c r="J57" s="38">
        <v>1</v>
      </c>
      <c r="K57" s="38">
        <f t="shared" si="7"/>
        <v>0</v>
      </c>
    </row>
    <row r="58" spans="3:12" ht="15" customHeight="1" x14ac:dyDescent="0.2">
      <c r="C58" s="3" t="s">
        <v>252</v>
      </c>
      <c r="E58" s="32">
        <f>Invulsheet!U58</f>
        <v>0</v>
      </c>
      <c r="G58" s="32">
        <f>Invulsheet!W58</f>
        <v>0</v>
      </c>
      <c r="H58" s="31"/>
      <c r="I58" s="38">
        <f t="shared" si="9"/>
        <v>0</v>
      </c>
      <c r="J58" s="38">
        <v>1</v>
      </c>
      <c r="K58" s="38">
        <f t="shared" ref="K58:K59" si="10">E58*I58*J58</f>
        <v>0</v>
      </c>
      <c r="L58" s="47"/>
    </row>
    <row r="59" spans="3:12" ht="15" customHeight="1" x14ac:dyDescent="0.2">
      <c r="C59" s="3" t="s">
        <v>250</v>
      </c>
      <c r="E59" s="32">
        <f>Invulsheet!U59</f>
        <v>0</v>
      </c>
      <c r="G59" s="32">
        <f>Invulsheet!W59</f>
        <v>0</v>
      </c>
      <c r="H59" s="31"/>
      <c r="I59" s="38">
        <f t="shared" si="9"/>
        <v>0</v>
      </c>
      <c r="J59" s="38">
        <v>1</v>
      </c>
      <c r="K59" s="38">
        <f t="shared" si="10"/>
        <v>0</v>
      </c>
      <c r="L59" s="46" t="e">
        <f>-SUM(K52:K59)/$K$67*$AC$241</f>
        <v>#DIV/0!</v>
      </c>
    </row>
    <row r="60" spans="3:12" ht="15" customHeight="1" x14ac:dyDescent="0.2">
      <c r="I60" s="3"/>
      <c r="L60" s="72"/>
    </row>
    <row r="61" spans="3:12" ht="15" customHeight="1" x14ac:dyDescent="0.2">
      <c r="C61" s="3" t="s">
        <v>251</v>
      </c>
      <c r="E61" s="32">
        <f>Invulsheet!U61</f>
        <v>0</v>
      </c>
      <c r="G61" s="32">
        <f>Invulsheet!W61</f>
        <v>0</v>
      </c>
      <c r="H61" s="31"/>
      <c r="I61" s="38">
        <f>G61</f>
        <v>0</v>
      </c>
      <c r="J61" s="38">
        <v>1</v>
      </c>
      <c r="K61" s="38">
        <f t="shared" ref="K61:K65" si="11">E61*I61*J61</f>
        <v>0</v>
      </c>
      <c r="L61" s="72"/>
    </row>
    <row r="62" spans="3:12" ht="15" customHeight="1" x14ac:dyDescent="0.2">
      <c r="C62" s="3" t="s">
        <v>30</v>
      </c>
      <c r="E62" s="32">
        <f>Invulsheet!U62</f>
        <v>0</v>
      </c>
      <c r="G62" s="32">
        <f>Invulsheet!W62</f>
        <v>0</v>
      </c>
      <c r="H62" s="31"/>
      <c r="I62" s="38">
        <f>G62</f>
        <v>0</v>
      </c>
      <c r="J62" s="38">
        <v>1</v>
      </c>
      <c r="K62" s="38">
        <f t="shared" si="11"/>
        <v>0</v>
      </c>
      <c r="L62" s="72"/>
    </row>
    <row r="63" spans="3:12" ht="15" customHeight="1" x14ac:dyDescent="0.2">
      <c r="C63" s="3" t="s">
        <v>31</v>
      </c>
      <c r="E63" s="32">
        <f>Invulsheet!U63</f>
        <v>0</v>
      </c>
      <c r="G63" s="32">
        <f>Invulsheet!W63</f>
        <v>0</v>
      </c>
      <c r="H63" s="31"/>
      <c r="I63" s="38">
        <f>G63</f>
        <v>0</v>
      </c>
      <c r="J63" s="38">
        <v>1</v>
      </c>
      <c r="K63" s="38">
        <f t="shared" si="11"/>
        <v>0</v>
      </c>
      <c r="L63" s="72"/>
    </row>
    <row r="64" spans="3:12" ht="15" customHeight="1" x14ac:dyDescent="0.2">
      <c r="C64" s="3" t="s">
        <v>75</v>
      </c>
      <c r="E64" s="32">
        <f>Invulsheet!U64</f>
        <v>0</v>
      </c>
      <c r="G64" s="32">
        <f>Invulsheet!W64</f>
        <v>0</v>
      </c>
      <c r="H64" s="31"/>
      <c r="I64" s="38">
        <f>G64</f>
        <v>0</v>
      </c>
      <c r="J64" s="38">
        <v>1</v>
      </c>
      <c r="K64" s="38">
        <f t="shared" si="11"/>
        <v>0</v>
      </c>
      <c r="L64" s="72"/>
    </row>
    <row r="65" spans="1:12" ht="15" customHeight="1" x14ac:dyDescent="0.2">
      <c r="C65" s="3" t="s">
        <v>76</v>
      </c>
      <c r="E65" s="32">
        <f>Invulsheet!U65</f>
        <v>0</v>
      </c>
      <c r="G65" s="32">
        <f>Invulsheet!W65</f>
        <v>0</v>
      </c>
      <c r="H65" s="31"/>
      <c r="I65" s="38">
        <f>G65</f>
        <v>0</v>
      </c>
      <c r="J65" s="38">
        <v>1</v>
      </c>
      <c r="K65" s="38">
        <f t="shared" si="11"/>
        <v>0</v>
      </c>
      <c r="L65" s="46" t="e">
        <f>-SUM(K61:K65)/$K$67*$AC$241</f>
        <v>#DIV/0!</v>
      </c>
    </row>
    <row r="66" spans="1:12" ht="15" customHeight="1" x14ac:dyDescent="0.2">
      <c r="E66" s="35"/>
      <c r="G66" s="35"/>
      <c r="H66" s="31"/>
      <c r="I66" s="40"/>
      <c r="J66" s="40"/>
      <c r="K66" s="40"/>
    </row>
    <row r="67" spans="1:12" ht="15" customHeight="1" x14ac:dyDescent="0.2">
      <c r="C67" s="3" t="s">
        <v>33</v>
      </c>
      <c r="D67" s="5" t="s">
        <v>5</v>
      </c>
      <c r="E67" s="35"/>
      <c r="G67" s="35"/>
      <c r="H67" s="31"/>
      <c r="I67" s="40"/>
      <c r="J67" s="40"/>
      <c r="K67" s="38">
        <f>SUM(K34:K65)</f>
        <v>0</v>
      </c>
    </row>
    <row r="68" spans="1:12" ht="15" customHeight="1" x14ac:dyDescent="0.2">
      <c r="C68" s="3" t="s">
        <v>21</v>
      </c>
      <c r="D68" s="5" t="s">
        <v>49</v>
      </c>
      <c r="E68" s="35"/>
      <c r="G68" s="35"/>
      <c r="H68" s="31"/>
      <c r="I68" s="40"/>
      <c r="J68" s="40"/>
      <c r="L68" s="46">
        <f>-AC241</f>
        <v>0</v>
      </c>
    </row>
    <row r="69" spans="1:12" ht="15" customHeight="1" x14ac:dyDescent="0.2"/>
    <row r="70" spans="1:12" ht="15" customHeight="1" x14ac:dyDescent="0.2"/>
    <row r="71" spans="1:12" ht="24" customHeight="1" x14ac:dyDescent="0.3">
      <c r="C71" s="9" t="s">
        <v>77</v>
      </c>
      <c r="D71" s="23"/>
      <c r="E71" s="12"/>
      <c r="F71" s="12"/>
      <c r="G71" s="12"/>
      <c r="H71" s="12"/>
      <c r="I71" s="12"/>
      <c r="J71" s="12"/>
      <c r="K71" s="12"/>
    </row>
    <row r="72" spans="1:12" ht="15" customHeight="1" x14ac:dyDescent="0.2"/>
    <row r="73" spans="1:12" ht="15" customHeight="1" x14ac:dyDescent="0.2">
      <c r="C73" s="3" t="s">
        <v>46</v>
      </c>
      <c r="D73" s="5" t="s">
        <v>17</v>
      </c>
      <c r="F73" s="42">
        <f>Invulsheet!V70</f>
        <v>0</v>
      </c>
    </row>
    <row r="74" spans="1:12" ht="15" customHeight="1" x14ac:dyDescent="0.2">
      <c r="C74" s="3" t="s">
        <v>45</v>
      </c>
      <c r="D74" s="5" t="s">
        <v>78</v>
      </c>
      <c r="F74" s="44"/>
      <c r="J74" s="38" t="e">
        <f>F73*3.6/J17*(1/10)^0.7</f>
        <v>#DIV/0!</v>
      </c>
    </row>
    <row r="75" spans="1:12" ht="15" customHeight="1" x14ac:dyDescent="0.2">
      <c r="C75" s="3" t="s">
        <v>44</v>
      </c>
      <c r="D75" s="5" t="s">
        <v>143</v>
      </c>
      <c r="F75" s="44"/>
      <c r="J75" s="37" t="e">
        <f>J74*F16/3600</f>
        <v>#DIV/0!</v>
      </c>
    </row>
    <row r="76" spans="1:12" ht="15" customHeight="1" x14ac:dyDescent="0.2">
      <c r="C76" s="3" t="s">
        <v>142</v>
      </c>
      <c r="D76" s="5" t="s">
        <v>5</v>
      </c>
      <c r="F76" s="44"/>
      <c r="J76" s="38" t="e">
        <f>J75*1230</f>
        <v>#DIV/0!</v>
      </c>
      <c r="K76" s="46" t="e">
        <f>-J76/$J$85*$AD$241</f>
        <v>#DIV/0!</v>
      </c>
    </row>
    <row r="77" spans="1:12" ht="15" customHeight="1" x14ac:dyDescent="0.2"/>
    <row r="78" spans="1:12" ht="15" customHeight="1" x14ac:dyDescent="0.2">
      <c r="C78" s="3" t="s">
        <v>39</v>
      </c>
      <c r="D78" s="5" t="s">
        <v>78</v>
      </c>
      <c r="F78" s="42">
        <f>Invulsheet!V72</f>
        <v>0</v>
      </c>
    </row>
    <row r="79" spans="1:12" s="107" customFormat="1" ht="15" customHeight="1" x14ac:dyDescent="0.2">
      <c r="A79" s="112"/>
      <c r="C79" s="107" t="s">
        <v>248</v>
      </c>
      <c r="D79" s="5"/>
      <c r="E79" s="11"/>
      <c r="F79" s="42">
        <f>Invulsheet!V73</f>
        <v>0</v>
      </c>
      <c r="G79" s="11"/>
      <c r="H79" s="11"/>
      <c r="I79" s="11"/>
      <c r="J79" s="11"/>
      <c r="K79" s="11"/>
    </row>
    <row r="80" spans="1:12" ht="15" customHeight="1" x14ac:dyDescent="0.2">
      <c r="C80" s="3" t="s">
        <v>43</v>
      </c>
      <c r="F80" s="42">
        <f>Invulsheet!V74</f>
        <v>0</v>
      </c>
    </row>
    <row r="81" spans="1:11" ht="15" customHeight="1" x14ac:dyDescent="0.2">
      <c r="C81" s="3" t="s">
        <v>38</v>
      </c>
      <c r="D81" s="5" t="s">
        <v>59</v>
      </c>
      <c r="F81" s="121">
        <f>Invulsheet!V75</f>
        <v>0</v>
      </c>
    </row>
    <row r="82" spans="1:11" ht="15" customHeight="1" x14ac:dyDescent="0.2">
      <c r="C82" s="3" t="s">
        <v>40</v>
      </c>
      <c r="D82" s="5" t="s">
        <v>143</v>
      </c>
      <c r="F82" s="44"/>
      <c r="J82" s="37">
        <f>F78*F16*IF(F80=Data!B3,0.5,1)/3600</f>
        <v>0</v>
      </c>
    </row>
    <row r="83" spans="1:11" ht="15" customHeight="1" x14ac:dyDescent="0.2">
      <c r="C83" s="3" t="s">
        <v>144</v>
      </c>
      <c r="D83" s="5" t="s">
        <v>5</v>
      </c>
      <c r="F83" s="44"/>
      <c r="J83" s="38">
        <f>J82*(1-F81)*1230</f>
        <v>0</v>
      </c>
      <c r="K83" s="46" t="e">
        <f>-J83/$J$85*$AD$241</f>
        <v>#DIV/0!</v>
      </c>
    </row>
    <row r="84" spans="1:11" ht="15" customHeight="1" x14ac:dyDescent="0.2">
      <c r="F84" s="44"/>
      <c r="J84" s="40"/>
    </row>
    <row r="85" spans="1:11" ht="15" customHeight="1" x14ac:dyDescent="0.2">
      <c r="C85" s="3" t="s">
        <v>33</v>
      </c>
      <c r="D85" s="5" t="s">
        <v>5</v>
      </c>
      <c r="F85" s="44"/>
      <c r="J85" s="38" t="e">
        <f>J83+J76</f>
        <v>#DIV/0!</v>
      </c>
    </row>
    <row r="86" spans="1:11" ht="15" customHeight="1" x14ac:dyDescent="0.2">
      <c r="C86" s="3" t="s">
        <v>163</v>
      </c>
      <c r="D86" s="5" t="s">
        <v>49</v>
      </c>
      <c r="F86" s="44"/>
      <c r="K86" s="46">
        <f>-$AD$241</f>
        <v>0</v>
      </c>
    </row>
    <row r="87" spans="1:11" s="107" customFormat="1" ht="15" customHeight="1" x14ac:dyDescent="0.2">
      <c r="A87" s="112"/>
      <c r="D87" s="5"/>
      <c r="E87" s="11"/>
      <c r="F87" s="44"/>
      <c r="G87" s="11"/>
      <c r="H87" s="11"/>
      <c r="I87" s="11"/>
      <c r="J87" s="11"/>
      <c r="K87" s="47"/>
    </row>
    <row r="88" spans="1:11" s="107" customFormat="1" ht="15" customHeight="1" x14ac:dyDescent="0.2">
      <c r="A88" s="112"/>
      <c r="C88" s="107" t="s">
        <v>264</v>
      </c>
      <c r="D88" s="5" t="s">
        <v>48</v>
      </c>
      <c r="E88" s="11"/>
      <c r="F88" s="44"/>
      <c r="G88" s="11"/>
      <c r="H88" s="11"/>
      <c r="I88" s="11"/>
      <c r="J88" s="46">
        <f>IFERROR(VLOOKUP(F79,Data!E27:F29,2,FALSE),0)</f>
        <v>0</v>
      </c>
      <c r="K88" s="47"/>
    </row>
    <row r="89" spans="1:11" ht="15" customHeight="1" x14ac:dyDescent="0.2">
      <c r="F89" s="24"/>
    </row>
    <row r="90" spans="1:11" ht="15" customHeight="1" x14ac:dyDescent="0.2"/>
    <row r="91" spans="1:11" ht="24" customHeight="1" x14ac:dyDescent="0.3">
      <c r="C91" s="9" t="s">
        <v>79</v>
      </c>
      <c r="D91" s="23"/>
      <c r="E91" s="12"/>
      <c r="F91" s="12"/>
      <c r="G91" s="12"/>
      <c r="H91" s="12"/>
      <c r="I91" s="12"/>
      <c r="J91" s="12"/>
      <c r="K91" s="12"/>
    </row>
    <row r="92" spans="1:11" ht="15" customHeight="1" x14ac:dyDescent="0.2"/>
    <row r="93" spans="1:11" ht="15" customHeight="1" x14ac:dyDescent="0.2">
      <c r="C93" s="3" t="s">
        <v>80</v>
      </c>
      <c r="D93" s="5" t="s">
        <v>0</v>
      </c>
      <c r="F93" s="32">
        <f>Invulsheet!V83</f>
        <v>10</v>
      </c>
      <c r="G93" s="3"/>
      <c r="H93" s="3"/>
      <c r="I93" s="3"/>
      <c r="J93" s="3"/>
      <c r="K93" s="3"/>
    </row>
    <row r="94" spans="1:11" ht="15" customHeight="1" x14ac:dyDescent="0.2">
      <c r="C94" s="3" t="s">
        <v>81</v>
      </c>
      <c r="D94" s="5" t="s">
        <v>0</v>
      </c>
      <c r="F94" s="32">
        <f>Invulsheet!V84</f>
        <v>40</v>
      </c>
    </row>
    <row r="95" spans="1:11" ht="15" customHeight="1" x14ac:dyDescent="0.2">
      <c r="C95" s="3" t="s">
        <v>147</v>
      </c>
      <c r="J95" s="38">
        <f>F94-F93</f>
        <v>30</v>
      </c>
    </row>
    <row r="96" spans="1:11" ht="15" customHeight="1" x14ac:dyDescent="0.2">
      <c r="C96" s="3" t="s">
        <v>51</v>
      </c>
      <c r="F96" s="32">
        <f>Invulsheet!V85</f>
        <v>5</v>
      </c>
    </row>
    <row r="97" spans="3:11" ht="15" customHeight="1" x14ac:dyDescent="0.2">
      <c r="C97" s="3" t="s">
        <v>145</v>
      </c>
      <c r="D97" s="5" t="s">
        <v>146</v>
      </c>
      <c r="J97" s="38">
        <f>VLOOKUP(F96,Data!B20:C25,2)</f>
        <v>12</v>
      </c>
    </row>
    <row r="98" spans="3:11" ht="15" customHeight="1" x14ac:dyDescent="0.2">
      <c r="C98" s="3" t="s">
        <v>90</v>
      </c>
      <c r="D98" s="5" t="s">
        <v>89</v>
      </c>
      <c r="F98" s="32">
        <f>Invulsheet!V86</f>
        <v>4</v>
      </c>
    </row>
    <row r="99" spans="3:11" ht="15" customHeight="1" x14ac:dyDescent="0.2"/>
    <row r="100" spans="3:11" ht="15" customHeight="1" x14ac:dyDescent="0.2">
      <c r="C100" s="3" t="s">
        <v>82</v>
      </c>
      <c r="D100" s="5" t="s">
        <v>54</v>
      </c>
      <c r="F100" s="32">
        <f>Invulsheet!V88</f>
        <v>0</v>
      </c>
    </row>
    <row r="101" spans="3:11" ht="15" customHeight="1" x14ac:dyDescent="0.2">
      <c r="C101" s="3" t="s">
        <v>85</v>
      </c>
      <c r="D101" s="5" t="s">
        <v>84</v>
      </c>
      <c r="F101" s="41">
        <f>Invulsheet!V89</f>
        <v>0</v>
      </c>
      <c r="J101" s="3"/>
    </row>
    <row r="102" spans="3:11" ht="15" customHeight="1" x14ac:dyDescent="0.2">
      <c r="C102" s="3" t="s">
        <v>83</v>
      </c>
      <c r="D102" s="5" t="s">
        <v>59</v>
      </c>
      <c r="F102" s="41">
        <f>Invulsheet!V90</f>
        <v>0</v>
      </c>
    </row>
    <row r="103" spans="3:11" ht="15" customHeight="1" x14ac:dyDescent="0.2">
      <c r="C103" s="3" t="s">
        <v>148</v>
      </c>
      <c r="F103" s="35"/>
      <c r="J103" s="33">
        <f>(52-F96)*F101</f>
        <v>0</v>
      </c>
    </row>
    <row r="104" spans="3:11" ht="15" customHeight="1" x14ac:dyDescent="0.2">
      <c r="C104" s="3" t="s">
        <v>149</v>
      </c>
      <c r="D104" s="5" t="s">
        <v>18</v>
      </c>
      <c r="F104" s="35"/>
      <c r="J104" s="36">
        <f>4.18*F100*J97*J95*(1-F102/100)/1000000</f>
        <v>0</v>
      </c>
    </row>
    <row r="105" spans="3:11" ht="15" customHeight="1" x14ac:dyDescent="0.2">
      <c r="C105" s="3" t="s">
        <v>150</v>
      </c>
      <c r="D105" s="5" t="s">
        <v>56</v>
      </c>
      <c r="F105" s="35"/>
      <c r="I105" s="39">
        <f>J104*J103</f>
        <v>0</v>
      </c>
      <c r="J105" s="3"/>
      <c r="K105" s="3"/>
    </row>
    <row r="106" spans="3:11" ht="15" customHeight="1" x14ac:dyDescent="0.2">
      <c r="F106" s="35"/>
      <c r="I106" s="48"/>
    </row>
    <row r="107" spans="3:11" ht="15" customHeight="1" x14ac:dyDescent="0.2">
      <c r="I107" s="48"/>
    </row>
    <row r="108" spans="3:11" ht="15" customHeight="1" x14ac:dyDescent="0.2">
      <c r="C108" s="3" t="s">
        <v>86</v>
      </c>
      <c r="D108" s="5" t="s">
        <v>84</v>
      </c>
      <c r="F108" s="41">
        <f>Invulsheet!V92</f>
        <v>0</v>
      </c>
      <c r="I108" s="48"/>
    </row>
    <row r="109" spans="3:11" ht="15" customHeight="1" x14ac:dyDescent="0.2">
      <c r="C109" s="3" t="s">
        <v>87</v>
      </c>
      <c r="D109" s="5" t="s">
        <v>88</v>
      </c>
      <c r="F109" s="41">
        <f>Invulsheet!V93</f>
        <v>110</v>
      </c>
      <c r="I109" s="48"/>
    </row>
    <row r="110" spans="3:11" ht="15" customHeight="1" x14ac:dyDescent="0.2">
      <c r="C110" s="3" t="s">
        <v>151</v>
      </c>
      <c r="F110" s="35"/>
      <c r="I110" s="48"/>
      <c r="J110" s="33">
        <f>(52-F103)*F108</f>
        <v>0</v>
      </c>
    </row>
    <row r="111" spans="3:11" ht="15" customHeight="1" x14ac:dyDescent="0.2">
      <c r="C111" s="3" t="s">
        <v>149</v>
      </c>
      <c r="D111" s="5" t="s">
        <v>18</v>
      </c>
      <c r="F111" s="35"/>
      <c r="I111" s="48"/>
      <c r="J111" s="36">
        <f>4.18*J95*F109/1000000</f>
        <v>1.3793999999999999E-2</v>
      </c>
    </row>
    <row r="112" spans="3:11" ht="15" customHeight="1" x14ac:dyDescent="0.2">
      <c r="C112" s="3" t="s">
        <v>150</v>
      </c>
      <c r="D112" s="5" t="s">
        <v>56</v>
      </c>
      <c r="F112" s="35"/>
      <c r="I112" s="39">
        <f>J111*J110</f>
        <v>0</v>
      </c>
      <c r="J112" s="3"/>
      <c r="K112" s="3"/>
    </row>
    <row r="113" spans="1:11" ht="15" customHeight="1" x14ac:dyDescent="0.2">
      <c r="I113" s="48"/>
    </row>
    <row r="114" spans="1:11" ht="15" customHeight="1" x14ac:dyDescent="0.2">
      <c r="C114" s="27" t="s">
        <v>91</v>
      </c>
      <c r="D114" s="5" t="s">
        <v>92</v>
      </c>
      <c r="F114" s="32">
        <f>Invulsheet!V95</f>
        <v>0</v>
      </c>
      <c r="I114" s="48"/>
    </row>
    <row r="115" spans="1:11" ht="15" customHeight="1" x14ac:dyDescent="0.2">
      <c r="C115" s="3" t="s">
        <v>152</v>
      </c>
      <c r="D115" s="5" t="s">
        <v>55</v>
      </c>
      <c r="F115" s="35"/>
      <c r="I115" s="48"/>
      <c r="J115" s="36">
        <f>F114*J97*J95*4.18/1000000</f>
        <v>0</v>
      </c>
    </row>
    <row r="116" spans="1:11" ht="15" customHeight="1" x14ac:dyDescent="0.2">
      <c r="C116" s="3" t="s">
        <v>150</v>
      </c>
      <c r="D116" s="5" t="s">
        <v>56</v>
      </c>
      <c r="F116" s="35"/>
      <c r="I116" s="39">
        <f>J115*(52-F98)*7</f>
        <v>0</v>
      </c>
      <c r="J116" s="3"/>
    </row>
    <row r="117" spans="1:11" ht="15" customHeight="1" x14ac:dyDescent="0.2">
      <c r="F117" s="35"/>
      <c r="I117" s="48"/>
    </row>
    <row r="118" spans="1:11" ht="15" customHeight="1" x14ac:dyDescent="0.2">
      <c r="C118" s="3" t="s">
        <v>153</v>
      </c>
      <c r="D118" s="5" t="s">
        <v>56</v>
      </c>
      <c r="F118" s="35"/>
      <c r="I118" s="39">
        <f>I116+I112+I105</f>
        <v>0</v>
      </c>
    </row>
    <row r="119" spans="1:11" ht="15" customHeight="1" x14ac:dyDescent="0.2">
      <c r="F119" s="24"/>
      <c r="I119" s="48"/>
    </row>
    <row r="120" spans="1:11" s="107" customFormat="1" ht="15" customHeight="1" x14ac:dyDescent="0.2">
      <c r="A120" s="112"/>
      <c r="C120" s="1" t="s">
        <v>265</v>
      </c>
      <c r="D120" s="5"/>
      <c r="E120" s="11"/>
      <c r="F120" s="24"/>
      <c r="G120" s="11"/>
      <c r="H120" s="11"/>
      <c r="I120" s="48"/>
      <c r="J120" s="11"/>
      <c r="K120" s="11"/>
    </row>
    <row r="121" spans="1:11" s="107" customFormat="1" ht="15" customHeight="1" x14ac:dyDescent="0.2">
      <c r="A121" s="112"/>
      <c r="C121" s="107" t="s">
        <v>266</v>
      </c>
      <c r="D121" s="5"/>
      <c r="E121" s="11"/>
      <c r="F121" s="121">
        <f>Invulsheet!V99</f>
        <v>1</v>
      </c>
      <c r="G121" s="11"/>
      <c r="H121" s="11"/>
      <c r="I121" s="39">
        <f>F121*I118</f>
        <v>0</v>
      </c>
      <c r="J121" s="5" t="s">
        <v>56</v>
      </c>
      <c r="K121" s="11"/>
    </row>
    <row r="122" spans="1:11" ht="15" customHeight="1" x14ac:dyDescent="0.2">
      <c r="C122" s="3" t="s">
        <v>93</v>
      </c>
      <c r="F122" s="41">
        <f>Invulsheet!V100</f>
        <v>0</v>
      </c>
      <c r="I122" s="48"/>
    </row>
    <row r="123" spans="1:11" ht="15" customHeight="1" x14ac:dyDescent="0.2">
      <c r="C123" s="3" t="s">
        <v>95</v>
      </c>
      <c r="F123" s="43">
        <f>Invulsheet!V101</f>
        <v>0</v>
      </c>
      <c r="I123" s="48"/>
    </row>
    <row r="124" spans="1:11" s="107" customFormat="1" ht="15" customHeight="1" x14ac:dyDescent="0.2">
      <c r="A124" s="112"/>
      <c r="C124" s="107" t="s">
        <v>268</v>
      </c>
      <c r="D124" s="5"/>
      <c r="E124" s="11"/>
      <c r="F124" s="43">
        <f>Invulsheet!V102</f>
        <v>0</v>
      </c>
      <c r="G124" s="11"/>
      <c r="H124" s="11"/>
      <c r="I124" s="39">
        <f>-1*F124</f>
        <v>0</v>
      </c>
      <c r="J124" s="5" t="s">
        <v>56</v>
      </c>
      <c r="K124" s="11" t="str">
        <f>IF(I125+I124+I121&lt;0,"Overproductie!","")</f>
        <v/>
      </c>
    </row>
    <row r="125" spans="1:11" s="107" customFormat="1" ht="15" customHeight="1" x14ac:dyDescent="0.2">
      <c r="A125" s="112"/>
      <c r="C125" s="107" t="s">
        <v>154</v>
      </c>
      <c r="D125" s="5"/>
      <c r="E125" s="11"/>
      <c r="F125" s="43">
        <f>Invulsheet!V103</f>
        <v>0</v>
      </c>
      <c r="G125" s="11"/>
      <c r="H125" s="11"/>
      <c r="I125" s="39">
        <f>IFERROR(VLOOKUP(F125,Data!$E$20:$F$23,2,FALSE)*F121,0)</f>
        <v>0</v>
      </c>
      <c r="J125" s="5" t="s">
        <v>56</v>
      </c>
      <c r="K125" s="11"/>
    </row>
    <row r="126" spans="1:11" ht="15" customHeight="1" x14ac:dyDescent="0.2">
      <c r="C126" s="3" t="s">
        <v>155</v>
      </c>
      <c r="D126" s="5" t="s">
        <v>56</v>
      </c>
      <c r="I126" s="39">
        <f>IFERROR(MAX(0, I121+I124+I125)/F123,0)</f>
        <v>0</v>
      </c>
      <c r="J126" s="5" t="s">
        <v>56</v>
      </c>
    </row>
    <row r="127" spans="1:11" s="107" customFormat="1" ht="15" customHeight="1" x14ac:dyDescent="0.2">
      <c r="A127" s="112"/>
      <c r="D127" s="5"/>
      <c r="E127" s="11"/>
      <c r="F127" s="45"/>
      <c r="G127" s="11"/>
      <c r="H127" s="11"/>
      <c r="I127" s="120"/>
      <c r="J127" s="11"/>
      <c r="K127" s="11"/>
    </row>
    <row r="128" spans="1:11" s="107" customFormat="1" ht="15" customHeight="1" x14ac:dyDescent="0.2">
      <c r="A128" s="112"/>
      <c r="C128" s="1" t="s">
        <v>267</v>
      </c>
      <c r="D128" s="5"/>
      <c r="E128" s="11"/>
      <c r="F128" s="45"/>
      <c r="G128" s="11"/>
      <c r="H128" s="11"/>
      <c r="I128" s="120"/>
      <c r="J128" s="11"/>
      <c r="K128" s="11"/>
    </row>
    <row r="129" spans="1:12" s="107" customFormat="1" ht="15" customHeight="1" x14ac:dyDescent="0.2">
      <c r="A129" s="112"/>
      <c r="C129" s="107" t="s">
        <v>266</v>
      </c>
      <c r="D129" s="5"/>
      <c r="E129" s="11"/>
      <c r="F129" s="121">
        <f>Invulsheet!W106</f>
        <v>0</v>
      </c>
      <c r="G129" s="11"/>
      <c r="H129" s="11"/>
      <c r="I129" s="39">
        <f>F129*I118</f>
        <v>0</v>
      </c>
      <c r="J129" s="5" t="s">
        <v>56</v>
      </c>
      <c r="K129" s="11"/>
    </row>
    <row r="130" spans="1:12" s="107" customFormat="1" ht="15" customHeight="1" x14ac:dyDescent="0.2">
      <c r="A130" s="112"/>
      <c r="C130" s="107" t="s">
        <v>93</v>
      </c>
      <c r="D130" s="5"/>
      <c r="E130" s="11"/>
      <c r="F130" s="41" t="str">
        <f>Invulsheet!V107</f>
        <v>Elektriciteit</v>
      </c>
      <c r="G130" s="11"/>
      <c r="H130" s="11"/>
      <c r="I130" s="120"/>
      <c r="J130" s="11"/>
      <c r="K130" s="11"/>
    </row>
    <row r="131" spans="1:12" s="107" customFormat="1" ht="15" customHeight="1" x14ac:dyDescent="0.2">
      <c r="A131" s="112"/>
      <c r="C131" s="107" t="s">
        <v>95</v>
      </c>
      <c r="D131" s="5"/>
      <c r="E131" s="11"/>
      <c r="F131" s="43">
        <f>Invulsheet!V108</f>
        <v>1</v>
      </c>
      <c r="G131" s="11"/>
      <c r="H131" s="11"/>
      <c r="I131" s="120"/>
      <c r="J131" s="11"/>
      <c r="K131" s="11"/>
    </row>
    <row r="132" spans="1:12" s="107" customFormat="1" ht="15" customHeight="1" x14ac:dyDescent="0.2">
      <c r="A132" s="112"/>
      <c r="C132" s="107" t="s">
        <v>154</v>
      </c>
      <c r="D132" s="5"/>
      <c r="E132" s="11"/>
      <c r="F132" s="41" t="str">
        <f>Invulsheet!V109</f>
        <v>Geen</v>
      </c>
      <c r="G132" s="11"/>
      <c r="H132" s="11"/>
      <c r="I132" s="39">
        <f>VLOOKUP(F132,Data!$E$20:$F$23,2,FALSE)*F129</f>
        <v>0</v>
      </c>
      <c r="J132" s="5" t="s">
        <v>56</v>
      </c>
      <c r="K132" s="11"/>
    </row>
    <row r="133" spans="1:12" s="107" customFormat="1" ht="15" customHeight="1" x14ac:dyDescent="0.2">
      <c r="A133" s="112"/>
      <c r="C133" s="107" t="s">
        <v>155</v>
      </c>
      <c r="D133" s="5" t="s">
        <v>56</v>
      </c>
      <c r="E133" s="11"/>
      <c r="F133" s="45"/>
      <c r="G133" s="11"/>
      <c r="H133" s="11"/>
      <c r="I133" s="39">
        <f>MAX(0, I129+I132)/F131</f>
        <v>0</v>
      </c>
      <c r="J133" s="5" t="s">
        <v>56</v>
      </c>
      <c r="K133" s="11"/>
    </row>
    <row r="134" spans="1:12" ht="15" customHeight="1" x14ac:dyDescent="0.2">
      <c r="F134" s="24"/>
    </row>
    <row r="135" spans="1:12" ht="15" customHeight="1" x14ac:dyDescent="0.2"/>
    <row r="136" spans="1:12" ht="24" customHeight="1" x14ac:dyDescent="0.3">
      <c r="C136" s="9" t="s">
        <v>96</v>
      </c>
      <c r="D136" s="23"/>
      <c r="E136" s="12"/>
      <c r="F136" s="12"/>
      <c r="G136" s="12"/>
      <c r="H136" s="12"/>
      <c r="I136" s="12"/>
      <c r="J136" s="12"/>
      <c r="K136" s="12"/>
    </row>
    <row r="137" spans="1:12" ht="15" customHeight="1" x14ac:dyDescent="0.2"/>
    <row r="138" spans="1:12" s="107" customFormat="1" ht="15" customHeight="1" x14ac:dyDescent="0.2">
      <c r="A138" s="112"/>
      <c r="C138" s="1" t="s">
        <v>265</v>
      </c>
      <c r="D138" s="5"/>
      <c r="E138" s="11"/>
      <c r="F138" s="11"/>
      <c r="G138" s="11"/>
      <c r="H138" s="11"/>
      <c r="I138" s="11"/>
      <c r="J138" s="11"/>
      <c r="K138" s="11"/>
    </row>
    <row r="139" spans="1:12" s="107" customFormat="1" ht="15" customHeight="1" x14ac:dyDescent="0.2">
      <c r="A139" s="112"/>
      <c r="C139" s="107" t="s">
        <v>266</v>
      </c>
      <c r="D139" s="5"/>
      <c r="E139" s="11"/>
      <c r="F139" s="121">
        <f>Invulsheet!V115</f>
        <v>1</v>
      </c>
      <c r="G139" s="11"/>
      <c r="H139" s="11"/>
      <c r="I139" s="38">
        <f>J208*F139/1000</f>
        <v>0</v>
      </c>
      <c r="J139" s="5" t="s">
        <v>56</v>
      </c>
      <c r="K139" s="11"/>
    </row>
    <row r="140" spans="1:12" ht="15" customHeight="1" x14ac:dyDescent="0.2">
      <c r="C140" s="3" t="s">
        <v>97</v>
      </c>
      <c r="F140" s="41">
        <f>Invulsheet!V116</f>
        <v>0</v>
      </c>
    </row>
    <row r="141" spans="1:12" ht="15" customHeight="1" x14ac:dyDescent="0.2">
      <c r="C141" s="3" t="s">
        <v>98</v>
      </c>
      <c r="F141" s="43">
        <f>Invulsheet!V117</f>
        <v>0</v>
      </c>
    </row>
    <row r="142" spans="1:12" s="107" customFormat="1" ht="15" customHeight="1" x14ac:dyDescent="0.2">
      <c r="A142" s="112"/>
      <c r="D142" s="5"/>
      <c r="E142" s="11"/>
      <c r="F142" s="11"/>
      <c r="G142" s="11"/>
      <c r="H142" s="11"/>
      <c r="I142" s="11"/>
      <c r="J142" s="5"/>
      <c r="K142" s="129"/>
      <c r="L142" s="129"/>
    </row>
    <row r="143" spans="1:12" s="107" customFormat="1" ht="15" customHeight="1" x14ac:dyDescent="0.2">
      <c r="A143" s="112"/>
      <c r="C143" s="107" t="s">
        <v>270</v>
      </c>
      <c r="D143" s="5" t="s">
        <v>56</v>
      </c>
      <c r="E143" s="11"/>
      <c r="F143" s="41">
        <f>Invulsheet!V119</f>
        <v>0</v>
      </c>
      <c r="G143" s="11"/>
      <c r="H143" s="11"/>
      <c r="I143" s="38">
        <f>-1*F143</f>
        <v>0</v>
      </c>
      <c r="J143" s="5" t="s">
        <v>56</v>
      </c>
      <c r="K143" s="129" t="str">
        <f>IF(I143+I139&lt;0,"Overproductie","")</f>
        <v/>
      </c>
      <c r="L143" s="129"/>
    </row>
    <row r="144" spans="1:12" s="107" customFormat="1" ht="15" customHeight="1" x14ac:dyDescent="0.2">
      <c r="A144" s="112"/>
      <c r="C144" s="107" t="s">
        <v>165</v>
      </c>
      <c r="D144" s="5" t="s">
        <v>56</v>
      </c>
      <c r="E144" s="11"/>
      <c r="F144" s="124"/>
      <c r="G144" s="11"/>
      <c r="H144" s="11"/>
      <c r="I144" s="38" t="e">
        <f>MAX(0,I143+I139)/F141</f>
        <v>#DIV/0!</v>
      </c>
      <c r="J144" s="5" t="s">
        <v>56</v>
      </c>
      <c r="K144" s="11"/>
    </row>
    <row r="145" spans="1:12" s="107" customFormat="1" ht="15" customHeight="1" x14ac:dyDescent="0.2">
      <c r="A145" s="112"/>
      <c r="D145" s="5"/>
      <c r="E145" s="11"/>
      <c r="F145" s="124"/>
      <c r="G145" s="11"/>
      <c r="H145" s="11"/>
      <c r="I145" s="11"/>
      <c r="J145" s="11"/>
      <c r="K145" s="11"/>
    </row>
    <row r="146" spans="1:12" s="107" customFormat="1" ht="15" customHeight="1" x14ac:dyDescent="0.2">
      <c r="A146" s="112"/>
      <c r="C146" s="1" t="s">
        <v>267</v>
      </c>
      <c r="D146" s="5"/>
      <c r="E146" s="11"/>
      <c r="F146" s="124"/>
      <c r="G146" s="11"/>
      <c r="H146" s="11"/>
      <c r="I146" s="11"/>
      <c r="J146" s="11"/>
      <c r="K146" s="11"/>
    </row>
    <row r="147" spans="1:12" s="107" customFormat="1" ht="15" customHeight="1" x14ac:dyDescent="0.2">
      <c r="A147" s="112"/>
      <c r="C147" s="107" t="s">
        <v>266</v>
      </c>
      <c r="D147" s="5"/>
      <c r="E147" s="11"/>
      <c r="F147" s="121">
        <f>Invulsheet!W122</f>
        <v>0</v>
      </c>
      <c r="G147" s="11"/>
      <c r="H147" s="11"/>
      <c r="I147" s="38">
        <f>J208*F147/1000</f>
        <v>0</v>
      </c>
      <c r="J147" s="5" t="s">
        <v>56</v>
      </c>
      <c r="K147" s="11"/>
    </row>
    <row r="148" spans="1:12" s="107" customFormat="1" ht="15" customHeight="1" x14ac:dyDescent="0.2">
      <c r="A148" s="112"/>
      <c r="C148" s="107" t="s">
        <v>97</v>
      </c>
      <c r="D148" s="5"/>
      <c r="E148" s="11"/>
      <c r="F148" s="41" t="str">
        <f>Invulsheet!V123</f>
        <v>Gas</v>
      </c>
      <c r="G148" s="11"/>
      <c r="H148" s="11"/>
      <c r="I148" s="11"/>
      <c r="J148" s="11"/>
      <c r="K148" s="11"/>
    </row>
    <row r="149" spans="1:12" s="107" customFormat="1" ht="15" customHeight="1" x14ac:dyDescent="0.2">
      <c r="A149" s="112"/>
      <c r="C149" s="107" t="s">
        <v>98</v>
      </c>
      <c r="D149" s="5"/>
      <c r="E149" s="11"/>
      <c r="F149" s="43">
        <f>Invulsheet!V124</f>
        <v>1</v>
      </c>
      <c r="G149" s="11"/>
      <c r="H149" s="11"/>
      <c r="I149" s="11"/>
      <c r="J149" s="11"/>
      <c r="K149" s="11"/>
    </row>
    <row r="150" spans="1:12" ht="15" customHeight="1" x14ac:dyDescent="0.2">
      <c r="C150" s="107" t="s">
        <v>269</v>
      </c>
      <c r="D150" s="5" t="s">
        <v>247</v>
      </c>
      <c r="F150" s="41">
        <f>Invulsheet!V125</f>
        <v>0</v>
      </c>
      <c r="I150" s="38">
        <f>F150*1.5*F147</f>
        <v>0</v>
      </c>
      <c r="J150" s="5" t="s">
        <v>48</v>
      </c>
      <c r="L150" s="129" t="s">
        <v>338</v>
      </c>
    </row>
    <row r="151" spans="1:12" s="107" customFormat="1" ht="15" customHeight="1" x14ac:dyDescent="0.2">
      <c r="A151" s="112"/>
      <c r="C151" s="107" t="s">
        <v>165</v>
      </c>
      <c r="D151" s="5" t="s">
        <v>56</v>
      </c>
      <c r="E151" s="11"/>
      <c r="F151" s="124"/>
      <c r="G151" s="11"/>
      <c r="H151" s="11"/>
      <c r="I151" s="38">
        <f>I147/F149</f>
        <v>0</v>
      </c>
      <c r="J151" s="5" t="s">
        <v>56</v>
      </c>
      <c r="K151" s="11"/>
    </row>
    <row r="152" spans="1:12" s="107" customFormat="1" ht="15" customHeight="1" x14ac:dyDescent="0.2">
      <c r="A152" s="112"/>
      <c r="D152" s="5"/>
      <c r="E152" s="11"/>
      <c r="F152" s="124"/>
      <c r="G152" s="11"/>
      <c r="H152" s="11"/>
      <c r="I152" s="11"/>
      <c r="J152" s="11"/>
      <c r="K152" s="11"/>
    </row>
    <row r="153" spans="1:12" ht="15" customHeight="1" x14ac:dyDescent="0.2"/>
    <row r="154" spans="1:12" ht="24" customHeight="1" x14ac:dyDescent="0.3">
      <c r="C154" s="9" t="s">
        <v>162</v>
      </c>
      <c r="D154" s="23"/>
      <c r="E154" s="12"/>
      <c r="F154" s="12"/>
      <c r="G154" s="12"/>
      <c r="H154" s="12"/>
      <c r="I154" s="12"/>
      <c r="J154" s="12"/>
      <c r="K154" s="12"/>
    </row>
    <row r="155" spans="1:12" ht="15" customHeight="1" x14ac:dyDescent="0.2"/>
    <row r="156" spans="1:12" ht="15" customHeight="1" x14ac:dyDescent="0.2">
      <c r="E156" s="79" t="s">
        <v>22</v>
      </c>
      <c r="F156" s="79" t="s">
        <v>104</v>
      </c>
      <c r="G156" s="79" t="s">
        <v>106</v>
      </c>
      <c r="H156" s="79"/>
      <c r="I156" s="79" t="s">
        <v>132</v>
      </c>
      <c r="J156" s="79"/>
      <c r="K156" s="79" t="s">
        <v>292</v>
      </c>
    </row>
    <row r="157" spans="1:12" ht="15" customHeight="1" x14ac:dyDescent="0.2">
      <c r="E157" s="79" t="s">
        <v>8</v>
      </c>
      <c r="F157" s="79" t="s">
        <v>105</v>
      </c>
      <c r="G157" s="79" t="s">
        <v>107</v>
      </c>
      <c r="H157" s="79"/>
      <c r="I157" s="79" t="s">
        <v>59</v>
      </c>
      <c r="J157" s="79"/>
      <c r="K157" s="79" t="s">
        <v>49</v>
      </c>
    </row>
    <row r="158" spans="1:12" ht="15" customHeight="1" x14ac:dyDescent="0.2"/>
    <row r="159" spans="1:12" ht="15" customHeight="1" x14ac:dyDescent="0.2">
      <c r="C159" s="3" t="s">
        <v>100</v>
      </c>
      <c r="E159" s="43">
        <f>Invulsheet!U132</f>
        <v>0</v>
      </c>
      <c r="F159" s="43">
        <f>Invulsheet!V132</f>
        <v>0</v>
      </c>
      <c r="G159" s="43">
        <f>Invulsheet!W132</f>
        <v>0</v>
      </c>
      <c r="H159" s="24"/>
      <c r="I159" s="46">
        <f>50+(100-G159)/2</f>
        <v>100</v>
      </c>
      <c r="J159" s="46"/>
      <c r="K159" s="46"/>
    </row>
    <row r="160" spans="1:12" ht="15" customHeight="1" x14ac:dyDescent="0.2">
      <c r="C160" s="3" t="s">
        <v>101</v>
      </c>
      <c r="E160" s="43">
        <f>Invulsheet!U133</f>
        <v>0</v>
      </c>
      <c r="F160" s="43">
        <f>Invulsheet!V133</f>
        <v>0</v>
      </c>
      <c r="G160" s="43">
        <f>Invulsheet!W133</f>
        <v>0</v>
      </c>
      <c r="H160" s="24"/>
      <c r="I160" s="46">
        <f>70+(100-G160)*3/10</f>
        <v>100</v>
      </c>
      <c r="J160" s="46"/>
      <c r="K160" s="46"/>
    </row>
    <row r="161" spans="3:11" ht="15" customHeight="1" x14ac:dyDescent="0.2">
      <c r="C161" s="3" t="s">
        <v>102</v>
      </c>
      <c r="E161" s="43">
        <f>Invulsheet!U134</f>
        <v>0</v>
      </c>
      <c r="F161" s="43">
        <f>Invulsheet!V134</f>
        <v>0</v>
      </c>
      <c r="G161" s="43">
        <f>Invulsheet!W134</f>
        <v>0</v>
      </c>
      <c r="H161" s="24"/>
      <c r="I161" s="46">
        <v>100</v>
      </c>
      <c r="J161" s="46"/>
      <c r="K161" s="46"/>
    </row>
    <row r="162" spans="3:11" ht="15" customHeight="1" x14ac:dyDescent="0.2">
      <c r="C162" s="3" t="s">
        <v>103</v>
      </c>
      <c r="E162" s="43">
        <f>Invulsheet!U135</f>
        <v>0</v>
      </c>
      <c r="F162" s="43">
        <f>Invulsheet!V135</f>
        <v>0</v>
      </c>
      <c r="G162" s="43">
        <f>Invulsheet!W135</f>
        <v>0</v>
      </c>
      <c r="H162" s="24"/>
      <c r="I162" s="46">
        <f>70+(100-G162)*3/10</f>
        <v>100</v>
      </c>
      <c r="J162" s="46"/>
      <c r="K162" s="46"/>
    </row>
    <row r="163" spans="3:11" ht="15" customHeight="1" x14ac:dyDescent="0.2">
      <c r="E163" s="45"/>
      <c r="F163" s="45"/>
      <c r="G163" s="45"/>
      <c r="H163" s="24"/>
      <c r="I163" s="47"/>
      <c r="J163" s="47"/>
      <c r="K163" s="47"/>
    </row>
    <row r="164" spans="3:11" ht="15" customHeight="1" x14ac:dyDescent="0.2">
      <c r="C164" s="3" t="s">
        <v>33</v>
      </c>
      <c r="D164" s="5" t="s">
        <v>49</v>
      </c>
      <c r="E164" s="45"/>
      <c r="F164" s="45"/>
      <c r="G164" s="45"/>
      <c r="H164" s="24"/>
      <c r="I164" s="47"/>
      <c r="J164" s="47"/>
      <c r="K164" s="46">
        <f>Z241</f>
        <v>0</v>
      </c>
    </row>
    <row r="165" spans="3:11" ht="15" customHeight="1" x14ac:dyDescent="0.2"/>
    <row r="166" spans="3:11" ht="15" customHeight="1" x14ac:dyDescent="0.2"/>
    <row r="167" spans="3:11" ht="24" customHeight="1" x14ac:dyDescent="0.3">
      <c r="C167" s="9" t="s">
        <v>200</v>
      </c>
      <c r="D167" s="23"/>
      <c r="E167" s="12"/>
      <c r="F167" s="12"/>
      <c r="G167" s="12"/>
      <c r="H167" s="12"/>
      <c r="I167" s="12"/>
      <c r="J167" s="12"/>
      <c r="K167" s="12"/>
    </row>
    <row r="168" spans="3:11" ht="15" customHeight="1" x14ac:dyDescent="0.2"/>
    <row r="169" spans="3:11" ht="15" customHeight="1" x14ac:dyDescent="0.2">
      <c r="C169" s="3" t="s">
        <v>194</v>
      </c>
      <c r="F169" s="41">
        <f>Invulsheet!V140</f>
        <v>0</v>
      </c>
    </row>
    <row r="170" spans="3:11" ht="15" customHeight="1" x14ac:dyDescent="0.2">
      <c r="C170" s="3" t="s">
        <v>195</v>
      </c>
      <c r="F170" s="41">
        <f>Invulsheet!V141</f>
        <v>0</v>
      </c>
      <c r="J170" s="11" t="s">
        <v>94</v>
      </c>
      <c r="K170" s="11" t="s">
        <v>117</v>
      </c>
    </row>
    <row r="171" spans="3:11" ht="15" customHeight="1" x14ac:dyDescent="0.2">
      <c r="I171" s="11" t="s">
        <v>204</v>
      </c>
      <c r="J171" s="11" t="s">
        <v>206</v>
      </c>
      <c r="K171" s="11" t="s">
        <v>205</v>
      </c>
    </row>
    <row r="172" spans="3:11" ht="15" customHeight="1" x14ac:dyDescent="0.2">
      <c r="C172" s="3" t="s">
        <v>157</v>
      </c>
      <c r="I172" s="46" t="e">
        <f>VLOOKUP(F169,Data!B9:C11,2,FALSE)</f>
        <v>#N/A</v>
      </c>
      <c r="J172" s="46">
        <f>IF(F170="Gas",I172/35.17/Data!B15,0)</f>
        <v>0</v>
      </c>
      <c r="K172" s="46" t="e">
        <f>IF(F170&lt;&gt;"Gas",I172/3.6/Data!C15,0)</f>
        <v>#N/A</v>
      </c>
    </row>
    <row r="173" spans="3:11" ht="15" customHeight="1" x14ac:dyDescent="0.2"/>
    <row r="174" spans="3:11" ht="15" customHeight="1" x14ac:dyDescent="0.2"/>
    <row r="175" spans="3:11" ht="24" customHeight="1" x14ac:dyDescent="0.3">
      <c r="C175" s="9" t="s">
        <v>201</v>
      </c>
      <c r="D175" s="23"/>
      <c r="E175" s="12"/>
      <c r="F175" s="12"/>
      <c r="G175" s="12"/>
      <c r="H175" s="12"/>
      <c r="I175" s="12"/>
      <c r="J175" s="12"/>
      <c r="K175" s="12"/>
    </row>
    <row r="176" spans="3:11" ht="15" customHeight="1" x14ac:dyDescent="0.2"/>
    <row r="177" spans="3:11" ht="15" customHeight="1" x14ac:dyDescent="0.2">
      <c r="I177" s="11" t="s">
        <v>157</v>
      </c>
      <c r="J177" s="11" t="s">
        <v>157</v>
      </c>
      <c r="K177" s="11" t="s">
        <v>159</v>
      </c>
    </row>
    <row r="178" spans="3:11" ht="15" customHeight="1" x14ac:dyDescent="0.2">
      <c r="I178" s="11" t="s">
        <v>156</v>
      </c>
      <c r="J178" s="11" t="s">
        <v>48</v>
      </c>
      <c r="K178" s="11" t="s">
        <v>48</v>
      </c>
    </row>
    <row r="179" spans="3:11" ht="15" customHeight="1" x14ac:dyDescent="0.2"/>
    <row r="180" spans="3:11" ht="15" customHeight="1" x14ac:dyDescent="0.2">
      <c r="C180" s="3" t="s">
        <v>111</v>
      </c>
      <c r="D180" s="5" t="s">
        <v>112</v>
      </c>
      <c r="F180" s="43">
        <f>Invulsheet!V146</f>
        <v>0</v>
      </c>
      <c r="I180" s="7">
        <f>1.39</f>
        <v>1.39</v>
      </c>
      <c r="J180" s="46">
        <f>I180*F180*52</f>
        <v>0</v>
      </c>
      <c r="K180" s="46">
        <f>J180*0.2</f>
        <v>0</v>
      </c>
    </row>
    <row r="181" spans="3:11" ht="15" customHeight="1" x14ac:dyDescent="0.2">
      <c r="C181" s="3" t="s">
        <v>113</v>
      </c>
      <c r="D181" s="5" t="s">
        <v>112</v>
      </c>
      <c r="F181" s="43">
        <f>Invulsheet!V147</f>
        <v>0</v>
      </c>
      <c r="I181" s="2">
        <v>1.1000000000000001</v>
      </c>
      <c r="J181" s="46">
        <f>I181*F181*52</f>
        <v>0</v>
      </c>
      <c r="K181" s="46">
        <v>0</v>
      </c>
    </row>
    <row r="182" spans="3:11" ht="15" customHeight="1" x14ac:dyDescent="0.2">
      <c r="C182" s="3" t="s">
        <v>114</v>
      </c>
      <c r="D182" s="5" t="s">
        <v>112</v>
      </c>
      <c r="F182" s="43">
        <f>Invulsheet!V148</f>
        <v>0</v>
      </c>
      <c r="I182" s="7">
        <f>2.85</f>
        <v>2.85</v>
      </c>
      <c r="J182" s="46">
        <f>I182*F182*52</f>
        <v>0</v>
      </c>
      <c r="K182" s="46">
        <f>J182*0.2</f>
        <v>0</v>
      </c>
    </row>
    <row r="183" spans="3:11" ht="15" customHeight="1" x14ac:dyDescent="0.2">
      <c r="C183" s="107" t="s">
        <v>313</v>
      </c>
      <c r="D183" s="5" t="s">
        <v>48</v>
      </c>
      <c r="F183" s="41">
        <f>Invulsheet!V152</f>
        <v>0</v>
      </c>
      <c r="J183" s="46">
        <f>F183</f>
        <v>0</v>
      </c>
      <c r="K183" s="46">
        <f>J183</f>
        <v>0</v>
      </c>
    </row>
    <row r="184" spans="3:11" ht="15" customHeight="1" x14ac:dyDescent="0.2">
      <c r="C184" s="3" t="s">
        <v>115</v>
      </c>
      <c r="D184" s="5" t="s">
        <v>48</v>
      </c>
      <c r="F184" s="41">
        <f>Invulsheet!V150</f>
        <v>0</v>
      </c>
      <c r="J184" s="46">
        <f>F184</f>
        <v>0</v>
      </c>
      <c r="K184" s="46">
        <f>F184</f>
        <v>0</v>
      </c>
    </row>
    <row r="185" spans="3:11" ht="15" customHeight="1" x14ac:dyDescent="0.2">
      <c r="C185" s="3" t="s">
        <v>32</v>
      </c>
      <c r="D185" s="5" t="s">
        <v>48</v>
      </c>
      <c r="F185" s="41">
        <f>Invulsheet!W166</f>
        <v>0</v>
      </c>
      <c r="J185" s="46">
        <f>F185</f>
        <v>0</v>
      </c>
      <c r="K185" s="46">
        <f>F185</f>
        <v>0</v>
      </c>
    </row>
    <row r="186" spans="3:11" ht="15" customHeight="1" x14ac:dyDescent="0.2"/>
    <row r="187" spans="3:11" ht="15" customHeight="1" x14ac:dyDescent="0.2">
      <c r="C187" s="3" t="s">
        <v>33</v>
      </c>
      <c r="J187" s="46">
        <f>SUM(J180:J185)</f>
        <v>0</v>
      </c>
      <c r="K187" s="46">
        <f>SUM(K180:K185)</f>
        <v>0</v>
      </c>
    </row>
    <row r="188" spans="3:11" ht="15" customHeight="1" x14ac:dyDescent="0.2"/>
    <row r="189" spans="3:11" ht="15" customHeight="1" x14ac:dyDescent="0.2"/>
    <row r="190" spans="3:11" ht="24" customHeight="1" x14ac:dyDescent="0.3">
      <c r="C190" s="9" t="s">
        <v>202</v>
      </c>
      <c r="D190" s="23"/>
      <c r="E190" s="12"/>
      <c r="F190" s="12"/>
      <c r="G190" s="12"/>
      <c r="H190" s="12"/>
      <c r="I190" s="12"/>
      <c r="J190" s="12"/>
      <c r="K190" s="12"/>
    </row>
    <row r="191" spans="3:11" ht="15" customHeight="1" x14ac:dyDescent="0.2"/>
    <row r="192" spans="3:11" ht="15" customHeight="1" x14ac:dyDescent="0.2">
      <c r="C192" s="3" t="s">
        <v>160</v>
      </c>
      <c r="D192" s="5" t="s">
        <v>288</v>
      </c>
      <c r="J192" s="46">
        <f>F25*0.1*F26/100*30.4*24</f>
        <v>0</v>
      </c>
    </row>
    <row r="193" spans="1:11" ht="15" customHeight="1" x14ac:dyDescent="0.2">
      <c r="C193" s="3" t="s">
        <v>161</v>
      </c>
      <c r="D193" s="5" t="s">
        <v>288</v>
      </c>
      <c r="J193" s="46">
        <f>K187/12</f>
        <v>0</v>
      </c>
    </row>
    <row r="194" spans="1:11" s="107" customFormat="1" ht="15" customHeight="1" x14ac:dyDescent="0.2">
      <c r="A194" s="112"/>
      <c r="D194" s="5"/>
      <c r="E194" s="11"/>
      <c r="F194" s="11"/>
      <c r="G194" s="11"/>
      <c r="H194" s="11"/>
      <c r="I194" s="11"/>
      <c r="J194" s="11"/>
      <c r="K194" s="11"/>
    </row>
    <row r="195" spans="1:11" s="107" customFormat="1" ht="15" customHeight="1" x14ac:dyDescent="0.2">
      <c r="A195" s="112"/>
      <c r="C195" s="107" t="s">
        <v>271</v>
      </c>
      <c r="D195" s="5" t="s">
        <v>288</v>
      </c>
      <c r="E195" s="11"/>
      <c r="F195" s="11"/>
      <c r="G195" s="11"/>
      <c r="H195" s="11"/>
      <c r="I195" s="11"/>
      <c r="J195" s="46">
        <f>J88/12</f>
        <v>0</v>
      </c>
      <c r="K195" s="11"/>
    </row>
    <row r="196" spans="1:11" ht="15" customHeight="1" x14ac:dyDescent="0.2"/>
    <row r="197" spans="1:11" ht="15" customHeight="1" x14ac:dyDescent="0.2">
      <c r="C197" s="3" t="s">
        <v>308</v>
      </c>
      <c r="D197" s="5" t="s">
        <v>289</v>
      </c>
      <c r="J197" s="46">
        <f>SUM(J192:J195)*3.6</f>
        <v>0</v>
      </c>
    </row>
    <row r="198" spans="1:11" s="107" customFormat="1" ht="15" customHeight="1" x14ac:dyDescent="0.2">
      <c r="A198" s="112"/>
      <c r="C198" s="107" t="s">
        <v>309</v>
      </c>
      <c r="D198" s="176" t="s">
        <v>49</v>
      </c>
      <c r="E198" s="11"/>
      <c r="F198" s="11"/>
      <c r="G198" s="11"/>
      <c r="H198" s="11"/>
      <c r="I198" s="11"/>
      <c r="J198" s="46">
        <f>AA241</f>
        <v>0</v>
      </c>
      <c r="K198" s="11"/>
    </row>
    <row r="199" spans="1:11" ht="15" customHeight="1" x14ac:dyDescent="0.2"/>
    <row r="200" spans="1:11" ht="15" customHeight="1" x14ac:dyDescent="0.2"/>
    <row r="201" spans="1:11" ht="24" customHeight="1" x14ac:dyDescent="0.3">
      <c r="C201" s="9" t="s">
        <v>203</v>
      </c>
      <c r="D201" s="23"/>
      <c r="E201" s="12"/>
      <c r="F201" s="12"/>
      <c r="G201" s="12"/>
      <c r="H201" s="12"/>
      <c r="I201" s="12"/>
      <c r="J201" s="12"/>
      <c r="K201" s="12"/>
    </row>
    <row r="202" spans="1:11" ht="15" customHeight="1" x14ac:dyDescent="0.2"/>
    <row r="203" spans="1:11" ht="15" customHeight="1" x14ac:dyDescent="0.2">
      <c r="C203" s="3" t="s">
        <v>36</v>
      </c>
      <c r="D203" s="5" t="s">
        <v>49</v>
      </c>
      <c r="J203" s="46">
        <f>-AD241</f>
        <v>0</v>
      </c>
    </row>
    <row r="204" spans="1:11" ht="15" customHeight="1" x14ac:dyDescent="0.2">
      <c r="C204" s="3" t="s">
        <v>21</v>
      </c>
      <c r="D204" s="5" t="s">
        <v>49</v>
      </c>
      <c r="J204" s="46">
        <f>-AC241</f>
        <v>0</v>
      </c>
    </row>
    <row r="205" spans="1:11" ht="15" customHeight="1" x14ac:dyDescent="0.2">
      <c r="C205" s="3" t="s">
        <v>35</v>
      </c>
      <c r="D205" s="5" t="s">
        <v>49</v>
      </c>
      <c r="J205" s="46">
        <f>-K164</f>
        <v>0</v>
      </c>
    </row>
    <row r="206" spans="1:11" ht="15" customHeight="1" x14ac:dyDescent="0.2">
      <c r="C206" s="3" t="s">
        <v>47</v>
      </c>
      <c r="D206" s="5" t="s">
        <v>49</v>
      </c>
      <c r="J206" s="46">
        <f>-J198</f>
        <v>0</v>
      </c>
    </row>
    <row r="207" spans="1:11" ht="15" customHeight="1" x14ac:dyDescent="0.2"/>
    <row r="208" spans="1:11" ht="15" customHeight="1" x14ac:dyDescent="0.2">
      <c r="C208" s="3" t="s">
        <v>164</v>
      </c>
      <c r="D208" s="5" t="s">
        <v>49</v>
      </c>
      <c r="J208" s="46">
        <f>MAX(0, SUM(J203:J206))</f>
        <v>0</v>
      </c>
    </row>
    <row r="209" spans="1:11" ht="15" customHeight="1" x14ac:dyDescent="0.2">
      <c r="C209" s="3" t="s">
        <v>165</v>
      </c>
      <c r="D209" s="5" t="s">
        <v>49</v>
      </c>
      <c r="J209" s="46" t="e">
        <f>(I151+I144)*1000</f>
        <v>#DIV/0!</v>
      </c>
    </row>
    <row r="210" spans="1:11" ht="15" customHeight="1" x14ac:dyDescent="0.2"/>
    <row r="211" spans="1:11" ht="15" customHeight="1" x14ac:dyDescent="0.2"/>
    <row r="212" spans="1:11" s="107" customFormat="1" ht="24" customHeight="1" x14ac:dyDescent="0.3">
      <c r="A212" s="112"/>
      <c r="C212" s="9" t="s">
        <v>272</v>
      </c>
      <c r="D212" s="23"/>
      <c r="E212" s="12"/>
      <c r="F212" s="12"/>
      <c r="G212" s="12"/>
      <c r="H212" s="12"/>
      <c r="I212" s="12"/>
      <c r="J212" s="12"/>
      <c r="K212" s="12"/>
    </row>
    <row r="213" spans="1:11" s="107" customFormat="1" ht="15" customHeight="1" x14ac:dyDescent="0.2">
      <c r="A213" s="112"/>
      <c r="D213" s="5"/>
      <c r="E213" s="11"/>
      <c r="F213" s="11"/>
      <c r="G213" s="11"/>
      <c r="H213" s="11"/>
      <c r="I213" s="11"/>
      <c r="J213" s="11"/>
      <c r="K213" s="11"/>
    </row>
    <row r="214" spans="1:11" ht="15" customHeight="1" x14ac:dyDescent="0.2">
      <c r="C214" s="107" t="s">
        <v>233</v>
      </c>
      <c r="D214" s="5" t="s">
        <v>236</v>
      </c>
      <c r="F214" s="41">
        <f>Invulsheet!V172</f>
        <v>7</v>
      </c>
    </row>
    <row r="215" spans="1:11" ht="15" customHeight="1" x14ac:dyDescent="0.2">
      <c r="C215" s="107" t="s">
        <v>234</v>
      </c>
      <c r="D215" s="5" t="s">
        <v>235</v>
      </c>
      <c r="F215" s="41">
        <f>Invulsheet!V173</f>
        <v>225</v>
      </c>
    </row>
    <row r="216" spans="1:11" ht="15" customHeight="1" x14ac:dyDescent="0.2">
      <c r="C216" s="107" t="s">
        <v>237</v>
      </c>
      <c r="F216" s="41" t="str">
        <f>Invulsheet!V174</f>
        <v>West</v>
      </c>
      <c r="J216" s="38">
        <f>IFERROR(VLOOKUP(F216,Data!F33:H37,2,FALSE),0)</f>
        <v>0.8</v>
      </c>
    </row>
    <row r="217" spans="1:11" ht="15" customHeight="1" x14ac:dyDescent="0.2">
      <c r="C217" s="107" t="s">
        <v>238</v>
      </c>
      <c r="D217" s="5" t="s">
        <v>243</v>
      </c>
      <c r="F217" s="41">
        <f>Invulsheet!V175</f>
        <v>40</v>
      </c>
      <c r="J217" s="38">
        <f>VLOOKUP(F217,Data!I33:J51,2,FALSE)</f>
        <v>0.99099099099099097</v>
      </c>
    </row>
    <row r="218" spans="1:11" ht="15" customHeight="1" x14ac:dyDescent="0.2">
      <c r="C218" s="190" t="s">
        <v>310</v>
      </c>
      <c r="F218" s="41">
        <f>Invulsheet!V176</f>
        <v>0</v>
      </c>
    </row>
    <row r="219" spans="1:11" ht="15" customHeight="1" x14ac:dyDescent="0.2">
      <c r="C219" s="107" t="s">
        <v>244</v>
      </c>
      <c r="D219" s="5" t="s">
        <v>48</v>
      </c>
      <c r="J219" s="46">
        <f>F214*F215*J216*J217*(1-F218)</f>
        <v>1248.6486486486485</v>
      </c>
    </row>
    <row r="220" spans="1:11" ht="15" customHeight="1" x14ac:dyDescent="0.2"/>
    <row r="221" spans="1:11" ht="15" customHeight="1" x14ac:dyDescent="0.2"/>
    <row r="222" spans="1:11" ht="15" customHeight="1" x14ac:dyDescent="0.2"/>
    <row r="223" spans="1:11" ht="15" customHeight="1" x14ac:dyDescent="0.2"/>
    <row r="224" spans="1:11" ht="24" customHeight="1" x14ac:dyDescent="0.3">
      <c r="C224" s="9" t="s">
        <v>287</v>
      </c>
      <c r="D224" s="23"/>
      <c r="E224" s="12"/>
      <c r="F224" s="12"/>
      <c r="G224" s="12"/>
      <c r="H224" s="12"/>
      <c r="I224" s="12"/>
      <c r="J224" s="12"/>
      <c r="K224" s="12"/>
    </row>
    <row r="225" spans="1:36" s="107" customFormat="1" ht="15" customHeight="1" x14ac:dyDescent="0.2">
      <c r="A225" s="112"/>
      <c r="D225" s="5"/>
      <c r="E225" s="11"/>
      <c r="F225" s="11"/>
      <c r="G225" s="11"/>
      <c r="H225" s="11"/>
      <c r="I225" s="11"/>
      <c r="J225" s="11"/>
      <c r="K225" s="11"/>
    </row>
    <row r="226" spans="1:36" s="107" customFormat="1" ht="15" customHeight="1" x14ac:dyDescent="0.2">
      <c r="A226" s="112"/>
      <c r="D226" s="176"/>
      <c r="E226" s="11"/>
      <c r="F226" s="11"/>
      <c r="G226" s="11"/>
      <c r="H226" s="11"/>
      <c r="I226" s="11"/>
      <c r="J226" s="11"/>
      <c r="K226" s="11"/>
      <c r="R226" s="277" t="s">
        <v>302</v>
      </c>
      <c r="S226" s="277"/>
      <c r="T226" s="277"/>
      <c r="U226" s="277"/>
      <c r="V226" s="277"/>
      <c r="W226" s="277"/>
      <c r="X226" s="277"/>
      <c r="Z226" s="278" t="s">
        <v>303</v>
      </c>
      <c r="AA226" s="278"/>
    </row>
    <row r="227" spans="1:36" s="179" customFormat="1" ht="21" customHeight="1" x14ac:dyDescent="0.2">
      <c r="A227" s="178"/>
      <c r="C227" s="179" t="s">
        <v>293</v>
      </c>
      <c r="D227" s="173"/>
      <c r="Q227" s="180" t="s">
        <v>137</v>
      </c>
      <c r="R227" s="180" t="s">
        <v>1</v>
      </c>
      <c r="S227" s="180" t="s">
        <v>2</v>
      </c>
      <c r="T227" s="180" t="s">
        <v>3</v>
      </c>
      <c r="U227" s="180" t="s">
        <v>4</v>
      </c>
      <c r="V227" s="181" t="s">
        <v>158</v>
      </c>
      <c r="W227" s="11" t="s">
        <v>295</v>
      </c>
      <c r="X227" s="181" t="s">
        <v>296</v>
      </c>
      <c r="Z227" s="181" t="s">
        <v>304</v>
      </c>
      <c r="AA227" s="181" t="s">
        <v>295</v>
      </c>
      <c r="AB227" s="181"/>
      <c r="AC227" s="181" t="s">
        <v>297</v>
      </c>
      <c r="AD227" s="181" t="s">
        <v>298</v>
      </c>
      <c r="AE227" s="181" t="s">
        <v>299</v>
      </c>
      <c r="AF227" s="181"/>
      <c r="AG227" s="181" t="s">
        <v>300</v>
      </c>
      <c r="AH227" s="181" t="s">
        <v>301</v>
      </c>
      <c r="AJ227" s="182" t="s">
        <v>33</v>
      </c>
    </row>
    <row r="228" spans="1:36" ht="15" customHeight="1" x14ac:dyDescent="0.2">
      <c r="Q228" s="169">
        <f>Data!J4</f>
        <v>6</v>
      </c>
      <c r="R228" s="183">
        <f>$E$159*$F$159*$I$159/100*Data!L4</f>
        <v>0</v>
      </c>
      <c r="S228" s="183">
        <f>$E$160*$F$160*$I$160/100*Data!M4</f>
        <v>0</v>
      </c>
      <c r="T228" s="183">
        <f>$E$161*$F$161*$I$161/100*Data!N4</f>
        <v>0</v>
      </c>
      <c r="U228" s="183">
        <f>$E$162*$F$162*$I$162/100*Data!O4</f>
        <v>0</v>
      </c>
      <c r="V228" s="183">
        <f t="shared" ref="V228:V234" si="12">SUM(R228:U228)</f>
        <v>0</v>
      </c>
      <c r="W228" s="183">
        <f>$J$197</f>
        <v>0</v>
      </c>
      <c r="X228" s="183">
        <f>SUM(V228:W228)</f>
        <v>0</v>
      </c>
      <c r="Y228" s="27"/>
      <c r="Z228" s="183" t="e">
        <f>V228*AH228</f>
        <v>#DIV/0!</v>
      </c>
      <c r="AA228" s="183" t="e">
        <f>W228*AH228</f>
        <v>#DIV/0!</v>
      </c>
      <c r="AB228" s="27"/>
      <c r="AC228" s="183">
        <f>$K$67*(Data!$K4-$J$23)*30.5*86400/1000000</f>
        <v>0</v>
      </c>
      <c r="AD228" s="183" t="e">
        <f>$J$85*(Data!$K4-$J$23)*30.5*86400/1000000</f>
        <v>#DIV/0!</v>
      </c>
      <c r="AE228" s="183" t="e">
        <f>IF(-1*SUM(AC228:AD228) &lt; 1,1,-1*SUM(AC228:AD228) )</f>
        <v>#DIV/0!</v>
      </c>
      <c r="AF228" s="27"/>
      <c r="AG228" s="184" t="e">
        <f t="shared" ref="AG228:AG239" si="13">X228/AE228</f>
        <v>#DIV/0!</v>
      </c>
      <c r="AH228" s="184" t="e">
        <f>VLOOKUP(AG228,Data!$B$35:$C$55,2)</f>
        <v>#DIV/0!</v>
      </c>
      <c r="AJ228" s="174" t="e">
        <f>SUM(Z228,AA228,AC228,AD228)</f>
        <v>#DIV/0!</v>
      </c>
    </row>
    <row r="229" spans="1:36" ht="15" customHeight="1" x14ac:dyDescent="0.2">
      <c r="Q229" s="169">
        <f>Data!J5</f>
        <v>7</v>
      </c>
      <c r="R229" s="183">
        <f>$E$159*$F$159*$I$159/100*Data!L5</f>
        <v>0</v>
      </c>
      <c r="S229" s="183">
        <f>$E$160*$F$160*$I$160/100*Data!M5</f>
        <v>0</v>
      </c>
      <c r="T229" s="183">
        <f>$E$161*$F$161*$I$161/100*Data!N5</f>
        <v>0</v>
      </c>
      <c r="U229" s="183">
        <f>$E$162*$F$162*$I$162/100*Data!O5</f>
        <v>0</v>
      </c>
      <c r="V229" s="183">
        <f t="shared" si="12"/>
        <v>0</v>
      </c>
      <c r="W229" s="183">
        <f t="shared" ref="W229:W239" si="14">$J$197</f>
        <v>0</v>
      </c>
      <c r="X229" s="183">
        <f t="shared" ref="X229:X239" si="15">SUM(V229:W229)</f>
        <v>0</v>
      </c>
      <c r="Y229" s="27"/>
      <c r="Z229" s="183" t="e">
        <f t="shared" ref="Z229:Z239" si="16">V229*AH229</f>
        <v>#DIV/0!</v>
      </c>
      <c r="AA229" s="183" t="e">
        <f t="shared" ref="AA229:AA239" si="17">W229*AH229</f>
        <v>#DIV/0!</v>
      </c>
      <c r="AB229" s="27"/>
      <c r="AC229" s="183">
        <f>$K$67*(Data!$K5-$J$23)*30.5*86400/1000000</f>
        <v>0</v>
      </c>
      <c r="AD229" s="183" t="e">
        <f>$J$85*(Data!$K5-$J$23)*30.5*86400/1000000</f>
        <v>#DIV/0!</v>
      </c>
      <c r="AE229" s="183" t="e">
        <f t="shared" ref="AE229:AE239" si="18">IF(-1*SUM(AC229:AD229) &lt; 1,1,-1*SUM(AC229:AD229) )</f>
        <v>#DIV/0!</v>
      </c>
      <c r="AF229" s="27"/>
      <c r="AG229" s="184" t="e">
        <f t="shared" si="13"/>
        <v>#DIV/0!</v>
      </c>
      <c r="AH229" s="184" t="e">
        <f>VLOOKUP(AG229,Data!$B$35:$C$55,2)</f>
        <v>#DIV/0!</v>
      </c>
      <c r="AJ229" s="174" t="e">
        <f t="shared" ref="AJ229:AJ239" si="19">SUM(Z229,AA229,AC229,AD229)</f>
        <v>#DIV/0!</v>
      </c>
    </row>
    <row r="230" spans="1:36" ht="15" customHeight="1" x14ac:dyDescent="0.2">
      <c r="Q230" s="169">
        <f>Data!J6</f>
        <v>8</v>
      </c>
      <c r="R230" s="183">
        <f>$E$159*$F$159*$I$159/100*Data!L6</f>
        <v>0</v>
      </c>
      <c r="S230" s="183">
        <f>$E$160*$F$160*$I$160/100*Data!M6</f>
        <v>0</v>
      </c>
      <c r="T230" s="183">
        <f>$E$161*$F$161*$I$161/100*Data!N6</f>
        <v>0</v>
      </c>
      <c r="U230" s="183">
        <f>$E$162*$F$162*$I$162/100*Data!O6</f>
        <v>0</v>
      </c>
      <c r="V230" s="183">
        <f t="shared" si="12"/>
        <v>0</v>
      </c>
      <c r="W230" s="183">
        <f t="shared" si="14"/>
        <v>0</v>
      </c>
      <c r="X230" s="183">
        <f t="shared" si="15"/>
        <v>0</v>
      </c>
      <c r="Y230" s="27"/>
      <c r="Z230" s="183" t="e">
        <f t="shared" si="16"/>
        <v>#DIV/0!</v>
      </c>
      <c r="AA230" s="183" t="e">
        <f t="shared" si="17"/>
        <v>#DIV/0!</v>
      </c>
      <c r="AB230" s="27"/>
      <c r="AC230" s="183">
        <f>$K$67*(Data!$K6-$J$23)*30.5*86400/1000000</f>
        <v>0</v>
      </c>
      <c r="AD230" s="183" t="e">
        <f>$J$85*(Data!$K6-$J$23)*30.5*86400/1000000</f>
        <v>#DIV/0!</v>
      </c>
      <c r="AE230" s="183" t="e">
        <f t="shared" si="18"/>
        <v>#DIV/0!</v>
      </c>
      <c r="AF230" s="27"/>
      <c r="AG230" s="184" t="e">
        <f t="shared" si="13"/>
        <v>#DIV/0!</v>
      </c>
      <c r="AH230" s="184" t="e">
        <f>VLOOKUP(AG230,Data!$B$35:$C$55,2)</f>
        <v>#DIV/0!</v>
      </c>
      <c r="AJ230" s="174" t="e">
        <f t="shared" si="19"/>
        <v>#DIV/0!</v>
      </c>
    </row>
    <row r="231" spans="1:36" ht="15" customHeight="1" x14ac:dyDescent="0.2">
      <c r="Q231" s="169">
        <f>Data!J7</f>
        <v>9</v>
      </c>
      <c r="R231" s="183">
        <f>$E$159*$F$159*$I$159/100*Data!L7</f>
        <v>0</v>
      </c>
      <c r="S231" s="183">
        <f>$E$160*$F$160*$I$160/100*Data!M7</f>
        <v>0</v>
      </c>
      <c r="T231" s="183">
        <f>$E$161*$F$161*$I$161/100*Data!N7</f>
        <v>0</v>
      </c>
      <c r="U231" s="183">
        <f>$E$162*$F$162*$I$162/100*Data!O7</f>
        <v>0</v>
      </c>
      <c r="V231" s="183">
        <f t="shared" si="12"/>
        <v>0</v>
      </c>
      <c r="W231" s="183">
        <f t="shared" si="14"/>
        <v>0</v>
      </c>
      <c r="X231" s="183">
        <f t="shared" si="15"/>
        <v>0</v>
      </c>
      <c r="Y231" s="27"/>
      <c r="Z231" s="183" t="e">
        <f t="shared" si="16"/>
        <v>#DIV/0!</v>
      </c>
      <c r="AA231" s="183" t="e">
        <f t="shared" si="17"/>
        <v>#DIV/0!</v>
      </c>
      <c r="AB231" s="27"/>
      <c r="AC231" s="183">
        <f>$K$67*(Data!$K7-$J$23)*30.5*86400/1000000</f>
        <v>0</v>
      </c>
      <c r="AD231" s="183" t="e">
        <f>$J$85*(Data!$K7-$J$23)*30.5*86400/1000000</f>
        <v>#DIV/0!</v>
      </c>
      <c r="AE231" s="183" t="e">
        <f t="shared" si="18"/>
        <v>#DIV/0!</v>
      </c>
      <c r="AF231" s="27"/>
      <c r="AG231" s="184" t="e">
        <f t="shared" si="13"/>
        <v>#DIV/0!</v>
      </c>
      <c r="AH231" s="184" t="e">
        <f>VLOOKUP(AG231,Data!$B$35:$C$55,2)</f>
        <v>#DIV/0!</v>
      </c>
      <c r="AJ231" s="174" t="e">
        <f t="shared" si="19"/>
        <v>#DIV/0!</v>
      </c>
    </row>
    <row r="232" spans="1:36" ht="15" customHeight="1" x14ac:dyDescent="0.2">
      <c r="Q232" s="169">
        <f>Data!J8</f>
        <v>10</v>
      </c>
      <c r="R232" s="183">
        <f>$E$159*$F$159*$I$159/100*Data!L8</f>
        <v>0</v>
      </c>
      <c r="S232" s="183">
        <f>$E$160*$F$160*$I$160/100*Data!M8</f>
        <v>0</v>
      </c>
      <c r="T232" s="183">
        <f>$E$161*$F$161*$I$161/100*Data!N8</f>
        <v>0</v>
      </c>
      <c r="U232" s="183">
        <f>$E$162*$F$162*$I$162/100*Data!O8</f>
        <v>0</v>
      </c>
      <c r="V232" s="183">
        <f t="shared" si="12"/>
        <v>0</v>
      </c>
      <c r="W232" s="183">
        <f t="shared" si="14"/>
        <v>0</v>
      </c>
      <c r="X232" s="183">
        <f t="shared" si="15"/>
        <v>0</v>
      </c>
      <c r="Y232" s="27"/>
      <c r="Z232" s="183" t="e">
        <f t="shared" si="16"/>
        <v>#DIV/0!</v>
      </c>
      <c r="AA232" s="183" t="e">
        <f t="shared" si="17"/>
        <v>#DIV/0!</v>
      </c>
      <c r="AB232" s="27"/>
      <c r="AC232" s="183">
        <f>$K$67*(Data!$K8-$J$23)*30.5*86400/1000000</f>
        <v>0</v>
      </c>
      <c r="AD232" s="183" t="e">
        <f>$J$85*(Data!$K8-$J$23)*30.5*86400/1000000</f>
        <v>#DIV/0!</v>
      </c>
      <c r="AE232" s="183" t="e">
        <f t="shared" si="18"/>
        <v>#DIV/0!</v>
      </c>
      <c r="AF232" s="27"/>
      <c r="AG232" s="184" t="e">
        <f t="shared" si="13"/>
        <v>#DIV/0!</v>
      </c>
      <c r="AH232" s="184" t="e">
        <f>VLOOKUP(AG232,Data!$B$35:$C$55,2)</f>
        <v>#DIV/0!</v>
      </c>
      <c r="AJ232" s="174" t="e">
        <f t="shared" si="19"/>
        <v>#DIV/0!</v>
      </c>
    </row>
    <row r="233" spans="1:36" ht="15" customHeight="1" x14ac:dyDescent="0.2">
      <c r="Q233" s="169">
        <f>Data!J9</f>
        <v>11</v>
      </c>
      <c r="R233" s="183">
        <f>$E$159*$F$159*$I$159/100*Data!L9</f>
        <v>0</v>
      </c>
      <c r="S233" s="183">
        <f>$E$160*$F$160*$I$160/100*Data!M9</f>
        <v>0</v>
      </c>
      <c r="T233" s="183">
        <f>$E$161*$F$161*$I$161/100*Data!N9</f>
        <v>0</v>
      </c>
      <c r="U233" s="183">
        <f>$E$162*$F$162*$I$162/100*Data!O9</f>
        <v>0</v>
      </c>
      <c r="V233" s="183">
        <f t="shared" si="12"/>
        <v>0</v>
      </c>
      <c r="W233" s="183">
        <f t="shared" si="14"/>
        <v>0</v>
      </c>
      <c r="X233" s="183">
        <f t="shared" si="15"/>
        <v>0</v>
      </c>
      <c r="Y233" s="27"/>
      <c r="Z233" s="183" t="e">
        <f t="shared" si="16"/>
        <v>#DIV/0!</v>
      </c>
      <c r="AA233" s="183" t="e">
        <f t="shared" si="17"/>
        <v>#DIV/0!</v>
      </c>
      <c r="AB233" s="27"/>
      <c r="AC233" s="183">
        <f>$K$67*(Data!$K9-$J$23)*30.5*86400/1000000</f>
        <v>0</v>
      </c>
      <c r="AD233" s="183" t="e">
        <f>$J$85*(Data!$K9-$J$23)*30.5*86400/1000000</f>
        <v>#DIV/0!</v>
      </c>
      <c r="AE233" s="183" t="e">
        <f t="shared" si="18"/>
        <v>#DIV/0!</v>
      </c>
      <c r="AF233" s="27"/>
      <c r="AG233" s="184" t="e">
        <f t="shared" si="13"/>
        <v>#DIV/0!</v>
      </c>
      <c r="AH233" s="184" t="e">
        <f>VLOOKUP(AG233,Data!$B$35:$C$55,2)</f>
        <v>#DIV/0!</v>
      </c>
      <c r="AJ233" s="174" t="e">
        <f t="shared" si="19"/>
        <v>#DIV/0!</v>
      </c>
    </row>
    <row r="234" spans="1:36" ht="15" customHeight="1" x14ac:dyDescent="0.2">
      <c r="Q234" s="169">
        <f>Data!J10</f>
        <v>12</v>
      </c>
      <c r="R234" s="183">
        <f>$E$159*$F$159*$I$159/100*Data!L10</f>
        <v>0</v>
      </c>
      <c r="S234" s="183">
        <f>$E$160*$F$160*$I$160/100*Data!M10</f>
        <v>0</v>
      </c>
      <c r="T234" s="183">
        <f>$E$161*$F$161*$I$161/100*Data!N10</f>
        <v>0</v>
      </c>
      <c r="U234" s="183">
        <f>$E$162*$F$162*$I$162/100*Data!O10</f>
        <v>0</v>
      </c>
      <c r="V234" s="183">
        <f t="shared" si="12"/>
        <v>0</v>
      </c>
      <c r="W234" s="183">
        <f t="shared" si="14"/>
        <v>0</v>
      </c>
      <c r="X234" s="183">
        <f t="shared" si="15"/>
        <v>0</v>
      </c>
      <c r="Y234" s="27"/>
      <c r="Z234" s="183" t="e">
        <f t="shared" si="16"/>
        <v>#DIV/0!</v>
      </c>
      <c r="AA234" s="183" t="e">
        <f t="shared" si="17"/>
        <v>#DIV/0!</v>
      </c>
      <c r="AB234" s="27"/>
      <c r="AC234" s="183">
        <f>$K$67*(Data!$K10-$J$23)*30.5*86400/1000000</f>
        <v>0</v>
      </c>
      <c r="AD234" s="183" t="e">
        <f>$J$85*(Data!$K10-$J$23)*30.5*86400/1000000</f>
        <v>#DIV/0!</v>
      </c>
      <c r="AE234" s="183" t="e">
        <f t="shared" si="18"/>
        <v>#DIV/0!</v>
      </c>
      <c r="AF234" s="27"/>
      <c r="AG234" s="184" t="e">
        <f t="shared" si="13"/>
        <v>#DIV/0!</v>
      </c>
      <c r="AH234" s="184" t="e">
        <f>VLOOKUP(AG234,Data!$B$35:$C$55,2)</f>
        <v>#DIV/0!</v>
      </c>
      <c r="AJ234" s="174" t="e">
        <f t="shared" si="19"/>
        <v>#DIV/0!</v>
      </c>
    </row>
    <row r="235" spans="1:36" ht="15" customHeight="1" x14ac:dyDescent="0.2">
      <c r="Q235" s="169">
        <f>Data!J11</f>
        <v>1</v>
      </c>
      <c r="R235" s="183">
        <f>$E$159*$F$159*$I$159/100*Data!L11</f>
        <v>0</v>
      </c>
      <c r="S235" s="183">
        <f>$E$160*$F$160*$I$160/100*Data!M11</f>
        <v>0</v>
      </c>
      <c r="T235" s="183">
        <f>$E$161*$F$161*$I$161/100*Data!N11</f>
        <v>0</v>
      </c>
      <c r="U235" s="183">
        <f>$E$162*$F$162*$I$162/100*Data!O11</f>
        <v>0</v>
      </c>
      <c r="V235" s="183">
        <f>SUM(R235:U235)</f>
        <v>0</v>
      </c>
      <c r="W235" s="183">
        <f t="shared" si="14"/>
        <v>0</v>
      </c>
      <c r="X235" s="183">
        <f t="shared" si="15"/>
        <v>0</v>
      </c>
      <c r="Y235" s="27"/>
      <c r="Z235" s="183" t="e">
        <f t="shared" si="16"/>
        <v>#DIV/0!</v>
      </c>
      <c r="AA235" s="183" t="e">
        <f t="shared" si="17"/>
        <v>#DIV/0!</v>
      </c>
      <c r="AB235" s="27"/>
      <c r="AC235" s="183">
        <f>$K$67*(Data!$K11-$J$23)*30.5*86400/1000000</f>
        <v>0</v>
      </c>
      <c r="AD235" s="183" t="e">
        <f>$J$85*(Data!$K11-$J$23)*30.5*86400/1000000</f>
        <v>#DIV/0!</v>
      </c>
      <c r="AE235" s="183" t="e">
        <f t="shared" si="18"/>
        <v>#DIV/0!</v>
      </c>
      <c r="AF235" s="27"/>
      <c r="AG235" s="184" t="e">
        <f t="shared" si="13"/>
        <v>#DIV/0!</v>
      </c>
      <c r="AH235" s="184" t="e">
        <f>VLOOKUP(AG235,Data!$B$35:$C$55,2)</f>
        <v>#DIV/0!</v>
      </c>
      <c r="AJ235" s="174" t="e">
        <f t="shared" si="19"/>
        <v>#DIV/0!</v>
      </c>
    </row>
    <row r="236" spans="1:36" ht="15" customHeight="1" x14ac:dyDescent="0.2">
      <c r="Q236" s="169">
        <f>Data!J12</f>
        <v>2</v>
      </c>
      <c r="R236" s="183">
        <f>$E$159*$F$159*$I$159/100*Data!L12</f>
        <v>0</v>
      </c>
      <c r="S236" s="183">
        <f>$E$160*$F$160*$I$160/100*Data!M12</f>
        <v>0</v>
      </c>
      <c r="T236" s="183">
        <f>$E$161*$F$161*$I$161/100*Data!N12</f>
        <v>0</v>
      </c>
      <c r="U236" s="183">
        <f>$E$162*$F$162*$I$162/100*Data!O12</f>
        <v>0</v>
      </c>
      <c r="V236" s="183">
        <f t="shared" ref="V236:V239" si="20">SUM(R236:U236)</f>
        <v>0</v>
      </c>
      <c r="W236" s="183">
        <f t="shared" si="14"/>
        <v>0</v>
      </c>
      <c r="X236" s="183">
        <f t="shared" si="15"/>
        <v>0</v>
      </c>
      <c r="Y236" s="27"/>
      <c r="Z236" s="183" t="e">
        <f t="shared" si="16"/>
        <v>#DIV/0!</v>
      </c>
      <c r="AA236" s="183" t="e">
        <f t="shared" si="17"/>
        <v>#DIV/0!</v>
      </c>
      <c r="AB236" s="27"/>
      <c r="AC236" s="183">
        <f>$K$67*(Data!$K12-$J$23)*30.5*86400/1000000</f>
        <v>0</v>
      </c>
      <c r="AD236" s="183" t="e">
        <f>$J$85*(Data!$K12-$J$23)*30.5*86400/1000000</f>
        <v>#DIV/0!</v>
      </c>
      <c r="AE236" s="183" t="e">
        <f t="shared" si="18"/>
        <v>#DIV/0!</v>
      </c>
      <c r="AF236" s="27"/>
      <c r="AG236" s="184" t="e">
        <f t="shared" si="13"/>
        <v>#DIV/0!</v>
      </c>
      <c r="AH236" s="184" t="e">
        <f>VLOOKUP(AG236,Data!$B$35:$C$55,2)</f>
        <v>#DIV/0!</v>
      </c>
      <c r="AJ236" s="174" t="e">
        <f t="shared" si="19"/>
        <v>#DIV/0!</v>
      </c>
    </row>
    <row r="237" spans="1:36" ht="15" customHeight="1" x14ac:dyDescent="0.2">
      <c r="Q237" s="169">
        <f>Data!J13</f>
        <v>3</v>
      </c>
      <c r="R237" s="183">
        <f>$E$159*$F$159*$I$159/100*Data!L13</f>
        <v>0</v>
      </c>
      <c r="S237" s="183">
        <f>$E$160*$F$160*$I$160/100*Data!M13</f>
        <v>0</v>
      </c>
      <c r="T237" s="183">
        <f>$E$161*$F$161*$I$161/100*Data!N13</f>
        <v>0</v>
      </c>
      <c r="U237" s="183">
        <f>$E$162*$F$162*$I$162/100*Data!O13</f>
        <v>0</v>
      </c>
      <c r="V237" s="183">
        <f t="shared" si="20"/>
        <v>0</v>
      </c>
      <c r="W237" s="183">
        <f t="shared" si="14"/>
        <v>0</v>
      </c>
      <c r="X237" s="183">
        <f t="shared" si="15"/>
        <v>0</v>
      </c>
      <c r="Y237" s="27"/>
      <c r="Z237" s="183" t="e">
        <f t="shared" si="16"/>
        <v>#DIV/0!</v>
      </c>
      <c r="AA237" s="183" t="e">
        <f t="shared" si="17"/>
        <v>#DIV/0!</v>
      </c>
      <c r="AB237" s="27"/>
      <c r="AC237" s="183">
        <f>$K$67*(Data!$K13-$J$23)*30.5*86400/1000000</f>
        <v>0</v>
      </c>
      <c r="AD237" s="183" t="e">
        <f>$J$85*(Data!$K13-$J$23)*30.5*86400/1000000</f>
        <v>#DIV/0!</v>
      </c>
      <c r="AE237" s="183" t="e">
        <f t="shared" si="18"/>
        <v>#DIV/0!</v>
      </c>
      <c r="AF237" s="27"/>
      <c r="AG237" s="184" t="e">
        <f t="shared" si="13"/>
        <v>#DIV/0!</v>
      </c>
      <c r="AH237" s="184" t="e">
        <f>VLOOKUP(AG237,Data!$B$35:$C$55,2)</f>
        <v>#DIV/0!</v>
      </c>
      <c r="AJ237" s="174" t="e">
        <f t="shared" si="19"/>
        <v>#DIV/0!</v>
      </c>
    </row>
    <row r="238" spans="1:36" ht="15" customHeight="1" x14ac:dyDescent="0.2">
      <c r="Q238" s="169">
        <f>Data!J14</f>
        <v>4</v>
      </c>
      <c r="R238" s="183">
        <f>$E$159*$F$159*$I$159/100*Data!L14</f>
        <v>0</v>
      </c>
      <c r="S238" s="183">
        <f>$E$160*$F$160*$I$160/100*Data!M14</f>
        <v>0</v>
      </c>
      <c r="T238" s="183">
        <f>$E$161*$F$161*$I$161/100*Data!N14</f>
        <v>0</v>
      </c>
      <c r="U238" s="183">
        <f>$E$162*$F$162*$I$162/100*Data!O14</f>
        <v>0</v>
      </c>
      <c r="V238" s="183">
        <f t="shared" si="20"/>
        <v>0</v>
      </c>
      <c r="W238" s="183">
        <f t="shared" si="14"/>
        <v>0</v>
      </c>
      <c r="X238" s="183">
        <f t="shared" si="15"/>
        <v>0</v>
      </c>
      <c r="Y238" s="27"/>
      <c r="Z238" s="183" t="e">
        <f t="shared" si="16"/>
        <v>#DIV/0!</v>
      </c>
      <c r="AA238" s="183" t="e">
        <f t="shared" si="17"/>
        <v>#DIV/0!</v>
      </c>
      <c r="AB238" s="27"/>
      <c r="AC238" s="183">
        <f>$K$67*(Data!$K14-$J$23)*30.5*86400/1000000</f>
        <v>0</v>
      </c>
      <c r="AD238" s="183" t="e">
        <f>$J$85*(Data!$K14-$J$23)*30.5*86400/1000000</f>
        <v>#DIV/0!</v>
      </c>
      <c r="AE238" s="183" t="e">
        <f t="shared" si="18"/>
        <v>#DIV/0!</v>
      </c>
      <c r="AF238" s="27"/>
      <c r="AG238" s="184" t="e">
        <f t="shared" si="13"/>
        <v>#DIV/0!</v>
      </c>
      <c r="AH238" s="184" t="e">
        <f>VLOOKUP(AG238,Data!$B$35:$C$55,2)</f>
        <v>#DIV/0!</v>
      </c>
      <c r="AJ238" s="174" t="e">
        <f t="shared" si="19"/>
        <v>#DIV/0!</v>
      </c>
    </row>
    <row r="239" spans="1:36" ht="15" customHeight="1" x14ac:dyDescent="0.2">
      <c r="Q239" s="169">
        <f>Data!J15</f>
        <v>5</v>
      </c>
      <c r="R239" s="183">
        <f>$E$159*$F$159*$I$159/100*Data!L15</f>
        <v>0</v>
      </c>
      <c r="S239" s="183">
        <f>$E$160*$F$160*$I$160/100*Data!M15</f>
        <v>0</v>
      </c>
      <c r="T239" s="183">
        <f>$E$161*$F$161*$I$161/100*Data!N15</f>
        <v>0</v>
      </c>
      <c r="U239" s="183">
        <f>$E$162*$F$162*$I$162/100*Data!O15</f>
        <v>0</v>
      </c>
      <c r="V239" s="183">
        <f t="shared" si="20"/>
        <v>0</v>
      </c>
      <c r="W239" s="183">
        <f t="shared" si="14"/>
        <v>0</v>
      </c>
      <c r="X239" s="183">
        <f t="shared" si="15"/>
        <v>0</v>
      </c>
      <c r="Y239" s="27"/>
      <c r="Z239" s="183" t="e">
        <f t="shared" si="16"/>
        <v>#DIV/0!</v>
      </c>
      <c r="AA239" s="183" t="e">
        <f t="shared" si="17"/>
        <v>#DIV/0!</v>
      </c>
      <c r="AB239" s="27"/>
      <c r="AC239" s="183">
        <f>$K$67*(Data!$K15-$J$23)*30.5*86400/1000000</f>
        <v>0</v>
      </c>
      <c r="AD239" s="183" t="e">
        <f>$J$85*(Data!$K15-$J$23)*30.5*86400/1000000</f>
        <v>#DIV/0!</v>
      </c>
      <c r="AE239" s="183" t="e">
        <f t="shared" si="18"/>
        <v>#DIV/0!</v>
      </c>
      <c r="AF239" s="27"/>
      <c r="AG239" s="184" t="e">
        <f t="shared" si="13"/>
        <v>#DIV/0!</v>
      </c>
      <c r="AH239" s="184" t="e">
        <f>VLOOKUP(AG239,Data!$B$35:$C$55,2)</f>
        <v>#DIV/0!</v>
      </c>
      <c r="AJ239" s="174" t="e">
        <f t="shared" si="19"/>
        <v>#DIV/0!</v>
      </c>
    </row>
    <row r="240" spans="1:36" ht="15" customHeight="1" x14ac:dyDescent="0.2">
      <c r="Q240" s="11"/>
      <c r="R240" s="27"/>
      <c r="S240" s="27"/>
      <c r="T240" s="27"/>
      <c r="U240" s="27"/>
      <c r="V240" s="27"/>
      <c r="W240" s="27"/>
      <c r="X240" s="27"/>
      <c r="Y240" s="27"/>
      <c r="Z240" s="27"/>
      <c r="AA240" s="27"/>
      <c r="AB240" s="27"/>
      <c r="AC240" s="27"/>
      <c r="AD240" s="27"/>
      <c r="AE240" s="27"/>
      <c r="AF240" s="27"/>
      <c r="AG240" s="27"/>
      <c r="AH240" s="27"/>
    </row>
    <row r="241" spans="17:36" ht="15" customHeight="1" x14ac:dyDescent="0.2">
      <c r="Q241" s="175" t="s">
        <v>290</v>
      </c>
      <c r="R241" s="185"/>
      <c r="S241" s="185"/>
      <c r="T241" s="185"/>
      <c r="U241" s="185"/>
      <c r="V241" s="185"/>
      <c r="W241" s="185"/>
      <c r="X241" s="27"/>
      <c r="Y241" s="27"/>
      <c r="Z241" s="185">
        <f>SUMIF($AJ228:$AJ239,"&lt;0",Z228:Z239)</f>
        <v>0</v>
      </c>
      <c r="AA241" s="185">
        <f>SUMIF($AJ228:$AJ239,"&lt;0",AA228:AA239)</f>
        <v>0</v>
      </c>
      <c r="AB241" s="27"/>
      <c r="AC241" s="185">
        <f>SUMIF($AJ228:$AJ239,"&lt;0",AC228:AC239)</f>
        <v>0</v>
      </c>
      <c r="AD241" s="185">
        <f>SUMIF($AJ228:$AJ239,"&lt;0",AD228:AD239)</f>
        <v>0</v>
      </c>
      <c r="AE241" s="27"/>
      <c r="AF241" s="27"/>
      <c r="AG241" s="27"/>
      <c r="AH241" s="27"/>
      <c r="AJ241" s="174">
        <f>SUMIF($AJ228:$AJ239,"&lt;0",AJ228:AJ239)</f>
        <v>0</v>
      </c>
    </row>
    <row r="242" spans="17:36" ht="15" customHeight="1" x14ac:dyDescent="0.2"/>
    <row r="243" spans="17:36" ht="15" customHeight="1" x14ac:dyDescent="0.2"/>
    <row r="244" spans="17:36" ht="15" customHeight="1" x14ac:dyDescent="0.2">
      <c r="R244" s="3" t="s">
        <v>294</v>
      </c>
    </row>
    <row r="245" spans="17:36" ht="15" customHeight="1" x14ac:dyDescent="0.2"/>
    <row r="246" spans="17:36" ht="15" customHeight="1" x14ac:dyDescent="0.2">
      <c r="R246" s="3" t="s">
        <v>305</v>
      </c>
    </row>
    <row r="247" spans="17:36" ht="15" customHeight="1" x14ac:dyDescent="0.2">
      <c r="R247" s="3" t="s">
        <v>306</v>
      </c>
    </row>
    <row r="248" spans="17:36" ht="15" customHeight="1" x14ac:dyDescent="0.2">
      <c r="R248" s="3" t="s">
        <v>307</v>
      </c>
    </row>
  </sheetData>
  <mergeCells count="6">
    <mergeCell ref="Z226:AA226"/>
    <mergeCell ref="B2:L2"/>
    <mergeCell ref="E5:G5"/>
    <mergeCell ref="I5:K5"/>
    <mergeCell ref="M23:M27"/>
    <mergeCell ref="R226:X226"/>
  </mergeCells>
  <dataValidations disablePrompts="1" count="2">
    <dataValidation type="list" showInputMessage="1" showErrorMessage="1" sqref="E80" xr:uid="{00000000-0002-0000-0700-000000000000}">
      <formula1>#REF!</formula1>
    </dataValidation>
    <dataValidation type="list" allowBlank="1" showInputMessage="1" showErrorMessage="1" sqref="E92" xr:uid="{00000000-0002-0000-0700-000001000000}">
      <formula1>#REF!</formula1>
    </dataValidation>
  </dataValidations>
  <pageMargins left="0.7" right="0.7" top="0.75" bottom="0.75" header="0.3" footer="0.3"/>
  <pageSetup paperSize="9" orientation="portrait"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9F78DC45E2469409A6C518397AAC362" ma:contentTypeVersion="10" ma:contentTypeDescription="Een nieuw document maken." ma:contentTypeScope="" ma:versionID="7995a51c6ec87330ae0ad9f06a8c2e69">
  <xsd:schema xmlns:xsd="http://www.w3.org/2001/XMLSchema" xmlns:xs="http://www.w3.org/2001/XMLSchema" xmlns:p="http://schemas.microsoft.com/office/2006/metadata/properties" xmlns:ns2="95eb623b-9cff-4c52-9bb1-b9cdb43f5741" xmlns:ns3="21967813-4182-48c5-994d-586363d5d124" targetNamespace="http://schemas.microsoft.com/office/2006/metadata/properties" ma:root="true" ma:fieldsID="87956c11d2c68a075473d88ab87deb2f" ns2:_="" ns3:_="">
    <xsd:import namespace="95eb623b-9cff-4c52-9bb1-b9cdb43f5741"/>
    <xsd:import namespace="21967813-4182-48c5-994d-586363d5d12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eb623b-9cff-4c52-9bb1-b9cdb43f574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1967813-4182-48c5-994d-586363d5d124" elementFormDefault="qualified">
    <xsd:import namespace="http://schemas.microsoft.com/office/2006/documentManagement/types"/>
    <xsd:import namespace="http://schemas.microsoft.com/office/infopath/2007/PartnerControls"/>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3E9EDA-1526-4271-9278-04BD3CFBB8CB}">
  <ds:schemaRefs>
    <ds:schemaRef ds:uri="http://schemas.microsoft.com/sharepoint/v3/contenttype/forms"/>
  </ds:schemaRefs>
</ds:datastoreItem>
</file>

<file path=customXml/itemProps2.xml><?xml version="1.0" encoding="utf-8"?>
<ds:datastoreItem xmlns:ds="http://schemas.openxmlformats.org/officeDocument/2006/customXml" ds:itemID="{96C28850-973C-4A39-BB24-6359AEA30454}">
  <ds:schemaRefs>
    <ds:schemaRef ds:uri="http://schemas.microsoft.com/office/2006/metadata/contentType"/>
    <ds:schemaRef ds:uri="http://schemas.microsoft.com/office/2006/metadata/properties/metaAttributes"/>
    <ds:schemaRef ds:uri="http://www.w3.org/2000/xmlns/"/>
    <ds:schemaRef ds:uri="http://www.w3.org/2001/XMLSchema"/>
    <ds:schemaRef ds:uri="95eb623b-9cff-4c52-9bb1-b9cdb43f5741"/>
    <ds:schemaRef ds:uri="21967813-4182-48c5-994d-586363d5d124"/>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6E044E-A312-4CA8-928D-849D7A5272CC}">
  <ds:schemaRefs>
    <ds:schemaRef ds:uri="http://schemas.microsoft.com/office/2006/metadata/properties"/>
    <ds:schemaRef ds:uri="http://www.w3.org/2000/xmln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11</vt:i4>
      </vt:variant>
    </vt:vector>
  </HeadingPairs>
  <TitlesOfParts>
    <vt:vector size="11" baseType="lpstr">
      <vt:lpstr>Disclaimer</vt:lpstr>
      <vt:lpstr>Invulsheet</vt:lpstr>
      <vt:lpstr>Resultaten</vt:lpstr>
      <vt:lpstr>Resultaat_verzameling</vt:lpstr>
      <vt:lpstr>Rekensheet_0</vt:lpstr>
      <vt:lpstr>Rekensheet_1</vt:lpstr>
      <vt:lpstr>Rekensheet_2</vt:lpstr>
      <vt:lpstr>Rekensheet_3</vt:lpstr>
      <vt:lpstr>Rekensheet_4</vt:lpstr>
      <vt:lpstr>Data</vt:lpstr>
      <vt:lpstr>Weerdata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Rekentool Energieadvies</dc:title>
  <dc:creator>EnergyGO B.V.</dc:creator>
  <cp:lastModifiedBy>Siemelink, Luuk</cp:lastModifiedBy>
  <cp:lastPrinted>2019-12-19T08:46:21Z</cp:lastPrinted>
  <dcterms:created xsi:type="dcterms:W3CDTF">2007-06-05T13:35:12Z</dcterms:created>
  <dcterms:modified xsi:type="dcterms:W3CDTF">2019-12-24T12:19:02Z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0x01010069F78DC45E2469409A6C518397AAC362</vt:lpwstr>
  </property>
</Properties>
</file>