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5360" windowHeight="8790" activeTab="0"/>
  </bookViews>
  <sheets>
    <sheet name="badcel" sheetId="1" r:id="rId1"/>
    <sheet name="Blad3" sheetId="2" r:id="rId2"/>
  </sheets>
  <definedNames/>
  <calcPr fullCalcOnLoad="1"/>
</workbook>
</file>

<file path=xl/sharedStrings.xml><?xml version="1.0" encoding="utf-8"?>
<sst xmlns="http://schemas.openxmlformats.org/spreadsheetml/2006/main" count="45" uniqueCount="41">
  <si>
    <t>Onderdeel</t>
  </si>
  <si>
    <t>Dikte</t>
  </si>
  <si>
    <t>U = Mu</t>
  </si>
  <si>
    <t>U*d*P/Som(U*d)</t>
  </si>
  <si>
    <t>P aanw</t>
  </si>
  <si>
    <t>Lambda</t>
  </si>
  <si>
    <t>Ri*deltaT</t>
  </si>
  <si>
    <t>Omg.temp</t>
  </si>
  <si>
    <t>Ri</t>
  </si>
  <si>
    <t>Re</t>
  </si>
  <si>
    <t>in m</t>
  </si>
  <si>
    <t>U*d</t>
  </si>
  <si>
    <t>Totalen</t>
  </si>
  <si>
    <t>verticale lijnen:</t>
  </si>
  <si>
    <t>temp</t>
  </si>
  <si>
    <t>Pa(max)</t>
  </si>
  <si>
    <t>Pa(aanw)</t>
  </si>
  <si>
    <t>Paanw.</t>
  </si>
  <si>
    <t>SP. etmp</t>
  </si>
  <si>
    <t>Plat dak boven badcel</t>
  </si>
  <si>
    <t>grind</t>
  </si>
  <si>
    <t>bitumen</t>
  </si>
  <si>
    <t>dakbeschot</t>
  </si>
  <si>
    <t>steenwol</t>
  </si>
  <si>
    <t>spouw</t>
  </si>
  <si>
    <t>tengels</t>
  </si>
  <si>
    <t>gips</t>
  </si>
  <si>
    <t>cumulatief</t>
  </si>
  <si>
    <t>delta P</t>
  </si>
  <si>
    <t>Rm=</t>
  </si>
  <si>
    <t>dikte/lambda</t>
  </si>
  <si>
    <t>relatieve vochtigheid buiten:</t>
  </si>
  <si>
    <t>buitentemperatuur:</t>
  </si>
  <si>
    <t>relatieve vochtigheid binnen:</t>
  </si>
  <si>
    <t>binnentemperatuur:</t>
  </si>
  <si>
    <t>°C</t>
  </si>
  <si>
    <t>Hulpvakjes</t>
  </si>
  <si>
    <t>Toelichting</t>
  </si>
  <si>
    <t>Dampdruk</t>
  </si>
  <si>
    <t>In de figuur zie je een doorsnede van een houten dakconstructie met isolatie aan de binnenzijde. De constructie is 90 graden gedraaid. Beweeg de schuifregelaars om de temperatuur en de relatieve vochtigheid in te stellen. Op het moment dat de lijn van de dampspanning de temperatuurlijn snijdt zal condensatie optreden</t>
  </si>
  <si>
    <t>Het doel van dit dynamisch model is om te onderzoeken of deze constructie aanvaardbaar is bij de renovatie van een woonhuis. Er wordt achteraf dakisolatie aangebracht aan de binnenzijde van de dakconstructie</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</si>
</sst>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F&quot;\ #,##0_-;&quot;F&quot;\ #,##0\-"/>
    <numFmt numFmtId="171" formatCode="&quot;F&quot;\ #,##0_-;[Red]&quot;F&quot;\ #,##0\-"/>
    <numFmt numFmtId="172" formatCode="&quot;F&quot;\ #,##0.00_-;&quot;F&quot;\ #,##0.00\-"/>
    <numFmt numFmtId="173" formatCode="&quot;F&quot;\ #,##0.00_-;[Red]&quot;F&quot;\ #,##0.00\-"/>
    <numFmt numFmtId="174" formatCode="_-&quot;F&quot;\ * #,##0_-;_-&quot;F&quot;\ * #,##0\-;_-&quot;F&quot;\ * &quot;-&quot;_-;_-@_-"/>
    <numFmt numFmtId="175" formatCode="_-&quot;F&quot;\ * #,##0.00_-;_-&quot;F&quot;\ * #,##0.00\-;_-&quot;F&quot;\ * &quot;-&quot;??_-;_-@_-"/>
    <numFmt numFmtId="176" formatCode="0.000"/>
  </numFmts>
  <fonts count="7">
    <font>
      <sz val="10"/>
      <name val="Arial"/>
      <family val="0"/>
    </font>
    <font>
      <b/>
      <sz val="10"/>
      <name val="Arial"/>
      <family val="2"/>
    </font>
    <font>
      <b/>
      <sz val="8"/>
      <name val="Arial"/>
      <family val="2"/>
    </font>
    <font>
      <b/>
      <sz val="9.5"/>
      <name val="Arial"/>
      <family val="2"/>
    </font>
    <font>
      <sz val="18.75"/>
      <name val="Arial"/>
      <family val="0"/>
    </font>
    <font>
      <b/>
      <sz val="9"/>
      <name val="Arial"/>
      <family val="2"/>
    </font>
    <font>
      <b/>
      <sz val="10"/>
      <color indexed="9"/>
      <name val="Arial"/>
      <family val="2"/>
    </font>
  </fonts>
  <fills count="4">
    <fill>
      <patternFill/>
    </fill>
    <fill>
      <patternFill patternType="gray125"/>
    </fill>
    <fill>
      <patternFill patternType="solid">
        <fgColor indexed="48"/>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8">
    <xf numFmtId="0" fontId="0" fillId="0" borderId="0" xfId="0" applyAlignment="1">
      <alignment/>
    </xf>
    <xf numFmtId="1" fontId="0" fillId="0" borderId="0" xfId="0" applyNumberForma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5" fillId="0" borderId="0" xfId="0" applyFont="1" applyAlignment="1">
      <alignment/>
    </xf>
    <xf numFmtId="9" fontId="6" fillId="2" borderId="0" xfId="0" applyNumberFormat="1" applyFont="1" applyFill="1" applyAlignment="1">
      <alignment/>
    </xf>
    <xf numFmtId="0" fontId="6" fillId="3" borderId="0" xfId="0" applyFont="1" applyFill="1" applyAlignment="1">
      <alignment/>
    </xf>
    <xf numFmtId="0" fontId="0" fillId="0" borderId="1" xfId="0" applyBorder="1" applyAlignment="1">
      <alignment/>
    </xf>
    <xf numFmtId="0" fontId="1" fillId="0" borderId="1" xfId="0" applyFont="1" applyBorder="1" applyAlignment="1">
      <alignment/>
    </xf>
    <xf numFmtId="1" fontId="0" fillId="0" borderId="1" xfId="0" applyNumberFormat="1" applyBorder="1" applyAlignment="1">
      <alignment/>
    </xf>
    <xf numFmtId="1" fontId="0" fillId="0" borderId="1" xfId="0" applyNumberFormat="1" applyFont="1" applyBorder="1" applyAlignment="1">
      <alignment/>
    </xf>
    <xf numFmtId="176" fontId="0" fillId="0" borderId="1" xfId="0" applyNumberFormat="1" applyBorder="1" applyAlignment="1">
      <alignment/>
    </xf>
    <xf numFmtId="2" fontId="0" fillId="0" borderId="1" xfId="0" applyNumberFormat="1" applyBorder="1" applyAlignment="1">
      <alignment/>
    </xf>
    <xf numFmtId="0" fontId="0" fillId="0" borderId="1" xfId="0" applyBorder="1" applyAlignment="1">
      <alignment horizontal="center"/>
    </xf>
    <xf numFmtId="0" fontId="0" fillId="0" borderId="1" xfId="0" applyBorder="1" applyAlignment="1">
      <alignment horizontal="right"/>
    </xf>
    <xf numFmtId="0" fontId="0" fillId="0" borderId="0" xfId="0" applyAlignment="1">
      <alignment vertical="top"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0725"/>
          <c:w val="0.9855"/>
          <c:h val="0.85825"/>
        </c:manualLayout>
      </c:layout>
      <c:scatterChart>
        <c:scatterStyle val="line"/>
        <c:varyColors val="0"/>
        <c:ser>
          <c:idx val="0"/>
          <c:order val="0"/>
          <c:tx>
            <c:v>temperatuur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badcel!$T$8:$T$16</c:f>
              <c:numCache/>
            </c:numRef>
          </c:xVal>
          <c:yVal>
            <c:numRef>
              <c:f>badcel!$AB$8:$AB$16</c:f>
              <c:numCache/>
            </c:numRef>
          </c:yVal>
          <c:smooth val="0"/>
        </c:ser>
        <c:ser>
          <c:idx val="2"/>
          <c:order val="1"/>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badcel!$R$20:$R$30</c:f>
              <c:numCache/>
            </c:numRef>
          </c:xVal>
          <c:yVal>
            <c:numRef>
              <c:f>badcel!$Q$20:$Q$30</c:f>
              <c:numCache/>
            </c:numRef>
          </c:yVal>
          <c:smooth val="0"/>
        </c:ser>
        <c:ser>
          <c:idx val="3"/>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badcel!$S$20:$S$30</c:f>
              <c:numCache/>
            </c:numRef>
          </c:xVal>
          <c:yVal>
            <c:numRef>
              <c:f>badcel!$Q$20:$Q$30</c:f>
              <c:numCache/>
            </c:numRef>
          </c:yVal>
          <c:smooth val="0"/>
        </c:ser>
        <c:ser>
          <c:idx val="4"/>
          <c:order val="3"/>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badcel!$T$20:$T$30</c:f>
              <c:numCache/>
            </c:numRef>
          </c:xVal>
          <c:yVal>
            <c:numRef>
              <c:f>badcel!$Q$20:$Q$30</c:f>
              <c:numCache/>
            </c:numRef>
          </c:yVal>
          <c:smooth val="0"/>
        </c:ser>
        <c:ser>
          <c:idx val="5"/>
          <c:order val="4"/>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badcel!$U$20:$U$30</c:f>
              <c:numCache/>
            </c:numRef>
          </c:xVal>
          <c:yVal>
            <c:numRef>
              <c:f>badcel!$Q$20:$Q$30</c:f>
              <c:numCache/>
            </c:numRef>
          </c:yVal>
          <c:smooth val="0"/>
        </c:ser>
        <c:ser>
          <c:idx val="6"/>
          <c:order val="5"/>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badcel!$V$20:$V$30</c:f>
              <c:numCache/>
            </c:numRef>
          </c:xVal>
          <c:yVal>
            <c:numRef>
              <c:f>badcel!$Q$20:$Q$30</c:f>
              <c:numCache/>
            </c:numRef>
          </c:yVal>
          <c:smooth val="0"/>
        </c:ser>
        <c:ser>
          <c:idx val="7"/>
          <c:order val="6"/>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badcel!$W$20:$W$30</c:f>
              <c:numCache/>
            </c:numRef>
          </c:xVal>
          <c:yVal>
            <c:numRef>
              <c:f>badcel!$Q$20:$Q$30</c:f>
              <c:numCache/>
            </c:numRef>
          </c:yVal>
          <c:smooth val="0"/>
        </c:ser>
        <c:ser>
          <c:idx val="8"/>
          <c:order val="7"/>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badcel!$X$20:$X$30</c:f>
              <c:numCache/>
            </c:numRef>
          </c:xVal>
          <c:yVal>
            <c:numRef>
              <c:f>badcel!$Q$20:$Q$30</c:f>
              <c:numCache/>
            </c:numRef>
          </c:yVal>
          <c:smooth val="0"/>
        </c:ser>
        <c:ser>
          <c:idx val="9"/>
          <c:order val="8"/>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badcel!$Y$20:$Y$30</c:f>
              <c:numCache/>
            </c:numRef>
          </c:xVal>
          <c:yVal>
            <c:numRef>
              <c:f>badcel!$Q$20:$Q$30</c:f>
              <c:numCache/>
            </c:numRef>
          </c:yVal>
          <c:smooth val="0"/>
        </c:ser>
        <c:ser>
          <c:idx val="1"/>
          <c:order val="9"/>
          <c:tx>
            <c:v>dampspanning</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badcel!$T$8:$T$16</c:f>
              <c:numCache/>
            </c:numRef>
          </c:xVal>
          <c:yVal>
            <c:numRef>
              <c:f>badcel!$AC$8:$AC$16</c:f>
              <c:numCache/>
            </c:numRef>
          </c:yVal>
          <c:smooth val="0"/>
        </c:ser>
        <c:axId val="57272358"/>
        <c:axId val="45689175"/>
      </c:scatterChart>
      <c:valAx>
        <c:axId val="57272358"/>
        <c:scaling>
          <c:orientation val="minMax"/>
          <c:max val="0.283"/>
          <c:min val="0"/>
        </c:scaling>
        <c:axPos val="b"/>
        <c:delete val="0"/>
        <c:numFmt formatCode="General" sourceLinked="1"/>
        <c:majorTickMark val="none"/>
        <c:minorTickMark val="none"/>
        <c:tickLblPos val="none"/>
        <c:spPr>
          <a:ln w="25400">
            <a:solidFill>
              <a:srgbClr val="000000"/>
            </a:solidFill>
          </a:ln>
        </c:spPr>
        <c:txPr>
          <a:bodyPr/>
          <a:lstStyle/>
          <a:p>
            <a:pPr>
              <a:defRPr lang="en-US" cap="none" sz="950" b="1" i="0" u="none" baseline="0">
                <a:latin typeface="Arial"/>
                <a:ea typeface="Arial"/>
                <a:cs typeface="Arial"/>
              </a:defRPr>
            </a:pPr>
          </a:p>
        </c:txPr>
        <c:crossAx val="45689175"/>
        <c:crosses val="autoZero"/>
        <c:crossBetween val="midCat"/>
        <c:dispUnits/>
      </c:valAx>
      <c:valAx>
        <c:axId val="45689175"/>
        <c:scaling>
          <c:orientation val="minMax"/>
          <c:max val="30"/>
          <c:min val="-20"/>
        </c:scaling>
        <c:axPos val="l"/>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72723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0.03125</cdr:y>
    </cdr:from>
    <cdr:to>
      <cdr:x>0.9885</cdr:x>
      <cdr:y>0.844</cdr:y>
    </cdr:to>
    <cdr:sp>
      <cdr:nvSpPr>
        <cdr:cNvPr id="1" name="Rectangle 19"/>
        <cdr:cNvSpPr>
          <a:spLocks/>
        </cdr:cNvSpPr>
      </cdr:nvSpPr>
      <cdr:spPr>
        <a:xfrm>
          <a:off x="6448425" y="123825"/>
          <a:ext cx="161925" cy="3295650"/>
        </a:xfrm>
        <a:prstGeom prst="rect">
          <a:avLst/>
        </a:prstGeom>
        <a:solidFill>
          <a:srgbClr val="CCFFCC">
            <a:alpha val="5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cdr:x>
      <cdr:y>0.03125</cdr:y>
    </cdr:from>
    <cdr:to>
      <cdr:x>0.48125</cdr:x>
      <cdr:y>0.844</cdr:y>
    </cdr:to>
    <cdr:sp>
      <cdr:nvSpPr>
        <cdr:cNvPr id="2" name="Rectangle 17"/>
        <cdr:cNvSpPr>
          <a:spLocks/>
        </cdr:cNvSpPr>
      </cdr:nvSpPr>
      <cdr:spPr>
        <a:xfrm>
          <a:off x="1657350" y="123825"/>
          <a:ext cx="1562100" cy="3295650"/>
        </a:xfrm>
        <a:prstGeom prst="rect">
          <a:avLst/>
        </a:prstGeom>
        <a:solidFill>
          <a:srgbClr val="FF0000">
            <a:alpha val="5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0.8995</cdr:x>
      <cdr:y>0.03125</cdr:y>
    </cdr:from>
    <cdr:to>
      <cdr:x>0.964</cdr:x>
      <cdr:y>0.844</cdr:y>
    </cdr:to>
    <cdr:sp>
      <cdr:nvSpPr>
        <cdr:cNvPr id="3" name="Rectangle 18"/>
        <cdr:cNvSpPr>
          <a:spLocks/>
        </cdr:cNvSpPr>
      </cdr:nvSpPr>
      <cdr:spPr>
        <a:xfrm>
          <a:off x="6019800" y="123825"/>
          <a:ext cx="428625" cy="3295650"/>
        </a:xfrm>
        <a:prstGeom prst="rect">
          <a:avLst/>
        </a:prstGeom>
        <a:solidFill>
          <a:srgbClr val="FFFF99">
            <a:alpha val="5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0.06225</cdr:x>
      <cdr:y>0.03125</cdr:y>
    </cdr:from>
    <cdr:to>
      <cdr:x>0.16275</cdr:x>
      <cdr:y>0.844</cdr:y>
    </cdr:to>
    <cdr:sp>
      <cdr:nvSpPr>
        <cdr:cNvPr id="4" name="Rectangle 13"/>
        <cdr:cNvSpPr>
          <a:spLocks/>
        </cdr:cNvSpPr>
      </cdr:nvSpPr>
      <cdr:spPr>
        <a:xfrm>
          <a:off x="409575" y="123825"/>
          <a:ext cx="676275" cy="3295650"/>
        </a:xfrm>
        <a:prstGeom prst="rect">
          <a:avLst/>
        </a:prstGeom>
        <a:solidFill>
          <a:srgbClr val="FFCC99">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0.18175</cdr:x>
      <cdr:y>0.03125</cdr:y>
    </cdr:from>
    <cdr:to>
      <cdr:x>0.24625</cdr:x>
      <cdr:y>0.844</cdr:y>
    </cdr:to>
    <cdr:sp>
      <cdr:nvSpPr>
        <cdr:cNvPr id="5" name="Rectangle 15"/>
        <cdr:cNvSpPr>
          <a:spLocks/>
        </cdr:cNvSpPr>
      </cdr:nvSpPr>
      <cdr:spPr>
        <a:xfrm>
          <a:off x="1209675" y="123825"/>
          <a:ext cx="428625" cy="3295650"/>
        </a:xfrm>
        <a:prstGeom prst="rect">
          <a:avLst/>
        </a:prstGeom>
        <a:solidFill>
          <a:srgbClr val="FFFF99">
            <a:alpha val="5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cdr:x>
      <cdr:y>0</cdr:y>
    </cdr:from>
    <cdr:to>
      <cdr:x>0.18825</cdr:x>
      <cdr:y>0.20225</cdr:y>
    </cdr:to>
    <cdr:sp>
      <cdr:nvSpPr>
        <cdr:cNvPr id="6" name="TextBox 1"/>
        <cdr:cNvSpPr txBox="1">
          <a:spLocks noChangeArrowheads="1"/>
        </cdr:cNvSpPr>
      </cdr:nvSpPr>
      <cdr:spPr>
        <a:xfrm>
          <a:off x="323850" y="0"/>
          <a:ext cx="933450" cy="81915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°C</a:t>
          </a:r>
        </a:p>
      </cdr:txBody>
    </cdr:sp>
  </cdr:relSizeAnchor>
  <cdr:relSizeAnchor xmlns:cdr="http://schemas.openxmlformats.org/drawingml/2006/chartDrawing">
    <cdr:from>
      <cdr:x>0.08775</cdr:x>
      <cdr:y>0.597</cdr:y>
    </cdr:from>
    <cdr:to>
      <cdr:x>0.11725</cdr:x>
      <cdr:y>0.746</cdr:y>
    </cdr:to>
    <cdr:sp>
      <cdr:nvSpPr>
        <cdr:cNvPr id="7" name="TextBox 4"/>
        <cdr:cNvSpPr txBox="1">
          <a:spLocks noChangeArrowheads="1"/>
        </cdr:cNvSpPr>
      </cdr:nvSpPr>
      <cdr:spPr>
        <a:xfrm>
          <a:off x="581025" y="2419350"/>
          <a:ext cx="200025" cy="600075"/>
        </a:xfrm>
        <a:prstGeom prst="rect">
          <a:avLst/>
        </a:prstGeom>
        <a:noFill/>
        <a:ln w="9525" cmpd="sng">
          <a:noFill/>
        </a:ln>
      </cdr:spPr>
      <cdr:txBody>
        <a:bodyPr vertOverflow="clip" wrap="square" vert="vert270"/>
        <a:p>
          <a:pPr algn="l">
            <a:defRPr/>
          </a:pPr>
          <a:r>
            <a:rPr lang="en-US" cap="none" sz="800" b="1" i="0" u="none" baseline="0">
              <a:latin typeface="Arial"/>
              <a:ea typeface="Arial"/>
              <a:cs typeface="Arial"/>
            </a:rPr>
            <a:t>grind</a:t>
          </a:r>
        </a:p>
      </cdr:txBody>
    </cdr:sp>
  </cdr:relSizeAnchor>
  <cdr:relSizeAnchor xmlns:cdr="http://schemas.openxmlformats.org/drawingml/2006/chartDrawing">
    <cdr:from>
      <cdr:x>0.196</cdr:x>
      <cdr:y>0.515</cdr:y>
    </cdr:from>
    <cdr:to>
      <cdr:x>0.23475</cdr:x>
      <cdr:y>0.7315</cdr:y>
    </cdr:to>
    <cdr:sp>
      <cdr:nvSpPr>
        <cdr:cNvPr id="8" name="TextBox 5"/>
        <cdr:cNvSpPr txBox="1">
          <a:spLocks noChangeArrowheads="1"/>
        </cdr:cNvSpPr>
      </cdr:nvSpPr>
      <cdr:spPr>
        <a:xfrm>
          <a:off x="1304925" y="2085975"/>
          <a:ext cx="257175" cy="876300"/>
        </a:xfrm>
        <a:prstGeom prst="rect">
          <a:avLst/>
        </a:prstGeom>
        <a:noFill/>
        <a:ln w="9525" cmpd="sng">
          <a:noFill/>
        </a:ln>
      </cdr:spPr>
      <cdr:txBody>
        <a:bodyPr vertOverflow="clip" wrap="square" vert="vert270"/>
        <a:p>
          <a:pPr algn="l">
            <a:defRPr/>
          </a:pPr>
          <a:r>
            <a:rPr lang="en-US" cap="none" sz="800" b="1" i="0" u="none" baseline="0">
              <a:latin typeface="Arial"/>
              <a:ea typeface="Arial"/>
              <a:cs typeface="Arial"/>
            </a:rPr>
            <a:t>dakbeschot</a:t>
          </a:r>
        </a:p>
      </cdr:txBody>
    </cdr:sp>
  </cdr:relSizeAnchor>
  <cdr:relSizeAnchor xmlns:cdr="http://schemas.openxmlformats.org/drawingml/2006/chartDrawing">
    <cdr:from>
      <cdr:x>0.17125</cdr:x>
      <cdr:y>0.832</cdr:y>
    </cdr:from>
    <cdr:to>
      <cdr:x>0.17225</cdr:x>
      <cdr:y>0.90875</cdr:y>
    </cdr:to>
    <cdr:sp>
      <cdr:nvSpPr>
        <cdr:cNvPr id="9" name="Line 6"/>
        <cdr:cNvSpPr>
          <a:spLocks/>
        </cdr:cNvSpPr>
      </cdr:nvSpPr>
      <cdr:spPr>
        <a:xfrm>
          <a:off x="1143000" y="3371850"/>
          <a:ext cx="952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0.1465</cdr:x>
      <cdr:y>0.90875</cdr:y>
    </cdr:from>
    <cdr:to>
      <cdr:x>0.268</cdr:x>
      <cdr:y>0.94</cdr:y>
    </cdr:to>
    <cdr:sp>
      <cdr:nvSpPr>
        <cdr:cNvPr id="10" name="TextBox 7"/>
        <cdr:cNvSpPr txBox="1">
          <a:spLocks noChangeArrowheads="1"/>
        </cdr:cNvSpPr>
      </cdr:nvSpPr>
      <cdr:spPr>
        <a:xfrm>
          <a:off x="971550" y="3686175"/>
          <a:ext cx="809625" cy="1238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bitumen</a:t>
          </a:r>
        </a:p>
      </cdr:txBody>
    </cdr:sp>
  </cdr:relSizeAnchor>
  <cdr:relSizeAnchor xmlns:cdr="http://schemas.openxmlformats.org/drawingml/2006/chartDrawing">
    <cdr:from>
      <cdr:x>0.909</cdr:x>
      <cdr:y>0.5735</cdr:y>
    </cdr:from>
    <cdr:to>
      <cdr:x>0.94125</cdr:x>
      <cdr:y>0.713</cdr:y>
    </cdr:to>
    <cdr:sp>
      <cdr:nvSpPr>
        <cdr:cNvPr id="11" name="TextBox 10"/>
        <cdr:cNvSpPr txBox="1">
          <a:spLocks noChangeArrowheads="1"/>
        </cdr:cNvSpPr>
      </cdr:nvSpPr>
      <cdr:spPr>
        <a:xfrm>
          <a:off x="6086475" y="2324100"/>
          <a:ext cx="219075" cy="561975"/>
        </a:xfrm>
        <a:prstGeom prst="rect">
          <a:avLst/>
        </a:prstGeom>
        <a:noFill/>
        <a:ln w="9525" cmpd="sng">
          <a:noFill/>
        </a:ln>
      </cdr:spPr>
      <cdr:txBody>
        <a:bodyPr vertOverflow="clip" wrap="square" vert="vert270"/>
        <a:p>
          <a:pPr algn="l">
            <a:defRPr/>
          </a:pPr>
          <a:r>
            <a:rPr lang="en-US" cap="none" sz="800" b="1" i="0" u="none" baseline="0">
              <a:latin typeface="Arial"/>
              <a:ea typeface="Arial"/>
              <a:cs typeface="Arial"/>
            </a:rPr>
            <a:t>tengels</a:t>
          </a:r>
        </a:p>
      </cdr:txBody>
    </cdr:sp>
  </cdr:relSizeAnchor>
  <cdr:relSizeAnchor xmlns:cdr="http://schemas.openxmlformats.org/drawingml/2006/chartDrawing">
    <cdr:from>
      <cdr:x>0.981</cdr:x>
      <cdr:y>0.832</cdr:y>
    </cdr:from>
    <cdr:to>
      <cdr:x>0.981</cdr:x>
      <cdr:y>0.928</cdr:y>
    </cdr:to>
    <cdr:sp>
      <cdr:nvSpPr>
        <cdr:cNvPr id="12" name="Line 11"/>
        <cdr:cNvSpPr>
          <a:spLocks/>
        </cdr:cNvSpPr>
      </cdr:nvSpPr>
      <cdr:spPr>
        <a:xfrm>
          <a:off x="6562725" y="3371850"/>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0.6115</cdr:y>
    </cdr:from>
    <cdr:to>
      <cdr:x>0.998</cdr:x>
      <cdr:y>0.78175</cdr:y>
    </cdr:to>
    <cdr:sp>
      <cdr:nvSpPr>
        <cdr:cNvPr id="13" name="TextBox 12"/>
        <cdr:cNvSpPr txBox="1">
          <a:spLocks noChangeArrowheads="1"/>
        </cdr:cNvSpPr>
      </cdr:nvSpPr>
      <cdr:spPr>
        <a:xfrm>
          <a:off x="6438900" y="2476500"/>
          <a:ext cx="238125" cy="695325"/>
        </a:xfrm>
        <a:prstGeom prst="rect">
          <a:avLst/>
        </a:prstGeom>
        <a:noFill/>
        <a:ln w="9525" cmpd="sng">
          <a:noFill/>
        </a:ln>
      </cdr:spPr>
      <cdr:txBody>
        <a:bodyPr vertOverflow="clip" wrap="square" vert="vert270"/>
        <a:p>
          <a:pPr algn="l">
            <a:defRPr/>
          </a:pPr>
          <a:r>
            <a:rPr lang="en-US" cap="none" sz="800" b="1" i="0" u="none" baseline="0">
              <a:latin typeface="Arial"/>
              <a:ea typeface="Arial"/>
              <a:cs typeface="Arial"/>
            </a:rPr>
            <a:t>gips</a:t>
          </a:r>
        </a:p>
      </cdr:txBody>
    </cdr:sp>
  </cdr:relSizeAnchor>
  <cdr:relSizeAnchor xmlns:cdr="http://schemas.openxmlformats.org/drawingml/2006/chartDrawing">
    <cdr:from>
      <cdr:x>0.16275</cdr:x>
      <cdr:y>0.03125</cdr:y>
    </cdr:from>
    <cdr:to>
      <cdr:x>0.18175</cdr:x>
      <cdr:y>0.844</cdr:y>
    </cdr:to>
    <cdr:sp>
      <cdr:nvSpPr>
        <cdr:cNvPr id="14" name="Rectangle 14"/>
        <cdr:cNvSpPr>
          <a:spLocks/>
        </cdr:cNvSpPr>
      </cdr:nvSpPr>
      <cdr:spPr>
        <a:xfrm>
          <a:off x="1085850" y="123825"/>
          <a:ext cx="123825" cy="3295650"/>
        </a:xfrm>
        <a:prstGeom prst="rect">
          <a:avLst/>
        </a:prstGeom>
        <a:solidFill>
          <a:srgbClr val="808080">
            <a:alpha val="5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0.08125</cdr:x>
      <cdr:y>0.0595</cdr:y>
    </cdr:from>
    <cdr:to>
      <cdr:x>0.359</cdr:x>
      <cdr:y>0.10825</cdr:y>
    </cdr:to>
    <cdr:sp>
      <cdr:nvSpPr>
        <cdr:cNvPr id="15" name="TextBox 2"/>
        <cdr:cNvSpPr txBox="1">
          <a:spLocks noChangeArrowheads="1"/>
        </cdr:cNvSpPr>
      </cdr:nvSpPr>
      <cdr:spPr>
        <a:xfrm>
          <a:off x="542925" y="238125"/>
          <a:ext cx="18573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blauw = temperatuur</a:t>
          </a:r>
        </a:p>
      </cdr:txBody>
    </cdr:sp>
  </cdr:relSizeAnchor>
  <cdr:relSizeAnchor xmlns:cdr="http://schemas.openxmlformats.org/drawingml/2006/chartDrawing">
    <cdr:from>
      <cdr:x>0.08125</cdr:x>
      <cdr:y>0.13175</cdr:y>
    </cdr:from>
    <cdr:to>
      <cdr:x>0.359</cdr:x>
      <cdr:y>0.1805</cdr:y>
    </cdr:to>
    <cdr:sp>
      <cdr:nvSpPr>
        <cdr:cNvPr id="16" name="TextBox 16"/>
        <cdr:cNvSpPr txBox="1">
          <a:spLocks noChangeArrowheads="1"/>
        </cdr:cNvSpPr>
      </cdr:nvSpPr>
      <cdr:spPr>
        <a:xfrm>
          <a:off x="542925" y="533400"/>
          <a:ext cx="18573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rood = dampspanning</a:t>
          </a:r>
        </a:p>
      </cdr:txBody>
    </cdr:sp>
  </cdr:relSizeAnchor>
  <cdr:relSizeAnchor xmlns:cdr="http://schemas.openxmlformats.org/drawingml/2006/chartDrawing">
    <cdr:from>
      <cdr:x>0.3115</cdr:x>
      <cdr:y>0.54175</cdr:y>
    </cdr:from>
    <cdr:to>
      <cdr:x>0.3485</cdr:x>
      <cdr:y>0.70075</cdr:y>
    </cdr:to>
    <cdr:sp>
      <cdr:nvSpPr>
        <cdr:cNvPr id="17" name="TextBox 8"/>
        <cdr:cNvSpPr txBox="1">
          <a:spLocks noChangeArrowheads="1"/>
        </cdr:cNvSpPr>
      </cdr:nvSpPr>
      <cdr:spPr>
        <a:xfrm>
          <a:off x="2076450" y="2190750"/>
          <a:ext cx="247650" cy="647700"/>
        </a:xfrm>
        <a:prstGeom prst="rect">
          <a:avLst/>
        </a:prstGeom>
        <a:noFill/>
        <a:ln w="9525" cmpd="sng">
          <a:noFill/>
        </a:ln>
      </cdr:spPr>
      <cdr:txBody>
        <a:bodyPr vertOverflow="clip" wrap="square" vert="vert270"/>
        <a:p>
          <a:pPr algn="l">
            <a:defRPr/>
          </a:pPr>
          <a:r>
            <a:rPr lang="en-US" cap="none" sz="800" b="1" i="0" u="none" baseline="0">
              <a:latin typeface="Arial"/>
              <a:ea typeface="Arial"/>
              <a:cs typeface="Arial"/>
            </a:rPr>
            <a:t>steenwol</a:t>
          </a:r>
        </a:p>
      </cdr:txBody>
    </cdr:sp>
  </cdr:relSizeAnchor>
  <cdr:relSizeAnchor xmlns:cdr="http://schemas.openxmlformats.org/drawingml/2006/chartDrawing">
    <cdr:from>
      <cdr:x>0.64525</cdr:x>
      <cdr:y>0.5735</cdr:y>
    </cdr:from>
    <cdr:to>
      <cdr:x>0.6805</cdr:x>
      <cdr:y>0.7315</cdr:y>
    </cdr:to>
    <cdr:sp>
      <cdr:nvSpPr>
        <cdr:cNvPr id="18" name="TextBox 9"/>
        <cdr:cNvSpPr txBox="1">
          <a:spLocks noChangeArrowheads="1"/>
        </cdr:cNvSpPr>
      </cdr:nvSpPr>
      <cdr:spPr>
        <a:xfrm>
          <a:off x="4314825" y="2324100"/>
          <a:ext cx="238125" cy="638175"/>
        </a:xfrm>
        <a:prstGeom prst="rect">
          <a:avLst/>
        </a:prstGeom>
        <a:noFill/>
        <a:ln w="9525" cmpd="sng">
          <a:noFill/>
        </a:ln>
      </cdr:spPr>
      <cdr:txBody>
        <a:bodyPr vertOverflow="clip" wrap="square" vert="vert270"/>
        <a:p>
          <a:pPr algn="l">
            <a:defRPr/>
          </a:pPr>
          <a:r>
            <a:rPr lang="en-US" cap="none" sz="1000" b="1" i="0" u="none" baseline="0">
              <a:latin typeface="Arial"/>
              <a:ea typeface="Arial"/>
              <a:cs typeface="Arial"/>
            </a:rPr>
            <a:t>spouw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8</xdr:row>
      <xdr:rowOff>57150</xdr:rowOff>
    </xdr:from>
    <xdr:to>
      <xdr:col>9</xdr:col>
      <xdr:colOff>514350</xdr:colOff>
      <xdr:row>28</xdr:row>
      <xdr:rowOff>47625</xdr:rowOff>
    </xdr:to>
    <xdr:sp>
      <xdr:nvSpPr>
        <xdr:cNvPr id="1" name="Rectangle 9"/>
        <xdr:cNvSpPr>
          <a:spLocks/>
        </xdr:cNvSpPr>
      </xdr:nvSpPr>
      <xdr:spPr>
        <a:xfrm>
          <a:off x="3248025" y="1352550"/>
          <a:ext cx="2752725" cy="3228975"/>
        </a:xfrm>
        <a:prstGeom prst="rect">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xdr:row>
      <xdr:rowOff>57150</xdr:rowOff>
    </xdr:from>
    <xdr:to>
      <xdr:col>11</xdr:col>
      <xdr:colOff>9525</xdr:colOff>
      <xdr:row>32</xdr:row>
      <xdr:rowOff>66675</xdr:rowOff>
    </xdr:to>
    <xdr:graphicFrame>
      <xdr:nvGraphicFramePr>
        <xdr:cNvPr id="2" name="Chart 1"/>
        <xdr:cNvGraphicFramePr/>
      </xdr:nvGraphicFramePr>
      <xdr:xfrm>
        <a:off x="19050" y="1190625"/>
        <a:ext cx="669607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AH57"/>
  <sheetViews>
    <sheetView showGridLines="0" showRowColHeaders="0" tabSelected="1" workbookViewId="0" topLeftCell="A1">
      <selection activeCell="AE1" sqref="AE1"/>
    </sheetView>
  </sheetViews>
  <sheetFormatPr defaultColWidth="9.140625" defaultRowHeight="12.75"/>
  <sheetData>
    <row r="1" spans="17:34" ht="12.75">
      <c r="Q1" s="8"/>
      <c r="R1" s="8"/>
      <c r="S1" s="8"/>
      <c r="T1" s="8"/>
      <c r="U1" s="8"/>
      <c r="V1" s="9" t="s">
        <v>19</v>
      </c>
      <c r="W1" s="9"/>
      <c r="X1" s="8"/>
      <c r="Y1" s="8"/>
      <c r="Z1" s="8"/>
      <c r="AA1" s="8"/>
      <c r="AB1" s="8"/>
      <c r="AC1" s="8"/>
      <c r="AE1" t="s">
        <v>14</v>
      </c>
      <c r="AF1" t="s">
        <v>15</v>
      </c>
      <c r="AG1" t="s">
        <v>16</v>
      </c>
      <c r="AH1" t="s">
        <v>14</v>
      </c>
    </row>
    <row r="2" spans="2:34" ht="12.75">
      <c r="B2" s="5" t="s">
        <v>31</v>
      </c>
      <c r="C2" s="2"/>
      <c r="E2" s="6">
        <f>T3/100</f>
        <v>0.7</v>
      </c>
      <c r="H2" s="5" t="s">
        <v>32</v>
      </c>
      <c r="I2" s="5"/>
      <c r="J2" s="7">
        <f>U3-20</f>
        <v>-1</v>
      </c>
      <c r="K2" s="2" t="s">
        <v>35</v>
      </c>
      <c r="M2" s="2" t="s">
        <v>37</v>
      </c>
      <c r="Q2" s="8"/>
      <c r="R2" s="8"/>
      <c r="S2" s="8"/>
      <c r="T2" s="9" t="s">
        <v>36</v>
      </c>
      <c r="U2" s="8"/>
      <c r="V2" s="8"/>
      <c r="W2" s="8"/>
      <c r="X2" s="8" t="s">
        <v>4</v>
      </c>
      <c r="Y2" s="10">
        <f>E2*260</f>
        <v>182</v>
      </c>
      <c r="Z2" s="8"/>
      <c r="AA2" s="8"/>
      <c r="AB2" s="8"/>
      <c r="AC2" s="8"/>
      <c r="AE2">
        <v>-20</v>
      </c>
      <c r="AF2">
        <v>103</v>
      </c>
      <c r="AG2" s="1">
        <f aca="true" t="shared" si="0" ref="AG2:AG33">$E$5*AF2</f>
        <v>80.34</v>
      </c>
      <c r="AH2">
        <v>-20</v>
      </c>
    </row>
    <row r="3" spans="17:34" ht="12.75">
      <c r="Q3" s="8"/>
      <c r="R3" s="8"/>
      <c r="S3" s="8"/>
      <c r="T3" s="8">
        <v>70</v>
      </c>
      <c r="U3" s="8">
        <v>19</v>
      </c>
      <c r="V3" s="8"/>
      <c r="W3" s="8"/>
      <c r="X3" s="8" t="s">
        <v>4</v>
      </c>
      <c r="Y3" s="10">
        <f>E5*3169</f>
        <v>2471.82</v>
      </c>
      <c r="Z3" s="8"/>
      <c r="AA3" s="8"/>
      <c r="AB3" s="8"/>
      <c r="AC3" s="8"/>
      <c r="AE3">
        <v>-19</v>
      </c>
      <c r="AF3">
        <v>113</v>
      </c>
      <c r="AG3" s="1">
        <f t="shared" si="0"/>
        <v>88.14</v>
      </c>
      <c r="AH3">
        <v>-19</v>
      </c>
    </row>
    <row r="4" spans="13:34" ht="12.75">
      <c r="M4" s="16" t="s">
        <v>40</v>
      </c>
      <c r="N4" s="16"/>
      <c r="O4" s="16"/>
      <c r="Q4" s="8"/>
      <c r="R4" s="8"/>
      <c r="S4" s="8"/>
      <c r="T4" s="8"/>
      <c r="U4" s="8"/>
      <c r="V4" s="8"/>
      <c r="W4" s="8"/>
      <c r="X4" s="8" t="s">
        <v>28</v>
      </c>
      <c r="Y4" s="10">
        <f>Y3-Y2</f>
        <v>2289.82</v>
      </c>
      <c r="Z4" s="8"/>
      <c r="AA4" s="8"/>
      <c r="AB4" s="8"/>
      <c r="AC4" s="8"/>
      <c r="AE4">
        <v>-18</v>
      </c>
      <c r="AF4">
        <v>124</v>
      </c>
      <c r="AG4" s="1">
        <f t="shared" si="0"/>
        <v>96.72</v>
      </c>
      <c r="AH4">
        <v>-18</v>
      </c>
    </row>
    <row r="5" spans="2:34" ht="12.75" customHeight="1">
      <c r="B5" s="5" t="s">
        <v>33</v>
      </c>
      <c r="E5" s="6">
        <f>T5/100</f>
        <v>0.78</v>
      </c>
      <c r="H5" s="5" t="s">
        <v>34</v>
      </c>
      <c r="J5" s="7">
        <v>19</v>
      </c>
      <c r="K5" s="2" t="s">
        <v>35</v>
      </c>
      <c r="M5" s="16"/>
      <c r="N5" s="16"/>
      <c r="O5" s="16"/>
      <c r="Q5" s="8"/>
      <c r="R5" s="8"/>
      <c r="S5" s="8"/>
      <c r="T5" s="8">
        <v>78</v>
      </c>
      <c r="U5" s="8">
        <v>30</v>
      </c>
      <c r="V5" s="8"/>
      <c r="W5" s="8"/>
      <c r="X5" s="8"/>
      <c r="Y5" s="8"/>
      <c r="Z5" s="8"/>
      <c r="AA5" s="8"/>
      <c r="AB5" s="8"/>
      <c r="AC5" s="8"/>
      <c r="AE5">
        <v>-17</v>
      </c>
      <c r="AF5">
        <v>137</v>
      </c>
      <c r="AG5" s="1">
        <f t="shared" si="0"/>
        <v>106.86</v>
      </c>
      <c r="AH5">
        <v>-17</v>
      </c>
    </row>
    <row r="6" spans="13:34" ht="12.75">
      <c r="M6" s="16"/>
      <c r="N6" s="16"/>
      <c r="O6" s="16"/>
      <c r="Q6" s="8"/>
      <c r="R6" s="8" t="s">
        <v>0</v>
      </c>
      <c r="S6" s="14" t="s">
        <v>1</v>
      </c>
      <c r="T6" s="8" t="s">
        <v>1</v>
      </c>
      <c r="U6" s="8" t="s">
        <v>2</v>
      </c>
      <c r="V6" s="8" t="s">
        <v>11</v>
      </c>
      <c r="W6" s="8" t="s">
        <v>3</v>
      </c>
      <c r="X6" s="8"/>
      <c r="Y6" s="8" t="s">
        <v>5</v>
      </c>
      <c r="Z6" s="8" t="s">
        <v>29</v>
      </c>
      <c r="AA6" s="8" t="s">
        <v>6</v>
      </c>
      <c r="AB6" s="9" t="s">
        <v>7</v>
      </c>
      <c r="AC6" s="8" t="s">
        <v>18</v>
      </c>
      <c r="AE6">
        <v>-16</v>
      </c>
      <c r="AF6">
        <v>151</v>
      </c>
      <c r="AG6" s="1">
        <f t="shared" si="0"/>
        <v>117.78</v>
      </c>
      <c r="AH6">
        <v>-16</v>
      </c>
    </row>
    <row r="7" spans="13:34" ht="12.75">
      <c r="M7" s="16"/>
      <c r="N7" s="16"/>
      <c r="O7" s="16"/>
      <c r="Q7" s="8"/>
      <c r="R7" s="8"/>
      <c r="S7" s="14" t="s">
        <v>10</v>
      </c>
      <c r="T7" s="8" t="s">
        <v>27</v>
      </c>
      <c r="U7" s="8"/>
      <c r="V7" s="8"/>
      <c r="W7" s="8"/>
      <c r="X7" s="9" t="s">
        <v>17</v>
      </c>
      <c r="Y7" s="8"/>
      <c r="Z7" s="8" t="s">
        <v>30</v>
      </c>
      <c r="AA7" s="8"/>
      <c r="AB7" s="8"/>
      <c r="AC7" s="8"/>
      <c r="AE7">
        <v>-15</v>
      </c>
      <c r="AF7">
        <v>165</v>
      </c>
      <c r="AG7" s="1">
        <f t="shared" si="0"/>
        <v>128.70000000000002</v>
      </c>
      <c r="AH7">
        <v>-15</v>
      </c>
    </row>
    <row r="8" spans="12:34" ht="12.75">
      <c r="L8" s="3" t="s">
        <v>38</v>
      </c>
      <c r="M8" s="16"/>
      <c r="N8" s="16"/>
      <c r="O8" s="16"/>
      <c r="Q8" s="8"/>
      <c r="R8" s="8" t="s">
        <v>9</v>
      </c>
      <c r="S8" s="15">
        <v>0.003</v>
      </c>
      <c r="T8" s="8">
        <f>S8</f>
        <v>0.003</v>
      </c>
      <c r="U8" s="8"/>
      <c r="V8" s="8"/>
      <c r="W8" s="8"/>
      <c r="X8" s="11">
        <f>Y2</f>
        <v>182</v>
      </c>
      <c r="Y8" s="8"/>
      <c r="Z8" s="12">
        <v>0.04</v>
      </c>
      <c r="AA8" s="13">
        <f aca="true" t="shared" si="1" ref="AA8:AA16">Z8/$Z$17*($J$5-$J$2)</f>
        <v>0.3071461762891074</v>
      </c>
      <c r="AB8" s="13">
        <f>J2+AA8</f>
        <v>-0.6928538237108925</v>
      </c>
      <c r="AC8" s="8">
        <f>VLOOKUP(X8,AF2:AH57,3)</f>
        <v>-14</v>
      </c>
      <c r="AE8">
        <v>-14</v>
      </c>
      <c r="AF8">
        <v>181</v>
      </c>
      <c r="AG8" s="1">
        <f t="shared" si="0"/>
        <v>141.18</v>
      </c>
      <c r="AH8">
        <v>-14</v>
      </c>
    </row>
    <row r="9" spans="12:34" ht="12.75">
      <c r="L9" s="4">
        <f>VLOOKUP(30,AE2:AG57,2)</f>
        <v>4245</v>
      </c>
      <c r="M9" s="16"/>
      <c r="N9" s="16"/>
      <c r="O9" s="16"/>
      <c r="Q9" s="8"/>
      <c r="R9" s="8" t="s">
        <v>20</v>
      </c>
      <c r="S9" s="12">
        <v>0.03</v>
      </c>
      <c r="T9" s="12">
        <f>S9+T8</f>
        <v>0.033</v>
      </c>
      <c r="U9" s="8">
        <v>2</v>
      </c>
      <c r="V9" s="8">
        <f aca="true" t="shared" si="2" ref="V9:V15">S9*U9</f>
        <v>0.06</v>
      </c>
      <c r="W9" s="10">
        <f>V9*$Y$4/$V$17</f>
        <v>4.486177959183674</v>
      </c>
      <c r="X9" s="10">
        <f>$Y$2+W9</f>
        <v>186.48617795918366</v>
      </c>
      <c r="Y9" s="8">
        <v>3.5</v>
      </c>
      <c r="Z9" s="12">
        <f>S9/Y9</f>
        <v>0.008571428571428572</v>
      </c>
      <c r="AA9" s="13">
        <f t="shared" si="1"/>
        <v>0.06581703777623729</v>
      </c>
      <c r="AB9" s="13">
        <f aca="true" t="shared" si="3" ref="AB9:AB16">AB8+AA9</f>
        <v>-0.6270367859346553</v>
      </c>
      <c r="AC9" s="8">
        <f aca="true" t="shared" si="4" ref="AC9:AC16">VLOOKUP(X9,AF3:AH58,3)</f>
        <v>-14</v>
      </c>
      <c r="AE9">
        <v>-13</v>
      </c>
      <c r="AF9">
        <v>199</v>
      </c>
      <c r="AG9" s="1">
        <f t="shared" si="0"/>
        <v>155.22</v>
      </c>
      <c r="AH9">
        <v>-13</v>
      </c>
    </row>
    <row r="10" spans="12:34" ht="12.75">
      <c r="L10" s="4"/>
      <c r="M10" s="16"/>
      <c r="N10" s="16"/>
      <c r="O10" s="16"/>
      <c r="Q10" s="8"/>
      <c r="R10" s="8" t="s">
        <v>21</v>
      </c>
      <c r="S10" s="12">
        <v>0.006</v>
      </c>
      <c r="T10" s="12">
        <f aca="true" t="shared" si="5" ref="T10:T16">T9+S10</f>
        <v>0.039</v>
      </c>
      <c r="U10" s="8">
        <v>5000</v>
      </c>
      <c r="V10" s="8">
        <f t="shared" si="2"/>
        <v>30</v>
      </c>
      <c r="W10" s="10">
        <f>V10*$Y$4/$V$17</f>
        <v>2243.088979591837</v>
      </c>
      <c r="X10" s="10">
        <f aca="true" t="shared" si="6" ref="X10:X16">X9+W10</f>
        <v>2429.5751575510208</v>
      </c>
      <c r="Y10" s="8">
        <v>0.2</v>
      </c>
      <c r="Z10" s="12">
        <f>S10/Y10</f>
        <v>0.03</v>
      </c>
      <c r="AA10" s="13">
        <f t="shared" si="1"/>
        <v>0.23035963221683053</v>
      </c>
      <c r="AB10" s="13">
        <f t="shared" si="3"/>
        <v>-0.39667715371782475</v>
      </c>
      <c r="AC10" s="8">
        <f t="shared" si="4"/>
        <v>20</v>
      </c>
      <c r="AE10">
        <v>-12</v>
      </c>
      <c r="AF10">
        <v>217</v>
      </c>
      <c r="AG10" s="1">
        <f t="shared" si="0"/>
        <v>169.26000000000002</v>
      </c>
      <c r="AH10">
        <v>-12</v>
      </c>
    </row>
    <row r="11" spans="12:34" ht="12.75">
      <c r="L11" s="4">
        <f>VLOOKUP(25,AE2:AG57,2)</f>
        <v>3169</v>
      </c>
      <c r="M11" s="16"/>
      <c r="N11" s="16"/>
      <c r="O11" s="16"/>
      <c r="Q11" s="8"/>
      <c r="R11" s="8" t="s">
        <v>22</v>
      </c>
      <c r="S11" s="12">
        <v>0.019</v>
      </c>
      <c r="T11" s="12">
        <f t="shared" si="5"/>
        <v>0.057999999999999996</v>
      </c>
      <c r="U11" s="8">
        <v>16</v>
      </c>
      <c r="V11" s="8">
        <f t="shared" si="2"/>
        <v>0.304</v>
      </c>
      <c r="W11" s="10">
        <f>V11*$Y$4/$V$17</f>
        <v>22.729968326530614</v>
      </c>
      <c r="X11" s="10">
        <f t="shared" si="6"/>
        <v>2452.3051258775513</v>
      </c>
      <c r="Y11" s="8">
        <v>0.16</v>
      </c>
      <c r="Z11" s="12">
        <f>S11/Y11</f>
        <v>0.11875</v>
      </c>
      <c r="AA11" s="13">
        <f t="shared" si="1"/>
        <v>0.9118402108582875</v>
      </c>
      <c r="AB11" s="13">
        <f t="shared" si="3"/>
        <v>0.5151630571404627</v>
      </c>
      <c r="AC11" s="8">
        <f t="shared" si="4"/>
        <v>20</v>
      </c>
      <c r="AE11">
        <v>-11</v>
      </c>
      <c r="AF11">
        <v>237</v>
      </c>
      <c r="AG11" s="1">
        <f t="shared" si="0"/>
        <v>184.86</v>
      </c>
      <c r="AH11">
        <v>-11</v>
      </c>
    </row>
    <row r="12" spans="12:34" ht="12.75">
      <c r="L12" s="4"/>
      <c r="M12" s="16"/>
      <c r="N12" s="16"/>
      <c r="O12" s="16"/>
      <c r="Q12" s="8"/>
      <c r="R12" s="8" t="s">
        <v>23</v>
      </c>
      <c r="S12" s="12">
        <v>0.07</v>
      </c>
      <c r="T12" s="12">
        <f t="shared" si="5"/>
        <v>0.128</v>
      </c>
      <c r="U12" s="8">
        <v>1.8</v>
      </c>
      <c r="V12" s="8">
        <f t="shared" si="2"/>
        <v>0.12600000000000003</v>
      </c>
      <c r="W12" s="10">
        <f>V12*$Y$4/$V$17</f>
        <v>9.420973714285717</v>
      </c>
      <c r="X12" s="10">
        <f t="shared" si="6"/>
        <v>2461.726099591837</v>
      </c>
      <c r="Y12" s="8">
        <v>0.036</v>
      </c>
      <c r="Z12" s="12">
        <f>S12/Y12</f>
        <v>1.9444444444444449</v>
      </c>
      <c r="AA12" s="13">
        <f t="shared" si="1"/>
        <v>14.930716902942722</v>
      </c>
      <c r="AB12" s="13">
        <f t="shared" si="3"/>
        <v>15.445879960083184</v>
      </c>
      <c r="AC12" s="8">
        <f t="shared" si="4"/>
        <v>20</v>
      </c>
      <c r="AE12">
        <v>-10</v>
      </c>
      <c r="AF12">
        <v>260</v>
      </c>
      <c r="AG12" s="1">
        <f t="shared" si="0"/>
        <v>202.8</v>
      </c>
      <c r="AH12">
        <v>-10</v>
      </c>
    </row>
    <row r="13" spans="12:34" ht="12.75">
      <c r="L13" s="4">
        <f>VLOOKUP(20,AE2:AG57,2)</f>
        <v>2340</v>
      </c>
      <c r="M13" s="16"/>
      <c r="N13" s="16"/>
      <c r="O13" s="16"/>
      <c r="Q13" s="8"/>
      <c r="R13" s="8" t="s">
        <v>24</v>
      </c>
      <c r="S13" s="12">
        <v>0.125</v>
      </c>
      <c r="T13" s="12">
        <f t="shared" si="5"/>
        <v>0.253</v>
      </c>
      <c r="U13" s="8"/>
      <c r="V13" s="8">
        <f t="shared" si="2"/>
        <v>0</v>
      </c>
      <c r="W13" s="10"/>
      <c r="X13" s="10">
        <f t="shared" si="6"/>
        <v>2461.726099591837</v>
      </c>
      <c r="Y13" s="8">
        <v>0.16</v>
      </c>
      <c r="Z13" s="12">
        <v>0.16</v>
      </c>
      <c r="AA13" s="13">
        <f t="shared" si="1"/>
        <v>1.2285847051564296</v>
      </c>
      <c r="AB13" s="13">
        <f t="shared" si="3"/>
        <v>16.674464665239615</v>
      </c>
      <c r="AC13" s="8">
        <f t="shared" si="4"/>
        <v>20</v>
      </c>
      <c r="AE13">
        <v>-9</v>
      </c>
      <c r="AF13">
        <v>283</v>
      </c>
      <c r="AG13" s="1">
        <f t="shared" si="0"/>
        <v>220.74</v>
      </c>
      <c r="AH13">
        <v>-9</v>
      </c>
    </row>
    <row r="14" spans="12:34" ht="12.75">
      <c r="L14" s="4"/>
      <c r="M14" s="16" t="s">
        <v>39</v>
      </c>
      <c r="N14" s="16"/>
      <c r="O14" s="16"/>
      <c r="Q14" s="8"/>
      <c r="R14" s="8" t="s">
        <v>25</v>
      </c>
      <c r="S14" s="12">
        <v>0.018</v>
      </c>
      <c r="T14" s="12">
        <f t="shared" si="5"/>
        <v>0.271</v>
      </c>
      <c r="U14" s="8"/>
      <c r="V14" s="8">
        <f t="shared" si="2"/>
        <v>0</v>
      </c>
      <c r="W14" s="10">
        <f>V14*$Y$4/$V$17</f>
        <v>0</v>
      </c>
      <c r="X14" s="10">
        <f t="shared" si="6"/>
        <v>2461.726099591837</v>
      </c>
      <c r="Y14" s="8">
        <v>0.16</v>
      </c>
      <c r="Z14" s="12">
        <v>0.16</v>
      </c>
      <c r="AA14" s="13">
        <f t="shared" si="1"/>
        <v>1.2285847051564296</v>
      </c>
      <c r="AB14" s="13">
        <f t="shared" si="3"/>
        <v>17.903049370396044</v>
      </c>
      <c r="AC14" s="8">
        <f t="shared" si="4"/>
        <v>20</v>
      </c>
      <c r="AE14">
        <v>-8</v>
      </c>
      <c r="AF14">
        <v>309</v>
      </c>
      <c r="AG14" s="1">
        <f t="shared" si="0"/>
        <v>241.02</v>
      </c>
      <c r="AH14">
        <v>-8</v>
      </c>
    </row>
    <row r="15" spans="12:34" ht="12.75" customHeight="1">
      <c r="L15" s="4">
        <f>VLOOKUP(15,AE2:AG57,2)</f>
        <v>1706</v>
      </c>
      <c r="M15" s="16"/>
      <c r="N15" s="16"/>
      <c r="O15" s="16"/>
      <c r="Q15" s="8"/>
      <c r="R15" s="8" t="s">
        <v>26</v>
      </c>
      <c r="S15" s="12">
        <v>0.009</v>
      </c>
      <c r="T15" s="12">
        <f t="shared" si="5"/>
        <v>0.28</v>
      </c>
      <c r="U15" s="8">
        <v>15</v>
      </c>
      <c r="V15" s="8">
        <f t="shared" si="2"/>
        <v>0.13499999999999998</v>
      </c>
      <c r="W15" s="10">
        <f>V15*$Y$4/$V$17</f>
        <v>10.093900408163265</v>
      </c>
      <c r="X15" s="10">
        <f t="shared" si="6"/>
        <v>2471.82</v>
      </c>
      <c r="Y15" s="8">
        <v>0.7</v>
      </c>
      <c r="Z15" s="12">
        <f>S15/Y15</f>
        <v>0.012857142857142857</v>
      </c>
      <c r="AA15" s="13">
        <f t="shared" si="1"/>
        <v>0.09872555666435594</v>
      </c>
      <c r="AB15" s="13">
        <f t="shared" si="3"/>
        <v>18.0017749270604</v>
      </c>
      <c r="AC15" s="8">
        <f t="shared" si="4"/>
        <v>20</v>
      </c>
      <c r="AE15">
        <v>-7</v>
      </c>
      <c r="AF15">
        <v>337</v>
      </c>
      <c r="AG15" s="1">
        <f t="shared" si="0"/>
        <v>262.86</v>
      </c>
      <c r="AH15">
        <v>-7</v>
      </c>
    </row>
    <row r="16" spans="12:34" ht="12.75">
      <c r="L16" s="4"/>
      <c r="M16" s="16"/>
      <c r="N16" s="16"/>
      <c r="O16" s="16"/>
      <c r="Q16" s="8"/>
      <c r="R16" s="8" t="s">
        <v>8</v>
      </c>
      <c r="S16" s="12">
        <v>0.003</v>
      </c>
      <c r="T16" s="12">
        <f t="shared" si="5"/>
        <v>0.28300000000000003</v>
      </c>
      <c r="U16" s="8"/>
      <c r="V16" s="8"/>
      <c r="W16" s="8"/>
      <c r="X16" s="10">
        <f t="shared" si="6"/>
        <v>2471.82</v>
      </c>
      <c r="Y16" s="8"/>
      <c r="Z16" s="12">
        <v>0.13</v>
      </c>
      <c r="AA16" s="13">
        <f t="shared" si="1"/>
        <v>0.9982250729395991</v>
      </c>
      <c r="AB16" s="13">
        <f t="shared" si="3"/>
        <v>19</v>
      </c>
      <c r="AC16" s="8">
        <f t="shared" si="4"/>
        <v>20</v>
      </c>
      <c r="AE16">
        <v>-6</v>
      </c>
      <c r="AF16">
        <v>368</v>
      </c>
      <c r="AG16" s="1">
        <f t="shared" si="0"/>
        <v>287.04</v>
      </c>
      <c r="AH16">
        <v>-6</v>
      </c>
    </row>
    <row r="17" spans="12:34" ht="12.75">
      <c r="L17" s="4">
        <f>VLOOKUP(10,AE2:AG57,2)</f>
        <v>1229</v>
      </c>
      <c r="M17" s="16"/>
      <c r="N17" s="16"/>
      <c r="O17" s="16"/>
      <c r="Q17" s="8"/>
      <c r="R17" s="8" t="s">
        <v>12</v>
      </c>
      <c r="S17" s="8">
        <f>SUM(S8:S16)</f>
        <v>0.28300000000000003</v>
      </c>
      <c r="T17" s="8"/>
      <c r="U17" s="8"/>
      <c r="V17" s="8">
        <f>SUM(V9:V16)</f>
        <v>30.625</v>
      </c>
      <c r="W17" s="8"/>
      <c r="X17" s="8"/>
      <c r="Y17" s="8"/>
      <c r="Z17" s="12">
        <f>SUM(Z8:Z16)</f>
        <v>2.6046230158730164</v>
      </c>
      <c r="AA17" s="8"/>
      <c r="AB17" s="8"/>
      <c r="AC17" s="8"/>
      <c r="AE17">
        <v>-5</v>
      </c>
      <c r="AF17">
        <v>401</v>
      </c>
      <c r="AG17" s="1">
        <f t="shared" si="0"/>
        <v>312.78000000000003</v>
      </c>
      <c r="AH17">
        <v>-5</v>
      </c>
    </row>
    <row r="18" spans="12:34" ht="12.75">
      <c r="L18" s="4"/>
      <c r="M18" s="16"/>
      <c r="N18" s="16"/>
      <c r="O18" s="16"/>
      <c r="Q18" s="8"/>
      <c r="R18" s="8"/>
      <c r="S18" s="8"/>
      <c r="T18" s="8"/>
      <c r="U18" s="8"/>
      <c r="V18" s="8"/>
      <c r="W18" s="8"/>
      <c r="X18" s="8"/>
      <c r="Y18" s="8"/>
      <c r="Z18" s="8"/>
      <c r="AA18" s="8"/>
      <c r="AB18" s="8"/>
      <c r="AC18" s="8"/>
      <c r="AE18">
        <v>-4</v>
      </c>
      <c r="AF18">
        <v>437</v>
      </c>
      <c r="AG18" s="1">
        <f t="shared" si="0"/>
        <v>340.86</v>
      </c>
      <c r="AH18">
        <v>-4</v>
      </c>
    </row>
    <row r="19" spans="12:34" ht="12.75">
      <c r="L19" s="4">
        <f>VLOOKUP(5,AE2:AG57,2)</f>
        <v>872</v>
      </c>
      <c r="M19" s="16"/>
      <c r="N19" s="16"/>
      <c r="O19" s="16"/>
      <c r="Q19" s="8"/>
      <c r="R19" s="8" t="s">
        <v>13</v>
      </c>
      <c r="S19" s="8"/>
      <c r="T19" s="8"/>
      <c r="U19" s="8"/>
      <c r="V19" s="8"/>
      <c r="W19" s="8"/>
      <c r="X19" s="8"/>
      <c r="Y19" s="8"/>
      <c r="Z19" s="8"/>
      <c r="AA19" s="8"/>
      <c r="AB19" s="8"/>
      <c r="AC19" s="8"/>
      <c r="AE19">
        <v>-3</v>
      </c>
      <c r="AF19">
        <v>476</v>
      </c>
      <c r="AG19" s="1">
        <f t="shared" si="0"/>
        <v>371.28000000000003</v>
      </c>
      <c r="AH19">
        <v>-3</v>
      </c>
    </row>
    <row r="20" spans="12:34" ht="12.75">
      <c r="L20" s="4"/>
      <c r="M20" s="16"/>
      <c r="N20" s="16"/>
      <c r="O20" s="16"/>
      <c r="Q20" s="8">
        <v>30</v>
      </c>
      <c r="R20" s="8">
        <v>0.003</v>
      </c>
      <c r="S20" s="8">
        <v>0.033</v>
      </c>
      <c r="T20" s="8">
        <v>0.039</v>
      </c>
      <c r="U20" s="8">
        <v>0.058</v>
      </c>
      <c r="V20" s="8">
        <v>0.128</v>
      </c>
      <c r="W20" s="8">
        <v>0.253</v>
      </c>
      <c r="X20" s="8">
        <v>0.271</v>
      </c>
      <c r="Y20" s="8">
        <v>0.28</v>
      </c>
      <c r="Z20" s="8">
        <v>0.283</v>
      </c>
      <c r="AA20" s="8"/>
      <c r="AB20" s="8"/>
      <c r="AC20" s="8"/>
      <c r="AE20">
        <v>-2</v>
      </c>
      <c r="AF20">
        <v>517</v>
      </c>
      <c r="AG20" s="1">
        <f t="shared" si="0"/>
        <v>403.26</v>
      </c>
      <c r="AH20">
        <v>-2</v>
      </c>
    </row>
    <row r="21" spans="12:34" ht="12.75">
      <c r="L21" s="4">
        <f>VLOOKUP(0,AE2:AG57,2)</f>
        <v>611</v>
      </c>
      <c r="M21" s="16"/>
      <c r="N21" s="16"/>
      <c r="O21" s="16"/>
      <c r="Q21" s="8">
        <v>25</v>
      </c>
      <c r="R21" s="8">
        <v>0.003</v>
      </c>
      <c r="S21" s="8">
        <v>0.033</v>
      </c>
      <c r="T21" s="8">
        <v>0.039</v>
      </c>
      <c r="U21" s="8">
        <v>0.058</v>
      </c>
      <c r="V21" s="8">
        <v>0.128</v>
      </c>
      <c r="W21" s="8">
        <v>0.253</v>
      </c>
      <c r="X21" s="8">
        <v>0.271</v>
      </c>
      <c r="Y21" s="8">
        <v>0.28</v>
      </c>
      <c r="Z21" s="8">
        <v>0.283</v>
      </c>
      <c r="AA21" s="8"/>
      <c r="AB21" s="8"/>
      <c r="AC21" s="8"/>
      <c r="AE21">
        <v>-1</v>
      </c>
      <c r="AF21">
        <v>563</v>
      </c>
      <c r="AG21" s="1">
        <f t="shared" si="0"/>
        <v>439.14000000000004</v>
      </c>
      <c r="AH21">
        <v>-1</v>
      </c>
    </row>
    <row r="22" spans="12:34" ht="12.75">
      <c r="L22" s="4"/>
      <c r="M22" s="16"/>
      <c r="N22" s="16"/>
      <c r="O22" s="16"/>
      <c r="Q22" s="8">
        <v>20</v>
      </c>
      <c r="R22" s="8">
        <v>0.003</v>
      </c>
      <c r="S22" s="8">
        <v>0.033</v>
      </c>
      <c r="T22" s="8">
        <v>0.039</v>
      </c>
      <c r="U22" s="8">
        <v>0.058</v>
      </c>
      <c r="V22" s="8">
        <v>0.128</v>
      </c>
      <c r="W22" s="8">
        <v>0.253</v>
      </c>
      <c r="X22" s="8">
        <v>0.271</v>
      </c>
      <c r="Y22" s="8">
        <v>0.28</v>
      </c>
      <c r="Z22" s="8">
        <v>0.283</v>
      </c>
      <c r="AA22" s="8"/>
      <c r="AB22" s="8"/>
      <c r="AC22" s="8"/>
      <c r="AE22">
        <v>0</v>
      </c>
      <c r="AF22">
        <v>611</v>
      </c>
      <c r="AG22" s="1">
        <f t="shared" si="0"/>
        <v>476.58000000000004</v>
      </c>
      <c r="AH22">
        <v>0</v>
      </c>
    </row>
    <row r="23" spans="12:34" ht="12.75">
      <c r="L23" s="4">
        <f>VLOOKUP(-5,AE2:AG57,2)</f>
        <v>401</v>
      </c>
      <c r="M23" s="16"/>
      <c r="N23" s="16"/>
      <c r="O23" s="16"/>
      <c r="Q23" s="8">
        <v>15</v>
      </c>
      <c r="R23" s="8">
        <v>0.003</v>
      </c>
      <c r="S23" s="8">
        <v>0.033</v>
      </c>
      <c r="T23" s="8">
        <v>0.039</v>
      </c>
      <c r="U23" s="8">
        <v>0.058</v>
      </c>
      <c r="V23" s="8">
        <v>0.128</v>
      </c>
      <c r="W23" s="8">
        <v>0.253</v>
      </c>
      <c r="X23" s="8">
        <v>0.271</v>
      </c>
      <c r="Y23" s="8">
        <v>0.28</v>
      </c>
      <c r="Z23" s="8">
        <v>0.283</v>
      </c>
      <c r="AA23" s="8"/>
      <c r="AB23" s="8"/>
      <c r="AC23" s="8"/>
      <c r="AE23">
        <v>1</v>
      </c>
      <c r="AF23">
        <v>657</v>
      </c>
      <c r="AG23" s="1">
        <f t="shared" si="0"/>
        <v>512.46</v>
      </c>
      <c r="AH23">
        <v>1</v>
      </c>
    </row>
    <row r="24" spans="12:34" ht="12.75">
      <c r="L24" s="4"/>
      <c r="M24" s="16"/>
      <c r="N24" s="16"/>
      <c r="O24" s="16"/>
      <c r="Q24" s="8">
        <v>10</v>
      </c>
      <c r="R24" s="8">
        <v>0.003</v>
      </c>
      <c r="S24" s="8">
        <v>0.033</v>
      </c>
      <c r="T24" s="8">
        <v>0.039</v>
      </c>
      <c r="U24" s="8">
        <v>0.058</v>
      </c>
      <c r="V24" s="8">
        <v>0.128</v>
      </c>
      <c r="W24" s="8">
        <v>0.253</v>
      </c>
      <c r="X24" s="8">
        <v>0.271</v>
      </c>
      <c r="Y24" s="8">
        <v>0.28</v>
      </c>
      <c r="Z24" s="8">
        <v>0.283</v>
      </c>
      <c r="AA24" s="8"/>
      <c r="AB24" s="8"/>
      <c r="AC24" s="8"/>
      <c r="AE24">
        <v>2</v>
      </c>
      <c r="AF24">
        <v>706</v>
      </c>
      <c r="AG24" s="1">
        <f t="shared" si="0"/>
        <v>550.6800000000001</v>
      </c>
      <c r="AH24">
        <v>2</v>
      </c>
    </row>
    <row r="25" spans="12:34" ht="12.75">
      <c r="L25" s="4">
        <f>VLOOKUP(-10,AE2:AG57,2)</f>
        <v>260</v>
      </c>
      <c r="M25" s="17"/>
      <c r="N25" s="17"/>
      <c r="O25" s="17"/>
      <c r="Q25" s="8">
        <v>5</v>
      </c>
      <c r="R25" s="8">
        <v>0.003</v>
      </c>
      <c r="S25" s="8">
        <v>0.033</v>
      </c>
      <c r="T25" s="8">
        <v>0.039</v>
      </c>
      <c r="U25" s="8">
        <v>0.058</v>
      </c>
      <c r="V25" s="8">
        <v>0.128</v>
      </c>
      <c r="W25" s="8">
        <v>0.253</v>
      </c>
      <c r="X25" s="8">
        <v>0.271</v>
      </c>
      <c r="Y25" s="8">
        <v>0.28</v>
      </c>
      <c r="Z25" s="8">
        <v>0.283</v>
      </c>
      <c r="AA25" s="8"/>
      <c r="AB25" s="8"/>
      <c r="AC25" s="8"/>
      <c r="AE25">
        <v>3</v>
      </c>
      <c r="AF25">
        <v>758</v>
      </c>
      <c r="AG25" s="1">
        <f t="shared" si="0"/>
        <v>591.24</v>
      </c>
      <c r="AH25">
        <v>3</v>
      </c>
    </row>
    <row r="26" spans="12:34" ht="12.75">
      <c r="L26" s="4"/>
      <c r="M26" s="17"/>
      <c r="N26" s="17"/>
      <c r="O26" s="17"/>
      <c r="Q26" s="8">
        <v>0</v>
      </c>
      <c r="R26" s="8">
        <v>0.003</v>
      </c>
      <c r="S26" s="8">
        <v>0.033</v>
      </c>
      <c r="T26" s="8">
        <v>0.039</v>
      </c>
      <c r="U26" s="8">
        <v>0.058</v>
      </c>
      <c r="V26" s="8">
        <v>0.128</v>
      </c>
      <c r="W26" s="8">
        <v>0.253</v>
      </c>
      <c r="X26" s="8">
        <v>0.271</v>
      </c>
      <c r="Y26" s="8">
        <v>0.28</v>
      </c>
      <c r="Z26" s="8">
        <v>0.283</v>
      </c>
      <c r="AA26" s="8"/>
      <c r="AB26" s="8"/>
      <c r="AC26" s="8"/>
      <c r="AE26">
        <v>4</v>
      </c>
      <c r="AF26">
        <v>814</v>
      </c>
      <c r="AG26" s="1">
        <f t="shared" si="0"/>
        <v>634.9200000000001</v>
      </c>
      <c r="AH26">
        <v>4</v>
      </c>
    </row>
    <row r="27" spans="12:34" ht="12.75">
      <c r="L27" s="4">
        <f>VLOOKUP(-15,AE2:AG57,2)</f>
        <v>165</v>
      </c>
      <c r="M27" s="17"/>
      <c r="N27" s="17"/>
      <c r="O27" s="17"/>
      <c r="Q27" s="8">
        <v>-5</v>
      </c>
      <c r="R27" s="8">
        <v>0.003</v>
      </c>
      <c r="S27" s="8">
        <v>0.033</v>
      </c>
      <c r="T27" s="8">
        <v>0.039</v>
      </c>
      <c r="U27" s="8">
        <v>0.058</v>
      </c>
      <c r="V27" s="8">
        <v>0.128</v>
      </c>
      <c r="W27" s="8">
        <v>0.253</v>
      </c>
      <c r="X27" s="8">
        <v>0.271</v>
      </c>
      <c r="Y27" s="8">
        <v>0.28</v>
      </c>
      <c r="Z27" s="8">
        <v>0.283</v>
      </c>
      <c r="AA27" s="8"/>
      <c r="AB27" s="8"/>
      <c r="AC27" s="8"/>
      <c r="AE27">
        <v>5</v>
      </c>
      <c r="AF27">
        <v>872</v>
      </c>
      <c r="AG27" s="1">
        <f t="shared" si="0"/>
        <v>680.16</v>
      </c>
      <c r="AH27">
        <v>5</v>
      </c>
    </row>
    <row r="28" spans="12:34" ht="12.75">
      <c r="L28" s="4"/>
      <c r="M28" s="17"/>
      <c r="N28" s="17"/>
      <c r="O28" s="17"/>
      <c r="Q28" s="8">
        <v>-10</v>
      </c>
      <c r="R28" s="8">
        <v>0.003</v>
      </c>
      <c r="S28" s="8">
        <v>0.033</v>
      </c>
      <c r="T28" s="8">
        <v>0.039</v>
      </c>
      <c r="U28" s="8">
        <v>0.058</v>
      </c>
      <c r="V28" s="8">
        <v>0.128</v>
      </c>
      <c r="W28" s="8">
        <v>0.253</v>
      </c>
      <c r="X28" s="8">
        <v>0.271</v>
      </c>
      <c r="Y28" s="8">
        <v>0.28</v>
      </c>
      <c r="Z28" s="8">
        <v>0.283</v>
      </c>
      <c r="AA28" s="8"/>
      <c r="AB28" s="8"/>
      <c r="AC28" s="8"/>
      <c r="AE28">
        <v>6</v>
      </c>
      <c r="AF28">
        <v>935</v>
      </c>
      <c r="AG28" s="1">
        <f t="shared" si="0"/>
        <v>729.3000000000001</v>
      </c>
      <c r="AH28">
        <v>6</v>
      </c>
    </row>
    <row r="29" spans="12:34" ht="12.75">
      <c r="L29" s="4">
        <f>VLOOKUP(-20,AE2:AG57,2)</f>
        <v>103</v>
      </c>
      <c r="M29" s="17"/>
      <c r="N29" s="17"/>
      <c r="O29" s="17"/>
      <c r="Q29" s="8">
        <v>-15</v>
      </c>
      <c r="R29" s="8">
        <v>0.003</v>
      </c>
      <c r="S29" s="8">
        <v>0.033</v>
      </c>
      <c r="T29" s="8">
        <v>0.039</v>
      </c>
      <c r="U29" s="8">
        <v>0.058</v>
      </c>
      <c r="V29" s="8">
        <v>0.128</v>
      </c>
      <c r="W29" s="8">
        <v>0.253</v>
      </c>
      <c r="X29" s="8">
        <v>0.271</v>
      </c>
      <c r="Y29" s="8">
        <v>0.28</v>
      </c>
      <c r="Z29" s="8">
        <v>0.283</v>
      </c>
      <c r="AA29" s="8"/>
      <c r="AB29" s="8"/>
      <c r="AC29" s="8"/>
      <c r="AE29">
        <v>7</v>
      </c>
      <c r="AF29">
        <v>1002</v>
      </c>
      <c r="AG29" s="1">
        <f t="shared" si="0"/>
        <v>781.5600000000001</v>
      </c>
      <c r="AH29">
        <v>7</v>
      </c>
    </row>
    <row r="30" spans="13:34" ht="12.75">
      <c r="M30" s="17"/>
      <c r="N30" s="17"/>
      <c r="O30" s="17"/>
      <c r="Q30" s="8">
        <v>-20</v>
      </c>
      <c r="R30" s="8">
        <v>0.003</v>
      </c>
      <c r="S30" s="8">
        <v>0.033</v>
      </c>
      <c r="T30" s="8">
        <v>0.039</v>
      </c>
      <c r="U30" s="8">
        <v>0.058</v>
      </c>
      <c r="V30" s="8">
        <v>0.128</v>
      </c>
      <c r="W30" s="8">
        <v>0.253</v>
      </c>
      <c r="X30" s="8">
        <v>0.271</v>
      </c>
      <c r="Y30" s="8">
        <v>0.28</v>
      </c>
      <c r="Z30" s="8">
        <v>0.283</v>
      </c>
      <c r="AA30" s="8"/>
      <c r="AB30" s="8"/>
      <c r="AC30" s="8"/>
      <c r="AE30">
        <v>8</v>
      </c>
      <c r="AF30">
        <v>1072</v>
      </c>
      <c r="AG30" s="1">
        <f t="shared" si="0"/>
        <v>836.1600000000001</v>
      </c>
      <c r="AH30">
        <v>8</v>
      </c>
    </row>
    <row r="31" spans="13:34" ht="12.75">
      <c r="M31" s="17"/>
      <c r="N31" s="17"/>
      <c r="O31" s="17"/>
      <c r="Q31" s="8"/>
      <c r="R31" s="8"/>
      <c r="S31" s="8"/>
      <c r="T31" s="8"/>
      <c r="U31" s="8"/>
      <c r="V31" s="8"/>
      <c r="W31" s="8"/>
      <c r="X31" s="8"/>
      <c r="Y31" s="8"/>
      <c r="Z31" s="8"/>
      <c r="AA31" s="8"/>
      <c r="AB31" s="8"/>
      <c r="AC31" s="8"/>
      <c r="AE31">
        <v>9</v>
      </c>
      <c r="AF31">
        <v>1148</v>
      </c>
      <c r="AG31" s="1">
        <f t="shared" si="0"/>
        <v>895.44</v>
      </c>
      <c r="AH31">
        <v>9</v>
      </c>
    </row>
    <row r="32" spans="13:34" ht="12.75">
      <c r="M32" s="17"/>
      <c r="N32" s="17"/>
      <c r="O32" s="17"/>
      <c r="AE32">
        <v>10</v>
      </c>
      <c r="AF32">
        <v>1229</v>
      </c>
      <c r="AG32" s="1">
        <f t="shared" si="0"/>
        <v>958.62</v>
      </c>
      <c r="AH32">
        <v>10</v>
      </c>
    </row>
    <row r="33" spans="31:34" ht="12.75">
      <c r="AE33">
        <v>11</v>
      </c>
      <c r="AF33">
        <v>1313</v>
      </c>
      <c r="AG33" s="1">
        <f t="shared" si="0"/>
        <v>1024.14</v>
      </c>
      <c r="AH33">
        <v>11</v>
      </c>
    </row>
    <row r="34" spans="31:34" ht="12.75">
      <c r="AE34">
        <v>12</v>
      </c>
      <c r="AF34">
        <v>1403</v>
      </c>
      <c r="AG34" s="1">
        <f aca="true" t="shared" si="7" ref="AG34:AG57">$E$5*AF34</f>
        <v>1094.3400000000001</v>
      </c>
      <c r="AH34">
        <v>12</v>
      </c>
    </row>
    <row r="35" spans="31:34" ht="12.75">
      <c r="AE35">
        <v>13</v>
      </c>
      <c r="AF35">
        <v>1498</v>
      </c>
      <c r="AG35" s="1">
        <f t="shared" si="7"/>
        <v>1168.44</v>
      </c>
      <c r="AH35">
        <v>13</v>
      </c>
    </row>
    <row r="36" spans="31:34" ht="12.75">
      <c r="AE36">
        <v>14</v>
      </c>
      <c r="AF36">
        <v>1599</v>
      </c>
      <c r="AG36" s="1">
        <f t="shared" si="7"/>
        <v>1247.22</v>
      </c>
      <c r="AH36">
        <v>14</v>
      </c>
    </row>
    <row r="37" spans="31:34" ht="12.75">
      <c r="AE37">
        <v>15</v>
      </c>
      <c r="AF37">
        <v>1706</v>
      </c>
      <c r="AG37" s="1">
        <f t="shared" si="7"/>
        <v>1330.68</v>
      </c>
      <c r="AH37">
        <v>15</v>
      </c>
    </row>
    <row r="38" spans="31:34" ht="12.75">
      <c r="AE38">
        <v>16</v>
      </c>
      <c r="AF38">
        <v>1818</v>
      </c>
      <c r="AG38" s="1">
        <f t="shared" si="7"/>
        <v>1418.04</v>
      </c>
      <c r="AH38">
        <v>16</v>
      </c>
    </row>
    <row r="39" spans="31:34" ht="12.75">
      <c r="AE39">
        <v>17</v>
      </c>
      <c r="AF39">
        <v>1938</v>
      </c>
      <c r="AG39" s="1">
        <f t="shared" si="7"/>
        <v>1511.64</v>
      </c>
      <c r="AH39">
        <v>17</v>
      </c>
    </row>
    <row r="40" spans="31:34" ht="12.75">
      <c r="AE40">
        <v>18</v>
      </c>
      <c r="AF40">
        <v>2065</v>
      </c>
      <c r="AG40" s="1">
        <f t="shared" si="7"/>
        <v>1610.7</v>
      </c>
      <c r="AH40">
        <v>18</v>
      </c>
    </row>
    <row r="41" spans="31:34" ht="12.75">
      <c r="AE41">
        <v>19</v>
      </c>
      <c r="AF41">
        <v>2198</v>
      </c>
      <c r="AG41" s="1">
        <f t="shared" si="7"/>
        <v>1714.44</v>
      </c>
      <c r="AH41">
        <v>19</v>
      </c>
    </row>
    <row r="42" spans="31:34" ht="12.75">
      <c r="AE42">
        <v>20</v>
      </c>
      <c r="AF42">
        <v>2340</v>
      </c>
      <c r="AG42" s="1">
        <f t="shared" si="7"/>
        <v>1825.2</v>
      </c>
      <c r="AH42">
        <v>20</v>
      </c>
    </row>
    <row r="43" spans="31:34" ht="12.75">
      <c r="AE43">
        <v>21</v>
      </c>
      <c r="AF43">
        <v>2488</v>
      </c>
      <c r="AG43" s="1">
        <f t="shared" si="7"/>
        <v>1940.64</v>
      </c>
      <c r="AH43">
        <v>21</v>
      </c>
    </row>
    <row r="44" spans="31:34" ht="12.75">
      <c r="AE44">
        <v>22</v>
      </c>
      <c r="AF44">
        <v>2645</v>
      </c>
      <c r="AG44" s="1">
        <f t="shared" si="7"/>
        <v>2063.1</v>
      </c>
      <c r="AH44">
        <v>22</v>
      </c>
    </row>
    <row r="45" spans="31:34" ht="12.75">
      <c r="AE45">
        <v>23</v>
      </c>
      <c r="AF45">
        <v>2811</v>
      </c>
      <c r="AG45" s="1">
        <f t="shared" si="7"/>
        <v>2192.58</v>
      </c>
      <c r="AH45">
        <v>23</v>
      </c>
    </row>
    <row r="46" spans="31:34" ht="12.75">
      <c r="AE46">
        <v>24</v>
      </c>
      <c r="AF46">
        <v>2985</v>
      </c>
      <c r="AG46" s="1">
        <f t="shared" si="7"/>
        <v>2328.3</v>
      </c>
      <c r="AH46">
        <v>24</v>
      </c>
    </row>
    <row r="47" spans="31:34" ht="12.75">
      <c r="AE47">
        <v>25</v>
      </c>
      <c r="AF47">
        <v>3169</v>
      </c>
      <c r="AG47" s="1">
        <f t="shared" si="7"/>
        <v>2471.82</v>
      </c>
      <c r="AH47">
        <v>25</v>
      </c>
    </row>
    <row r="48" spans="31:34" ht="12.75">
      <c r="AE48">
        <v>26</v>
      </c>
      <c r="AF48">
        <v>3363</v>
      </c>
      <c r="AG48" s="1">
        <f t="shared" si="7"/>
        <v>2623.14</v>
      </c>
      <c r="AH48">
        <v>26</v>
      </c>
    </row>
    <row r="49" spans="31:34" ht="12.75">
      <c r="AE49">
        <v>27</v>
      </c>
      <c r="AF49">
        <v>3567</v>
      </c>
      <c r="AG49" s="1">
        <f t="shared" si="7"/>
        <v>2782.26</v>
      </c>
      <c r="AH49">
        <v>27</v>
      </c>
    </row>
    <row r="50" spans="31:34" ht="12.75">
      <c r="AE50">
        <v>28</v>
      </c>
      <c r="AF50">
        <v>3782</v>
      </c>
      <c r="AG50" s="1">
        <f t="shared" si="7"/>
        <v>2949.96</v>
      </c>
      <c r="AH50">
        <v>28</v>
      </c>
    </row>
    <row r="51" spans="31:34" ht="12.75">
      <c r="AE51">
        <v>29</v>
      </c>
      <c r="AF51">
        <v>4007</v>
      </c>
      <c r="AG51" s="1">
        <f t="shared" si="7"/>
        <v>3125.46</v>
      </c>
      <c r="AH51">
        <v>29</v>
      </c>
    </row>
    <row r="52" spans="31:34" ht="12.75">
      <c r="AE52">
        <v>30</v>
      </c>
      <c r="AF52">
        <v>4245</v>
      </c>
      <c r="AG52" s="1">
        <f t="shared" si="7"/>
        <v>3311.1</v>
      </c>
      <c r="AH52">
        <v>30</v>
      </c>
    </row>
    <row r="53" spans="31:34" ht="12.75">
      <c r="AE53">
        <v>31</v>
      </c>
      <c r="AF53">
        <v>4496</v>
      </c>
      <c r="AG53" s="1">
        <f t="shared" si="7"/>
        <v>3506.88</v>
      </c>
      <c r="AH53">
        <v>31</v>
      </c>
    </row>
    <row r="54" spans="31:34" ht="12.75">
      <c r="AE54">
        <v>32</v>
      </c>
      <c r="AF54">
        <v>4757</v>
      </c>
      <c r="AG54" s="1">
        <f t="shared" si="7"/>
        <v>3710.46</v>
      </c>
      <c r="AH54">
        <v>32</v>
      </c>
    </row>
    <row r="55" spans="31:34" ht="12.75">
      <c r="AE55">
        <v>33</v>
      </c>
      <c r="AF55">
        <v>5033</v>
      </c>
      <c r="AG55" s="1">
        <f t="shared" si="7"/>
        <v>3925.7400000000002</v>
      </c>
      <c r="AH55">
        <v>33</v>
      </c>
    </row>
    <row r="56" spans="31:34" ht="12.75">
      <c r="AE56">
        <v>34</v>
      </c>
      <c r="AF56">
        <v>5323</v>
      </c>
      <c r="AG56" s="1">
        <f t="shared" si="7"/>
        <v>4151.9400000000005</v>
      </c>
      <c r="AH56">
        <v>34</v>
      </c>
    </row>
    <row r="57" spans="31:34" ht="12.75">
      <c r="AE57">
        <v>35</v>
      </c>
      <c r="AF57">
        <v>5627</v>
      </c>
      <c r="AG57" s="1">
        <f t="shared" si="7"/>
        <v>4389.06</v>
      </c>
      <c r="AH57">
        <v>35</v>
      </c>
    </row>
  </sheetData>
  <mergeCells count="2">
    <mergeCell ref="M4:O13"/>
    <mergeCell ref="M14:O32"/>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hnugter</dc:creator>
  <cp:keywords/>
  <dc:description/>
  <cp:lastModifiedBy>NRH1612</cp:lastModifiedBy>
  <dcterms:created xsi:type="dcterms:W3CDTF">2003-12-17T12:58:46Z</dcterms:created>
  <dcterms:modified xsi:type="dcterms:W3CDTF">2003-12-18T10:16:22Z</dcterms:modified>
  <cp:category/>
  <cp:version/>
  <cp:contentType/>
  <cp:contentStatus/>
</cp:coreProperties>
</file>