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omments3.xml" ContentType="application/vnd.openxmlformats-officedocument.spreadsheetml.comments+xml"/>
  <Override PartName="/xl/charts/chart1.xml" ContentType="application/vnd.openxmlformats-officedocument.drawingml.chart+xml"/>
  <Override PartName="/xl/drawings/drawing4.xml" ContentType="application/vnd.openxmlformats-officedocument.drawing+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omments4.xml" ContentType="application/vnd.openxmlformats-officedocument.spreadsheetml.comments+xml"/>
  <Override PartName="/xl/charts/chart2.xml" ContentType="application/vnd.openxmlformats-officedocument.drawingml.chart+xml"/>
  <Override PartName="/xl/drawings/drawing5.xml" ContentType="application/vnd.openxmlformats-officedocument.drawing+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omments5.xml" ContentType="application/vnd.openxmlformats-officedocument.spreadsheetml.comments+xml"/>
  <Override PartName="/xl/charts/chart3.xml" ContentType="application/vnd.openxmlformats-officedocument.drawingml.chart+xml"/>
  <Override PartName="/xl/drawings/drawing6.xml" ContentType="application/vnd.openxmlformats-officedocument.drawingml.chartshapes+xml"/>
  <Override PartName="/xl/charts/chart4.xml" ContentType="application/vnd.openxmlformats-officedocument.drawingml.chart+xml"/>
  <Override PartName="/xl/drawings/drawing7.xml" ContentType="application/vnd.openxmlformats-officedocument.drawingml.chartshapes+xml"/>
  <Override PartName="/xl/charts/chart5.xml" ContentType="application/vnd.openxmlformats-officedocument.drawingml.chart+xml"/>
  <Override PartName="/xl/drawings/drawing8.xml" ContentType="application/vnd.openxmlformats-officedocument.drawingml.chartshapes+xml"/>
  <Override PartName="/xl/charts/chart6.xml" ContentType="application/vnd.openxmlformats-officedocument.drawingml.chart+xml"/>
  <Override PartName="/xl/drawings/drawing9.xml" ContentType="application/vnd.openxmlformats-officedocument.drawingml.chartshapes+xml"/>
  <Override PartName="/xl/charts/chart7.xml" ContentType="application/vnd.openxmlformats-officedocument.drawingml.chart+xml"/>
  <Override PartName="/xl/drawings/drawing10.xml" ContentType="application/vnd.openxmlformats-officedocument.drawingml.chartshapes+xml"/>
  <Override PartName="/xl/charts/chart8.xml" ContentType="application/vnd.openxmlformats-officedocument.drawingml.chart+xml"/>
  <Override PartName="/xl/drawings/drawing11.xml" ContentType="application/vnd.openxmlformats-officedocument.drawingml.chartshapes+xml"/>
  <Override PartName="/xl/charts/chart9.xml" ContentType="application/vnd.openxmlformats-officedocument.drawingml.chart+xml"/>
  <Override PartName="/xl/drawings/drawing12.xml" ContentType="application/vnd.openxmlformats-officedocument.drawingml.chartshapes+xml"/>
  <Override PartName="/xl/charts/chart10.xml" ContentType="application/vnd.openxmlformats-officedocument.drawingml.chart+xml"/>
  <Override PartName="/xl/drawings/drawing13.xml" ContentType="application/vnd.openxmlformats-officedocument.drawingml.chartshapes+xml"/>
  <Override PartName="/xl/charts/chart11.xml" ContentType="application/vnd.openxmlformats-officedocument.drawingml.chart+xml"/>
  <Override PartName="/xl/drawings/drawing14.xml" ContentType="application/vnd.openxmlformats-officedocument.drawingml.chartshapes+xml"/>
  <Override PartName="/xl/charts/chart12.xml" ContentType="application/vnd.openxmlformats-officedocument.drawingml.chart+xml"/>
  <Override PartName="/xl/drawings/drawing15.xml" ContentType="application/vnd.openxmlformats-officedocument.drawingml.chartshapes+xml"/>
  <Override PartName="/xl/charts/chart13.xml" ContentType="application/vnd.openxmlformats-officedocument.drawingml.chart+xml"/>
  <Override PartName="/xl/drawings/drawing16.xml" ContentType="application/vnd.openxmlformats-officedocument.drawingml.chartshapes+xml"/>
  <Override PartName="/xl/charts/chart14.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omments6.xml" ContentType="application/vnd.openxmlformats-officedocument.spreadsheetml.comments+xml"/>
  <Override PartName="/xl/charts/chart15.xml" ContentType="application/vnd.openxmlformats-officedocument.drawingml.chart+xml"/>
  <Override PartName="/xl/drawings/drawing19.xml" ContentType="application/vnd.openxmlformats-officedocument.drawingml.chartshapes+xml"/>
  <Override PartName="/xl/charts/chart16.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omments7.xml" ContentType="application/vnd.openxmlformats-officedocument.spreadsheetml.comments+xml"/>
  <Override PartName="/xl/charts/chart17.xml" ContentType="application/vnd.openxmlformats-officedocument.drawingml.chart+xml"/>
  <Override PartName="/xl/drawings/drawing22.xml" ContentType="application/vnd.openxmlformats-officedocument.drawingml.chartshapes+xml"/>
  <Override PartName="/xl/charts/chart18.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omments8.xml" ContentType="application/vnd.openxmlformats-officedocument.spreadsheetml.comments+xml"/>
  <Override PartName="/xl/charts/chart19.xml" ContentType="application/vnd.openxmlformats-officedocument.drawingml.chart+xml"/>
  <Override PartName="/xl/drawings/drawing25.xml" ContentType="application/vnd.openxmlformats-officedocument.drawingml.chartshapes+xml"/>
  <Override PartName="/xl/charts/chart20.xml" ContentType="application/vnd.openxmlformats-officedocument.drawingml.chart+xml"/>
  <Override PartName="/xl/charts/chart21.xml" ContentType="application/vnd.openxmlformats-officedocument.drawingml.chart+xml"/>
  <Override PartName="/xl/drawings/drawing26.xml" ContentType="application/vnd.openxmlformats-officedocument.drawing+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omments9.xml" ContentType="application/vnd.openxmlformats-officedocument.spreadsheetml.comments+xml"/>
  <Override PartName="/xl/charts/chart22.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comments10.xml" ContentType="application/vnd.openxmlformats-officedocument.spreadsheetml.comment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codeName="{4470D2CD-2249-CD33-4A35-6F278624656F}"/>
  <workbookPr codeName="EstaPasta_de_trabalho"/>
  <mc:AlternateContent xmlns:mc="http://schemas.openxmlformats.org/markup-compatibility/2006">
    <mc:Choice Requires="x15">
      <x15ac:absPath xmlns:x15ac="http://schemas.microsoft.com/office/spreadsheetml/2010/11/ac" url="C:\Users\SSN01\OneDrive - ROC van Twente\Onderwijs\Chemie\PW7\"/>
    </mc:Choice>
  </mc:AlternateContent>
  <xr:revisionPtr revIDLastSave="0" documentId="13_ncr:1_{05DB1C00-81A0-4967-A2C4-58FE18B026B8}" xr6:coauthVersionLast="45" xr6:coauthVersionMax="45" xr10:uidLastSave="{00000000-0000-0000-0000-000000000000}"/>
  <bookViews>
    <workbookView xWindow="-120" yWindow="-120" windowWidth="20730" windowHeight="11160" tabRatio="706" firstSheet="5" activeTab="6" xr2:uid="{00000000-000D-0000-FFFF-FFFF00000000}"/>
  </bookViews>
  <sheets>
    <sheet name="CurTiPot" sheetId="15" state="hidden" r:id="rId1"/>
    <sheet name="   pH_calc   " sheetId="18" state="hidden" r:id="rId2"/>
    <sheet name="Titration" sheetId="22" state="hidden" r:id="rId3"/>
    <sheet name="Simulation" sheetId="20" state="hidden" r:id="rId4"/>
    <sheet name="Distribution" sheetId="21" state="hidden" r:id="rId5"/>
    <sheet name="Fosforzuurbepaling" sheetId="23" r:id="rId6"/>
    <sheet name="Fosforzuurbepaling (2)" sheetId="24" r:id="rId7"/>
    <sheet name="Regression" sheetId="5" state="hidden" r:id="rId8"/>
    <sheet name="Graphs" sheetId="8" state="hidden" r:id="rId9"/>
    <sheet name="Database" sheetId="19" state="hidden" r:id="rId10"/>
  </sheets>
  <definedNames>
    <definedName name="solver_adj" localSheetId="7" hidden="1">Regression!$I$18,Regression!$B$11:$C$11</definedName>
    <definedName name="solver_cvg" localSheetId="7" hidden="1">0.0000000001</definedName>
    <definedName name="solver_drv" localSheetId="7" hidden="1">2</definedName>
    <definedName name="solver_eng" localSheetId="7" hidden="1">1</definedName>
    <definedName name="solver_est" localSheetId="7" hidden="1">1</definedName>
    <definedName name="solver_itr" localSheetId="7" hidden="1">100</definedName>
    <definedName name="solver_lhs0" localSheetId="7" hidden="1">Regression!$O$18</definedName>
    <definedName name="solver_lhs1" localSheetId="7" hidden="1">Regression!$H$11</definedName>
    <definedName name="solver_lhs2" localSheetId="7" hidden="1">Regression!$H$11</definedName>
    <definedName name="solver_lhs3" localSheetId="7" hidden="1">Regression!$O$18</definedName>
    <definedName name="solver_lin" localSheetId="7" hidden="1">2</definedName>
    <definedName name="solver_mip" localSheetId="7" hidden="1">2147483647</definedName>
    <definedName name="solver_mni" localSheetId="7" hidden="1">30</definedName>
    <definedName name="solver_mrt" localSheetId="7" hidden="1">0.075</definedName>
    <definedName name="solver_msl" localSheetId="7" hidden="1">2</definedName>
    <definedName name="solver_neg" localSheetId="7" hidden="1">1</definedName>
    <definedName name="solver_nod" localSheetId="7" hidden="1">2147483647</definedName>
    <definedName name="solver_num" localSheetId="7" hidden="1">0</definedName>
    <definedName name="solver_nwt" localSheetId="7" hidden="1">1</definedName>
    <definedName name="solver_opt" localSheetId="7" hidden="1">Regression!$I$19</definedName>
    <definedName name="solver_pre" localSheetId="7" hidden="1">0.0000000001</definedName>
    <definedName name="solver_rbv" localSheetId="7" hidden="1">2</definedName>
    <definedName name="solver_rel0" localSheetId="7" hidden="1">1</definedName>
    <definedName name="solver_rel1" localSheetId="7" hidden="1">1</definedName>
    <definedName name="solver_rel2" localSheetId="7" hidden="1">3</definedName>
    <definedName name="solver_rel3" localSheetId="7" hidden="1">1</definedName>
    <definedName name="solver_rhs0" localSheetId="7" hidden="1">0.5</definedName>
    <definedName name="solver_rhs1" localSheetId="7" hidden="1">2</definedName>
    <definedName name="solver_rhs2" localSheetId="7" hidden="1">0</definedName>
    <definedName name="solver_rhs3" localSheetId="7" hidden="1">0.35</definedName>
    <definedName name="solver_rlx" localSheetId="7" hidden="1">2</definedName>
    <definedName name="solver_rsd" localSheetId="7" hidden="1">0</definedName>
    <definedName name="solver_scl" localSheetId="7" hidden="1">2</definedName>
    <definedName name="solver_sho" localSheetId="7" hidden="1">2</definedName>
    <definedName name="solver_ssz" localSheetId="7" hidden="1">100</definedName>
    <definedName name="solver_tim" localSheetId="7" hidden="1">30</definedName>
    <definedName name="solver_tol" localSheetId="7" hidden="1">0.00001</definedName>
    <definedName name="solver_typ" localSheetId="7" hidden="1">2</definedName>
    <definedName name="solver_val" localSheetId="7" hidden="1">0</definedName>
    <definedName name="solver_ver" localSheetId="7" hidden="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7" i="24" l="1"/>
  <c r="S37" i="24"/>
  <c r="R37" i="24"/>
  <c r="Q37" i="24"/>
  <c r="S36" i="24"/>
  <c r="R36" i="24"/>
  <c r="Q36" i="24"/>
  <c r="S35" i="24"/>
  <c r="R35" i="24"/>
  <c r="Q35" i="24"/>
  <c r="S34" i="24"/>
  <c r="R34" i="24"/>
  <c r="Q34" i="24"/>
  <c r="S33" i="24"/>
  <c r="R33" i="24"/>
  <c r="Q33" i="24"/>
  <c r="S32" i="24"/>
  <c r="R32" i="24"/>
  <c r="Q32" i="24"/>
  <c r="S31" i="24"/>
  <c r="R31" i="24"/>
  <c r="Q31" i="24"/>
  <c r="S30" i="24"/>
  <c r="R30" i="24"/>
  <c r="Q30" i="24"/>
  <c r="Q29" i="24"/>
  <c r="R29" i="24" s="1"/>
  <c r="S29" i="24" s="1"/>
  <c r="Q28" i="24"/>
  <c r="R28" i="24" s="1"/>
  <c r="S28" i="24" s="1"/>
  <c r="P8" i="23"/>
  <c r="S37" i="23"/>
  <c r="R37" i="23"/>
  <c r="Q37" i="23"/>
  <c r="S36" i="23"/>
  <c r="R36" i="23"/>
  <c r="Q36" i="23"/>
  <c r="S35" i="23"/>
  <c r="R35" i="23"/>
  <c r="Q35" i="23"/>
  <c r="S34" i="23"/>
  <c r="R34" i="23"/>
  <c r="Q34" i="23"/>
  <c r="S33" i="23"/>
  <c r="R33" i="23"/>
  <c r="Q33" i="23"/>
  <c r="S32" i="23"/>
  <c r="R32" i="23"/>
  <c r="Q32" i="23"/>
  <c r="S31" i="23"/>
  <c r="R31" i="23"/>
  <c r="Q31" i="23"/>
  <c r="S30" i="23"/>
  <c r="R30" i="23"/>
  <c r="Q30" i="23"/>
  <c r="Q29" i="23"/>
  <c r="Q28" i="23"/>
  <c r="R29" i="23" s="1"/>
  <c r="S29" i="23" s="1"/>
  <c r="R28" i="23" l="1"/>
  <c r="S28" i="23" s="1"/>
  <c r="E41" i="5"/>
  <c r="B11" i="21" l="1"/>
  <c r="G5" i="8" l="1"/>
  <c r="G4" i="8"/>
  <c r="C5" i="8"/>
  <c r="C4" i="8"/>
  <c r="C3" i="8"/>
  <c r="G3" i="8"/>
  <c r="E43" i="5" l="1"/>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42" i="5"/>
  <c r="E10" i="21" l="1"/>
  <c r="G12" i="21" l="1"/>
  <c r="H3" i="21" l="1"/>
  <c r="H10" i="21" s="1"/>
  <c r="H11" i="21" s="1"/>
  <c r="B10" i="21"/>
  <c r="B14" i="20" l="1"/>
  <c r="C14" i="20"/>
  <c r="D14" i="20"/>
  <c r="D13" i="22"/>
  <c r="C13" i="22"/>
  <c r="B13" i="22"/>
  <c r="B16" i="18" l="1"/>
  <c r="F91" i="5" l="1"/>
  <c r="AW42" i="5" l="1"/>
  <c r="AW43" i="5"/>
  <c r="AW44" i="5"/>
  <c r="AW45" i="5"/>
  <c r="AW46" i="5"/>
  <c r="AW47" i="5"/>
  <c r="AW48" i="5"/>
  <c r="AW49" i="5"/>
  <c r="AW50" i="5"/>
  <c r="AW51" i="5"/>
  <c r="AW52" i="5"/>
  <c r="AW53" i="5"/>
  <c r="AW54" i="5"/>
  <c r="AW55" i="5"/>
  <c r="AW56" i="5"/>
  <c r="AW57" i="5"/>
  <c r="AW58" i="5"/>
  <c r="AW59" i="5"/>
  <c r="AW60" i="5"/>
  <c r="AW61" i="5"/>
  <c r="AW62" i="5"/>
  <c r="AW63" i="5"/>
  <c r="AW64" i="5"/>
  <c r="AW65" i="5"/>
  <c r="AW66" i="5"/>
  <c r="AW67" i="5"/>
  <c r="AW68" i="5"/>
  <c r="AW69" i="5"/>
  <c r="AW70" i="5"/>
  <c r="AW71" i="5"/>
  <c r="AW72" i="5"/>
  <c r="AW73" i="5"/>
  <c r="AW74" i="5"/>
  <c r="AW75" i="5"/>
  <c r="AW76" i="5"/>
  <c r="AW77" i="5"/>
  <c r="AW78" i="5"/>
  <c r="AW79" i="5"/>
  <c r="AW80" i="5"/>
  <c r="AW81" i="5"/>
  <c r="AW82" i="5"/>
  <c r="AW83" i="5"/>
  <c r="AW84" i="5"/>
  <c r="AW85" i="5"/>
  <c r="AW86" i="5"/>
  <c r="AW87" i="5"/>
  <c r="AW88" i="5"/>
  <c r="AW89" i="5"/>
  <c r="AW90" i="5"/>
  <c r="AW91" i="5"/>
  <c r="AU92" i="5"/>
  <c r="AW92" i="5"/>
  <c r="AU93" i="5"/>
  <c r="AW93" i="5"/>
  <c r="AU94" i="5"/>
  <c r="AW94" i="5"/>
  <c r="AU95" i="5"/>
  <c r="AW95" i="5"/>
  <c r="AU96" i="5"/>
  <c r="AW96" i="5"/>
  <c r="AU97" i="5"/>
  <c r="AW97" i="5"/>
  <c r="AU98" i="5"/>
  <c r="AW98" i="5"/>
  <c r="AU99" i="5"/>
  <c r="AW99" i="5"/>
  <c r="AU100" i="5"/>
  <c r="AW100" i="5"/>
  <c r="AU101" i="5"/>
  <c r="AW101" i="5"/>
  <c r="AU102" i="5"/>
  <c r="AW102" i="5"/>
  <c r="AU103" i="5"/>
  <c r="AW103" i="5"/>
  <c r="AU104" i="5"/>
  <c r="AW104" i="5"/>
  <c r="AU105" i="5"/>
  <c r="AW105" i="5"/>
  <c r="AU106" i="5"/>
  <c r="AW106" i="5"/>
  <c r="AU107" i="5"/>
  <c r="AW107" i="5"/>
  <c r="AU108" i="5"/>
  <c r="AW108" i="5"/>
  <c r="AU109" i="5"/>
  <c r="AW109" i="5"/>
  <c r="AU110" i="5"/>
  <c r="AW110" i="5"/>
  <c r="AU111" i="5"/>
  <c r="AW111" i="5"/>
  <c r="AU112" i="5"/>
  <c r="AW112" i="5"/>
  <c r="AU113" i="5"/>
  <c r="AW113" i="5"/>
  <c r="AU114" i="5"/>
  <c r="AW114" i="5"/>
  <c r="AU115" i="5"/>
  <c r="AW115" i="5"/>
  <c r="AU116" i="5"/>
  <c r="AW116" i="5"/>
  <c r="AU117" i="5"/>
  <c r="AW117" i="5"/>
  <c r="AU118" i="5"/>
  <c r="AW118" i="5"/>
  <c r="AU119" i="5"/>
  <c r="AW119" i="5"/>
  <c r="AU120" i="5"/>
  <c r="AW120" i="5"/>
  <c r="AU121" i="5"/>
  <c r="AW121" i="5"/>
  <c r="AU122" i="5"/>
  <c r="AW122" i="5"/>
  <c r="AU123" i="5"/>
  <c r="AW123" i="5"/>
  <c r="AU124" i="5"/>
  <c r="AW124" i="5"/>
  <c r="AU125" i="5"/>
  <c r="AW125" i="5"/>
  <c r="AU126" i="5"/>
  <c r="AW126" i="5"/>
  <c r="AU127" i="5"/>
  <c r="AW127" i="5"/>
  <c r="AU128" i="5"/>
  <c r="AW128" i="5"/>
  <c r="AU129" i="5"/>
  <c r="AW129" i="5"/>
  <c r="AU130" i="5"/>
  <c r="AW130" i="5"/>
  <c r="AU131" i="5"/>
  <c r="AW131" i="5"/>
  <c r="AU132" i="5"/>
  <c r="AW132" i="5"/>
  <c r="AU133" i="5"/>
  <c r="AW133" i="5"/>
  <c r="AU134" i="5"/>
  <c r="AW134" i="5"/>
  <c r="AU135" i="5"/>
  <c r="AW135" i="5"/>
  <c r="AU136" i="5"/>
  <c r="AW136" i="5"/>
  <c r="AU137" i="5"/>
  <c r="AW137" i="5"/>
  <c r="AU138" i="5"/>
  <c r="AW138" i="5"/>
  <c r="AU139" i="5"/>
  <c r="AW139" i="5"/>
  <c r="AU140" i="5"/>
  <c r="AW140" i="5"/>
  <c r="AU141" i="5"/>
  <c r="AW141" i="5"/>
  <c r="AU142" i="5"/>
  <c r="AW142" i="5"/>
  <c r="AU143" i="5"/>
  <c r="AW143" i="5"/>
  <c r="AU144" i="5"/>
  <c r="AW144" i="5"/>
  <c r="AU145" i="5"/>
  <c r="AW145" i="5"/>
  <c r="AU146" i="5"/>
  <c r="AW146" i="5"/>
  <c r="AU147" i="5"/>
  <c r="AW147" i="5"/>
  <c r="AU148" i="5"/>
  <c r="AW148" i="5"/>
  <c r="AU149" i="5"/>
  <c r="AW149" i="5"/>
  <c r="AU150" i="5"/>
  <c r="AW150" i="5"/>
  <c r="AU151" i="5"/>
  <c r="AW151" i="5"/>
  <c r="AU152" i="5"/>
  <c r="AW152" i="5"/>
  <c r="AU153" i="5"/>
  <c r="AW153" i="5"/>
  <c r="AU154" i="5"/>
  <c r="AW154" i="5"/>
  <c r="AU155" i="5"/>
  <c r="AW155" i="5"/>
  <c r="AU156" i="5"/>
  <c r="AW156" i="5"/>
  <c r="AU157" i="5"/>
  <c r="AW157" i="5"/>
  <c r="AU158" i="5"/>
  <c r="AW158" i="5"/>
  <c r="AU159" i="5"/>
  <c r="AW159" i="5"/>
  <c r="AU160" i="5"/>
  <c r="AW160" i="5"/>
  <c r="AU161" i="5"/>
  <c r="AW161" i="5"/>
  <c r="AU162" i="5"/>
  <c r="AW162" i="5"/>
  <c r="AW41" i="5"/>
  <c r="G112" i="5" l="1"/>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F42" i="5"/>
  <c r="F43" i="5"/>
  <c r="F44" i="5"/>
  <c r="F45" i="5"/>
  <c r="F46" i="5"/>
  <c r="F47" i="5"/>
  <c r="F48" i="5"/>
  <c r="F49" i="5"/>
  <c r="F50" i="5"/>
  <c r="F51" i="5"/>
  <c r="F52" i="5"/>
  <c r="F53" i="5"/>
  <c r="F54" i="5"/>
  <c r="F55" i="5"/>
  <c r="F56" i="5"/>
  <c r="F57" i="5"/>
  <c r="F58" i="5"/>
  <c r="F59" i="5"/>
  <c r="F60" i="5"/>
  <c r="F61" i="5"/>
  <c r="F62" i="5"/>
  <c r="F63" i="5"/>
  <c r="F64" i="5"/>
  <c r="F65" i="5"/>
  <c r="F66" i="5"/>
  <c r="F67" i="5"/>
  <c r="F68" i="5"/>
  <c r="F69" i="5"/>
  <c r="F70" i="5"/>
  <c r="F71" i="5"/>
  <c r="F72" i="5"/>
  <c r="F73" i="5"/>
  <c r="F74" i="5"/>
  <c r="F75" i="5"/>
  <c r="F76" i="5"/>
  <c r="F77" i="5"/>
  <c r="F78" i="5"/>
  <c r="F79" i="5"/>
  <c r="F80" i="5"/>
  <c r="F81" i="5"/>
  <c r="F82" i="5"/>
  <c r="F83" i="5"/>
  <c r="F84" i="5"/>
  <c r="F85" i="5"/>
  <c r="F86" i="5"/>
  <c r="F87" i="5"/>
  <c r="F88" i="5"/>
  <c r="F89" i="5"/>
  <c r="F90" i="5"/>
  <c r="F92" i="5"/>
  <c r="F93" i="5"/>
  <c r="F94" i="5"/>
  <c r="F95" i="5"/>
  <c r="F96" i="5"/>
  <c r="F97" i="5"/>
  <c r="F98" i="5"/>
  <c r="F99" i="5"/>
  <c r="F100" i="5"/>
  <c r="F101" i="5"/>
  <c r="F102" i="5"/>
  <c r="F103" i="5"/>
  <c r="F104" i="5"/>
  <c r="F105" i="5"/>
  <c r="F106" i="5"/>
  <c r="F107" i="5"/>
  <c r="F108" i="5"/>
  <c r="F109" i="5"/>
  <c r="F110" i="5"/>
  <c r="F111" i="5"/>
  <c r="F112" i="5"/>
  <c r="F113" i="5"/>
  <c r="F114" i="5"/>
  <c r="F115" i="5"/>
  <c r="F116" i="5"/>
  <c r="F117" i="5"/>
  <c r="F118" i="5"/>
  <c r="F119" i="5"/>
  <c r="F120" i="5"/>
  <c r="F121" i="5"/>
  <c r="F122" i="5"/>
  <c r="F123" i="5"/>
  <c r="F124" i="5"/>
  <c r="F125" i="5"/>
  <c r="F126" i="5"/>
  <c r="F127" i="5"/>
  <c r="F128" i="5"/>
  <c r="F129" i="5"/>
  <c r="F130" i="5"/>
  <c r="F131" i="5"/>
  <c r="F132" i="5"/>
  <c r="F133" i="5"/>
  <c r="F134" i="5"/>
  <c r="F135" i="5"/>
  <c r="F136" i="5"/>
  <c r="F137" i="5"/>
  <c r="F138" i="5"/>
  <c r="F139" i="5"/>
  <c r="F140" i="5"/>
  <c r="F141" i="5"/>
  <c r="F142" i="5"/>
  <c r="F143" i="5"/>
  <c r="F144" i="5"/>
  <c r="F145" i="5"/>
  <c r="F146" i="5"/>
  <c r="F147" i="5"/>
  <c r="F148" i="5"/>
  <c r="F149" i="5"/>
  <c r="F150" i="5"/>
  <c r="F151" i="5"/>
  <c r="F152" i="5"/>
  <c r="F153" i="5"/>
  <c r="F154" i="5"/>
  <c r="F155" i="5"/>
  <c r="F156" i="5"/>
  <c r="F157" i="5"/>
  <c r="F158" i="5"/>
  <c r="F159" i="5"/>
  <c r="F160" i="5"/>
  <c r="F161" i="5"/>
  <c r="F162" i="5"/>
  <c r="F41" i="5"/>
  <c r="S26" i="5" l="1"/>
  <c r="AR112" i="5"/>
  <c r="AR113" i="5"/>
  <c r="AR114" i="5"/>
  <c r="AR115" i="5"/>
  <c r="AR116" i="5"/>
  <c r="AR117" i="5"/>
  <c r="AR118" i="5"/>
  <c r="AR119" i="5"/>
  <c r="AR120" i="5"/>
  <c r="AR121" i="5"/>
  <c r="AR122" i="5"/>
  <c r="AR123" i="5"/>
  <c r="AR124" i="5"/>
  <c r="AR125" i="5"/>
  <c r="AR126" i="5"/>
  <c r="AR127" i="5"/>
  <c r="AR128" i="5"/>
  <c r="AR129" i="5"/>
  <c r="AR130" i="5"/>
  <c r="AR131" i="5"/>
  <c r="AR132" i="5"/>
  <c r="AR133" i="5"/>
  <c r="AR134" i="5"/>
  <c r="AR135" i="5"/>
  <c r="AR136" i="5"/>
  <c r="AR137" i="5"/>
  <c r="AR138" i="5"/>
  <c r="AR139" i="5"/>
  <c r="AR140" i="5"/>
  <c r="AR141" i="5"/>
  <c r="AR142" i="5"/>
  <c r="AR143" i="5"/>
  <c r="AR144" i="5"/>
  <c r="AR145" i="5"/>
  <c r="AR146" i="5"/>
  <c r="AR147" i="5"/>
  <c r="AR148" i="5"/>
  <c r="AR149" i="5"/>
  <c r="AR150" i="5"/>
  <c r="AR151" i="5"/>
  <c r="AR152" i="5"/>
  <c r="AR153" i="5"/>
  <c r="AR154" i="5"/>
  <c r="AR155" i="5"/>
  <c r="AR156" i="5"/>
  <c r="AR157" i="5"/>
  <c r="AR158" i="5"/>
  <c r="AR159" i="5"/>
  <c r="AR160" i="5"/>
  <c r="AR161" i="5"/>
  <c r="AR162" i="5"/>
  <c r="AQ112" i="5"/>
  <c r="AQ113" i="5"/>
  <c r="AQ114" i="5"/>
  <c r="AQ115" i="5"/>
  <c r="AQ116" i="5"/>
  <c r="AQ117" i="5"/>
  <c r="AQ118" i="5"/>
  <c r="AQ119" i="5"/>
  <c r="AQ120" i="5"/>
  <c r="AQ121" i="5"/>
  <c r="AQ122" i="5"/>
  <c r="AQ123" i="5"/>
  <c r="AQ124" i="5"/>
  <c r="AQ125" i="5"/>
  <c r="AQ126" i="5"/>
  <c r="AQ127" i="5"/>
  <c r="AQ128" i="5"/>
  <c r="AQ129" i="5"/>
  <c r="AQ130" i="5"/>
  <c r="AQ131" i="5"/>
  <c r="AQ132" i="5"/>
  <c r="AQ133" i="5"/>
  <c r="AQ134" i="5"/>
  <c r="AQ135" i="5"/>
  <c r="AQ136" i="5"/>
  <c r="AQ137" i="5"/>
  <c r="AQ138" i="5"/>
  <c r="AQ139" i="5"/>
  <c r="AQ140" i="5"/>
  <c r="AQ141" i="5"/>
  <c r="AQ142" i="5"/>
  <c r="AQ143" i="5"/>
  <c r="AQ144" i="5"/>
  <c r="AQ145" i="5"/>
  <c r="AQ146" i="5"/>
  <c r="AQ147" i="5"/>
  <c r="AQ148" i="5"/>
  <c r="AQ149" i="5"/>
  <c r="AQ150" i="5"/>
  <c r="AQ151" i="5"/>
  <c r="AQ152" i="5"/>
  <c r="AQ153" i="5"/>
  <c r="AQ154" i="5"/>
  <c r="AQ155" i="5"/>
  <c r="AQ156" i="5"/>
  <c r="AQ157" i="5"/>
  <c r="AQ158" i="5"/>
  <c r="AQ159" i="5"/>
  <c r="AQ160" i="5"/>
  <c r="AQ161" i="5"/>
  <c r="AQ162" i="5"/>
  <c r="D112" i="5" l="1"/>
  <c r="H112" i="5"/>
  <c r="I112" i="5"/>
  <c r="J112" i="5"/>
  <c r="K112" i="5"/>
  <c r="L112" i="5"/>
  <c r="M112" i="5"/>
  <c r="N112" i="5"/>
  <c r="O112" i="5"/>
  <c r="P112" i="5"/>
  <c r="Q112" i="5"/>
  <c r="R112" i="5"/>
  <c r="S112" i="5"/>
  <c r="T112" i="5"/>
  <c r="U112" i="5"/>
  <c r="V112" i="5"/>
  <c r="W112" i="5"/>
  <c r="X112" i="5"/>
  <c r="Y112" i="5"/>
  <c r="Z112" i="5"/>
  <c r="AA112" i="5"/>
  <c r="AB112" i="5"/>
  <c r="AC112" i="5"/>
  <c r="AD112" i="5"/>
  <c r="AE112" i="5"/>
  <c r="AF112" i="5"/>
  <c r="AG112" i="5"/>
  <c r="AH112" i="5"/>
  <c r="AI112" i="5"/>
  <c r="AJ112" i="5"/>
  <c r="AK112" i="5"/>
  <c r="AL112" i="5"/>
  <c r="AM112" i="5"/>
  <c r="D113" i="5"/>
  <c r="H113" i="5"/>
  <c r="I113" i="5"/>
  <c r="J113" i="5"/>
  <c r="K113" i="5"/>
  <c r="L113" i="5"/>
  <c r="M113" i="5"/>
  <c r="N113" i="5"/>
  <c r="O113" i="5"/>
  <c r="P113" i="5"/>
  <c r="Q113" i="5"/>
  <c r="R113" i="5"/>
  <c r="S113" i="5"/>
  <c r="T113" i="5"/>
  <c r="U113" i="5"/>
  <c r="V113" i="5"/>
  <c r="W113" i="5"/>
  <c r="X113" i="5"/>
  <c r="Y113" i="5"/>
  <c r="Z113" i="5"/>
  <c r="AA113" i="5"/>
  <c r="AB113" i="5"/>
  <c r="AC113" i="5"/>
  <c r="AD113" i="5"/>
  <c r="AE113" i="5"/>
  <c r="AF113" i="5"/>
  <c r="AG113" i="5"/>
  <c r="AH113" i="5"/>
  <c r="AI113" i="5"/>
  <c r="AJ113" i="5"/>
  <c r="AK113" i="5"/>
  <c r="AL113" i="5"/>
  <c r="AM113" i="5"/>
  <c r="D114" i="5"/>
  <c r="H114" i="5"/>
  <c r="I114" i="5"/>
  <c r="J114" i="5"/>
  <c r="K114" i="5"/>
  <c r="L114" i="5"/>
  <c r="M114" i="5"/>
  <c r="N114" i="5"/>
  <c r="O114" i="5"/>
  <c r="P114" i="5"/>
  <c r="Q114" i="5"/>
  <c r="R114" i="5"/>
  <c r="S114" i="5"/>
  <c r="T114" i="5"/>
  <c r="U114" i="5"/>
  <c r="V114" i="5"/>
  <c r="W114" i="5"/>
  <c r="X114" i="5"/>
  <c r="Y114" i="5"/>
  <c r="Z114" i="5"/>
  <c r="AA114" i="5"/>
  <c r="AB114" i="5"/>
  <c r="AC114" i="5"/>
  <c r="AD114" i="5"/>
  <c r="AE114" i="5"/>
  <c r="AF114" i="5"/>
  <c r="AG114" i="5"/>
  <c r="AH114" i="5"/>
  <c r="AI114" i="5"/>
  <c r="AJ114" i="5"/>
  <c r="AK114" i="5"/>
  <c r="AL114" i="5"/>
  <c r="AM114" i="5"/>
  <c r="D115" i="5"/>
  <c r="H115" i="5"/>
  <c r="I115" i="5"/>
  <c r="J115" i="5"/>
  <c r="K115" i="5"/>
  <c r="L115" i="5"/>
  <c r="M115" i="5"/>
  <c r="N115" i="5"/>
  <c r="O115" i="5"/>
  <c r="P115" i="5"/>
  <c r="Q115" i="5"/>
  <c r="R115" i="5"/>
  <c r="S115" i="5"/>
  <c r="T115" i="5"/>
  <c r="U115" i="5"/>
  <c r="V115" i="5"/>
  <c r="W115" i="5"/>
  <c r="X115" i="5"/>
  <c r="Y115" i="5"/>
  <c r="Z115" i="5"/>
  <c r="AA115" i="5"/>
  <c r="AB115" i="5"/>
  <c r="AC115" i="5"/>
  <c r="AD115" i="5"/>
  <c r="AE115" i="5"/>
  <c r="AF115" i="5"/>
  <c r="AG115" i="5"/>
  <c r="AH115" i="5"/>
  <c r="AI115" i="5"/>
  <c r="AJ115" i="5"/>
  <c r="AK115" i="5"/>
  <c r="AL115" i="5"/>
  <c r="AM115" i="5"/>
  <c r="D116" i="5"/>
  <c r="H116" i="5"/>
  <c r="I116" i="5"/>
  <c r="J116" i="5"/>
  <c r="K116" i="5"/>
  <c r="L116" i="5"/>
  <c r="M116" i="5"/>
  <c r="N116" i="5"/>
  <c r="O116" i="5"/>
  <c r="P116" i="5"/>
  <c r="Q116" i="5"/>
  <c r="R116" i="5"/>
  <c r="S116" i="5"/>
  <c r="T116" i="5"/>
  <c r="U116" i="5"/>
  <c r="V116" i="5"/>
  <c r="W116" i="5"/>
  <c r="X116" i="5"/>
  <c r="Y116" i="5"/>
  <c r="Z116" i="5"/>
  <c r="AA116" i="5"/>
  <c r="AB116" i="5"/>
  <c r="AC116" i="5"/>
  <c r="AD116" i="5"/>
  <c r="AE116" i="5"/>
  <c r="AF116" i="5"/>
  <c r="AG116" i="5"/>
  <c r="AH116" i="5"/>
  <c r="AI116" i="5"/>
  <c r="AJ116" i="5"/>
  <c r="AK116" i="5"/>
  <c r="AL116" i="5"/>
  <c r="AM116" i="5"/>
  <c r="D117" i="5"/>
  <c r="H117" i="5"/>
  <c r="I117" i="5"/>
  <c r="J117" i="5"/>
  <c r="K117" i="5"/>
  <c r="L117" i="5"/>
  <c r="M117" i="5"/>
  <c r="N117" i="5"/>
  <c r="O117" i="5"/>
  <c r="P117" i="5"/>
  <c r="Q117" i="5"/>
  <c r="R117" i="5"/>
  <c r="S117" i="5"/>
  <c r="T117" i="5"/>
  <c r="U117" i="5"/>
  <c r="V117" i="5"/>
  <c r="W117" i="5"/>
  <c r="X117" i="5"/>
  <c r="Y117" i="5"/>
  <c r="Z117" i="5"/>
  <c r="AA117" i="5"/>
  <c r="AB117" i="5"/>
  <c r="AC117" i="5"/>
  <c r="AD117" i="5"/>
  <c r="AE117" i="5"/>
  <c r="AF117" i="5"/>
  <c r="AG117" i="5"/>
  <c r="AH117" i="5"/>
  <c r="AI117" i="5"/>
  <c r="AJ117" i="5"/>
  <c r="AK117" i="5"/>
  <c r="AL117" i="5"/>
  <c r="AM117" i="5"/>
  <c r="D118" i="5"/>
  <c r="H118" i="5"/>
  <c r="I118" i="5"/>
  <c r="J118" i="5"/>
  <c r="K118" i="5"/>
  <c r="L118" i="5"/>
  <c r="M118" i="5"/>
  <c r="N118" i="5"/>
  <c r="O118" i="5"/>
  <c r="P118" i="5"/>
  <c r="Q118" i="5"/>
  <c r="R118" i="5"/>
  <c r="S118" i="5"/>
  <c r="T118" i="5"/>
  <c r="U118" i="5"/>
  <c r="V118" i="5"/>
  <c r="W118" i="5"/>
  <c r="X118" i="5"/>
  <c r="Y118" i="5"/>
  <c r="Z118" i="5"/>
  <c r="AA118" i="5"/>
  <c r="AB118" i="5"/>
  <c r="AC118" i="5"/>
  <c r="AD118" i="5"/>
  <c r="AE118" i="5"/>
  <c r="AF118" i="5"/>
  <c r="AG118" i="5"/>
  <c r="AH118" i="5"/>
  <c r="AI118" i="5"/>
  <c r="AJ118" i="5"/>
  <c r="AK118" i="5"/>
  <c r="AL118" i="5"/>
  <c r="AM118" i="5"/>
  <c r="D119" i="5"/>
  <c r="H119" i="5"/>
  <c r="I119" i="5"/>
  <c r="J119" i="5"/>
  <c r="K119" i="5"/>
  <c r="L119" i="5"/>
  <c r="M119" i="5"/>
  <c r="N119" i="5"/>
  <c r="O119" i="5"/>
  <c r="P119" i="5"/>
  <c r="Q119" i="5"/>
  <c r="R119" i="5"/>
  <c r="S119" i="5"/>
  <c r="T119" i="5"/>
  <c r="U119" i="5"/>
  <c r="V119" i="5"/>
  <c r="W119" i="5"/>
  <c r="X119" i="5"/>
  <c r="Y119" i="5"/>
  <c r="Z119" i="5"/>
  <c r="AA119" i="5"/>
  <c r="AB119" i="5"/>
  <c r="AC119" i="5"/>
  <c r="AD119" i="5"/>
  <c r="AE119" i="5"/>
  <c r="AF119" i="5"/>
  <c r="AG119" i="5"/>
  <c r="AH119" i="5"/>
  <c r="AI119" i="5"/>
  <c r="AJ119" i="5"/>
  <c r="AK119" i="5"/>
  <c r="AL119" i="5"/>
  <c r="AM119" i="5"/>
  <c r="D120" i="5"/>
  <c r="H120" i="5"/>
  <c r="I120" i="5"/>
  <c r="J120" i="5"/>
  <c r="K120" i="5"/>
  <c r="L120" i="5"/>
  <c r="M120" i="5"/>
  <c r="N120" i="5"/>
  <c r="O120" i="5"/>
  <c r="P120" i="5"/>
  <c r="Q120" i="5"/>
  <c r="R120" i="5"/>
  <c r="S120" i="5"/>
  <c r="T120" i="5"/>
  <c r="U120" i="5"/>
  <c r="V120" i="5"/>
  <c r="W120" i="5"/>
  <c r="X120" i="5"/>
  <c r="Y120" i="5"/>
  <c r="Z120" i="5"/>
  <c r="AA120" i="5"/>
  <c r="AB120" i="5"/>
  <c r="AC120" i="5"/>
  <c r="AD120" i="5"/>
  <c r="AE120" i="5"/>
  <c r="AF120" i="5"/>
  <c r="AG120" i="5"/>
  <c r="AH120" i="5"/>
  <c r="AI120" i="5"/>
  <c r="AJ120" i="5"/>
  <c r="AK120" i="5"/>
  <c r="AL120" i="5"/>
  <c r="AM120" i="5"/>
  <c r="D121" i="5"/>
  <c r="H121" i="5"/>
  <c r="I121" i="5"/>
  <c r="J121" i="5"/>
  <c r="K121" i="5"/>
  <c r="L121" i="5"/>
  <c r="M121" i="5"/>
  <c r="N121" i="5"/>
  <c r="O121" i="5"/>
  <c r="P121" i="5"/>
  <c r="Q121" i="5"/>
  <c r="R121" i="5"/>
  <c r="S121" i="5"/>
  <c r="T121" i="5"/>
  <c r="U121" i="5"/>
  <c r="V121" i="5"/>
  <c r="W121" i="5"/>
  <c r="X121" i="5"/>
  <c r="Y121" i="5"/>
  <c r="Z121" i="5"/>
  <c r="AA121" i="5"/>
  <c r="AB121" i="5"/>
  <c r="AC121" i="5"/>
  <c r="AD121" i="5"/>
  <c r="AE121" i="5"/>
  <c r="AF121" i="5"/>
  <c r="AG121" i="5"/>
  <c r="AH121" i="5"/>
  <c r="AI121" i="5"/>
  <c r="AJ121" i="5"/>
  <c r="AK121" i="5"/>
  <c r="AL121" i="5"/>
  <c r="AM121" i="5"/>
  <c r="D122" i="5"/>
  <c r="H122" i="5"/>
  <c r="I122" i="5"/>
  <c r="J122" i="5"/>
  <c r="K122" i="5"/>
  <c r="L122" i="5"/>
  <c r="M122" i="5"/>
  <c r="N122" i="5"/>
  <c r="O122" i="5"/>
  <c r="P122" i="5"/>
  <c r="Q122" i="5"/>
  <c r="R122" i="5"/>
  <c r="S122" i="5"/>
  <c r="T122" i="5"/>
  <c r="U122" i="5"/>
  <c r="V122" i="5"/>
  <c r="W122" i="5"/>
  <c r="X122" i="5"/>
  <c r="Y122" i="5"/>
  <c r="Z122" i="5"/>
  <c r="AA122" i="5"/>
  <c r="AB122" i="5"/>
  <c r="AC122" i="5"/>
  <c r="AD122" i="5"/>
  <c r="AE122" i="5"/>
  <c r="AF122" i="5"/>
  <c r="AG122" i="5"/>
  <c r="AH122" i="5"/>
  <c r="AI122" i="5"/>
  <c r="AJ122" i="5"/>
  <c r="AK122" i="5"/>
  <c r="AL122" i="5"/>
  <c r="AM122" i="5"/>
  <c r="D123" i="5"/>
  <c r="H123" i="5"/>
  <c r="I123" i="5"/>
  <c r="J123" i="5"/>
  <c r="K123" i="5"/>
  <c r="L123" i="5"/>
  <c r="M123" i="5"/>
  <c r="N123" i="5"/>
  <c r="O123" i="5"/>
  <c r="P123" i="5"/>
  <c r="Q123" i="5"/>
  <c r="R123" i="5"/>
  <c r="S123" i="5"/>
  <c r="T123" i="5"/>
  <c r="U123" i="5"/>
  <c r="V123" i="5"/>
  <c r="W123" i="5"/>
  <c r="X123" i="5"/>
  <c r="Y123" i="5"/>
  <c r="Z123" i="5"/>
  <c r="AA123" i="5"/>
  <c r="AB123" i="5"/>
  <c r="AC123" i="5"/>
  <c r="AD123" i="5"/>
  <c r="AE123" i="5"/>
  <c r="AF123" i="5"/>
  <c r="AG123" i="5"/>
  <c r="AH123" i="5"/>
  <c r="AI123" i="5"/>
  <c r="AJ123" i="5"/>
  <c r="AK123" i="5"/>
  <c r="AL123" i="5"/>
  <c r="AM123" i="5"/>
  <c r="D124" i="5"/>
  <c r="H124" i="5"/>
  <c r="I124" i="5"/>
  <c r="J124" i="5"/>
  <c r="K124" i="5"/>
  <c r="L124" i="5"/>
  <c r="M124" i="5"/>
  <c r="N124" i="5"/>
  <c r="O124" i="5"/>
  <c r="P124" i="5"/>
  <c r="Q124" i="5"/>
  <c r="R124" i="5"/>
  <c r="S124" i="5"/>
  <c r="T124" i="5"/>
  <c r="U124" i="5"/>
  <c r="V124" i="5"/>
  <c r="W124" i="5"/>
  <c r="X124" i="5"/>
  <c r="Y124" i="5"/>
  <c r="Z124" i="5"/>
  <c r="AA124" i="5"/>
  <c r="AB124" i="5"/>
  <c r="AC124" i="5"/>
  <c r="AD124" i="5"/>
  <c r="AE124" i="5"/>
  <c r="AF124" i="5"/>
  <c r="AG124" i="5"/>
  <c r="AH124" i="5"/>
  <c r="AI124" i="5"/>
  <c r="AJ124" i="5"/>
  <c r="AK124" i="5"/>
  <c r="AL124" i="5"/>
  <c r="AM124" i="5"/>
  <c r="D125" i="5"/>
  <c r="H125" i="5"/>
  <c r="I125" i="5"/>
  <c r="J125" i="5"/>
  <c r="K125" i="5"/>
  <c r="L125" i="5"/>
  <c r="M125" i="5"/>
  <c r="N125" i="5"/>
  <c r="O125" i="5"/>
  <c r="P125" i="5"/>
  <c r="Q125" i="5"/>
  <c r="R125" i="5"/>
  <c r="S125" i="5"/>
  <c r="T125" i="5"/>
  <c r="U125" i="5"/>
  <c r="V125" i="5"/>
  <c r="W125" i="5"/>
  <c r="X125" i="5"/>
  <c r="Y125" i="5"/>
  <c r="Z125" i="5"/>
  <c r="AA125" i="5"/>
  <c r="AB125" i="5"/>
  <c r="AC125" i="5"/>
  <c r="AD125" i="5"/>
  <c r="AE125" i="5"/>
  <c r="AF125" i="5"/>
  <c r="AG125" i="5"/>
  <c r="AH125" i="5"/>
  <c r="AI125" i="5"/>
  <c r="AJ125" i="5"/>
  <c r="AK125" i="5"/>
  <c r="AL125" i="5"/>
  <c r="AM125" i="5"/>
  <c r="D126" i="5"/>
  <c r="H126" i="5"/>
  <c r="I126" i="5"/>
  <c r="J126" i="5"/>
  <c r="K126" i="5"/>
  <c r="L126" i="5"/>
  <c r="M126" i="5"/>
  <c r="N126" i="5"/>
  <c r="O126" i="5"/>
  <c r="P126" i="5"/>
  <c r="Q126" i="5"/>
  <c r="R126" i="5"/>
  <c r="S126" i="5"/>
  <c r="T126" i="5"/>
  <c r="U126" i="5"/>
  <c r="V126" i="5"/>
  <c r="W126" i="5"/>
  <c r="X126" i="5"/>
  <c r="Y126" i="5"/>
  <c r="Z126" i="5"/>
  <c r="AA126" i="5"/>
  <c r="AB126" i="5"/>
  <c r="AC126" i="5"/>
  <c r="AD126" i="5"/>
  <c r="AE126" i="5"/>
  <c r="AF126" i="5"/>
  <c r="AG126" i="5"/>
  <c r="AH126" i="5"/>
  <c r="AI126" i="5"/>
  <c r="AJ126" i="5"/>
  <c r="AK126" i="5"/>
  <c r="AL126" i="5"/>
  <c r="AM126" i="5"/>
  <c r="D127" i="5"/>
  <c r="H127" i="5"/>
  <c r="I127" i="5"/>
  <c r="J127" i="5"/>
  <c r="K127" i="5"/>
  <c r="L127" i="5"/>
  <c r="M127" i="5"/>
  <c r="N127" i="5"/>
  <c r="O127" i="5"/>
  <c r="P127" i="5"/>
  <c r="Q127" i="5"/>
  <c r="R127" i="5"/>
  <c r="S127" i="5"/>
  <c r="T127" i="5"/>
  <c r="U127" i="5"/>
  <c r="V127" i="5"/>
  <c r="W127" i="5"/>
  <c r="X127" i="5"/>
  <c r="Y127" i="5"/>
  <c r="Z127" i="5"/>
  <c r="AA127" i="5"/>
  <c r="AB127" i="5"/>
  <c r="AC127" i="5"/>
  <c r="AD127" i="5"/>
  <c r="AE127" i="5"/>
  <c r="AF127" i="5"/>
  <c r="AG127" i="5"/>
  <c r="AH127" i="5"/>
  <c r="AI127" i="5"/>
  <c r="AJ127" i="5"/>
  <c r="AK127" i="5"/>
  <c r="AL127" i="5"/>
  <c r="AM127" i="5"/>
  <c r="D128" i="5"/>
  <c r="H128" i="5"/>
  <c r="I128" i="5"/>
  <c r="J128" i="5"/>
  <c r="K128" i="5"/>
  <c r="L128" i="5"/>
  <c r="M128" i="5"/>
  <c r="N128" i="5"/>
  <c r="O128" i="5"/>
  <c r="P128" i="5"/>
  <c r="Q128" i="5"/>
  <c r="R128" i="5"/>
  <c r="S128" i="5"/>
  <c r="T128" i="5"/>
  <c r="U128" i="5"/>
  <c r="V128" i="5"/>
  <c r="W128" i="5"/>
  <c r="X128" i="5"/>
  <c r="Y128" i="5"/>
  <c r="Z128" i="5"/>
  <c r="AA128" i="5"/>
  <c r="AB128" i="5"/>
  <c r="AC128" i="5"/>
  <c r="AD128" i="5"/>
  <c r="AE128" i="5"/>
  <c r="AF128" i="5"/>
  <c r="AG128" i="5"/>
  <c r="AH128" i="5"/>
  <c r="AI128" i="5"/>
  <c r="AJ128" i="5"/>
  <c r="AK128" i="5"/>
  <c r="AL128" i="5"/>
  <c r="AM128" i="5"/>
  <c r="D129" i="5"/>
  <c r="H129" i="5"/>
  <c r="I129" i="5"/>
  <c r="J129" i="5"/>
  <c r="K129" i="5"/>
  <c r="L129" i="5"/>
  <c r="M129" i="5"/>
  <c r="N129" i="5"/>
  <c r="O129" i="5"/>
  <c r="P129" i="5"/>
  <c r="Q129" i="5"/>
  <c r="R129" i="5"/>
  <c r="S129" i="5"/>
  <c r="T129" i="5"/>
  <c r="U129" i="5"/>
  <c r="V129" i="5"/>
  <c r="W129" i="5"/>
  <c r="X129" i="5"/>
  <c r="Y129" i="5"/>
  <c r="Z129" i="5"/>
  <c r="AA129" i="5"/>
  <c r="AB129" i="5"/>
  <c r="AC129" i="5"/>
  <c r="AD129" i="5"/>
  <c r="AE129" i="5"/>
  <c r="AF129" i="5"/>
  <c r="AG129" i="5"/>
  <c r="AH129" i="5"/>
  <c r="AI129" i="5"/>
  <c r="AJ129" i="5"/>
  <c r="AK129" i="5"/>
  <c r="AL129" i="5"/>
  <c r="AM129" i="5"/>
  <c r="D130" i="5"/>
  <c r="H130" i="5"/>
  <c r="I130" i="5"/>
  <c r="J130" i="5"/>
  <c r="K130" i="5"/>
  <c r="L130" i="5"/>
  <c r="M130" i="5"/>
  <c r="N130" i="5"/>
  <c r="O130" i="5"/>
  <c r="P130" i="5"/>
  <c r="Q130" i="5"/>
  <c r="R130" i="5"/>
  <c r="S130" i="5"/>
  <c r="T130" i="5"/>
  <c r="U130" i="5"/>
  <c r="V130" i="5"/>
  <c r="W130" i="5"/>
  <c r="X130" i="5"/>
  <c r="Y130" i="5"/>
  <c r="Z130" i="5"/>
  <c r="AA130" i="5"/>
  <c r="AB130" i="5"/>
  <c r="AC130" i="5"/>
  <c r="AD130" i="5"/>
  <c r="AE130" i="5"/>
  <c r="AF130" i="5"/>
  <c r="AG130" i="5"/>
  <c r="AH130" i="5"/>
  <c r="AI130" i="5"/>
  <c r="AJ130" i="5"/>
  <c r="AK130" i="5"/>
  <c r="AL130" i="5"/>
  <c r="AM130" i="5"/>
  <c r="D131" i="5"/>
  <c r="H131" i="5"/>
  <c r="I131" i="5"/>
  <c r="J131" i="5"/>
  <c r="K131" i="5"/>
  <c r="L131" i="5"/>
  <c r="M131" i="5"/>
  <c r="N131" i="5"/>
  <c r="O131" i="5"/>
  <c r="P131" i="5"/>
  <c r="Q131" i="5"/>
  <c r="R131" i="5"/>
  <c r="S131" i="5"/>
  <c r="T131" i="5"/>
  <c r="U131" i="5"/>
  <c r="V131" i="5"/>
  <c r="W131" i="5"/>
  <c r="X131" i="5"/>
  <c r="Y131" i="5"/>
  <c r="Z131" i="5"/>
  <c r="AA131" i="5"/>
  <c r="AB131" i="5"/>
  <c r="AC131" i="5"/>
  <c r="AD131" i="5"/>
  <c r="AE131" i="5"/>
  <c r="AF131" i="5"/>
  <c r="AG131" i="5"/>
  <c r="AH131" i="5"/>
  <c r="AI131" i="5"/>
  <c r="AJ131" i="5"/>
  <c r="AK131" i="5"/>
  <c r="AL131" i="5"/>
  <c r="AM131" i="5"/>
  <c r="D132" i="5"/>
  <c r="H132" i="5"/>
  <c r="I132" i="5"/>
  <c r="J132" i="5"/>
  <c r="K132" i="5"/>
  <c r="L132" i="5"/>
  <c r="M132" i="5"/>
  <c r="N132" i="5"/>
  <c r="O132" i="5"/>
  <c r="P132" i="5"/>
  <c r="Q132" i="5"/>
  <c r="R132" i="5"/>
  <c r="S132" i="5"/>
  <c r="T132" i="5"/>
  <c r="U132" i="5"/>
  <c r="V132" i="5"/>
  <c r="W132" i="5"/>
  <c r="X132" i="5"/>
  <c r="Y132" i="5"/>
  <c r="Z132" i="5"/>
  <c r="AA132" i="5"/>
  <c r="AB132" i="5"/>
  <c r="AC132" i="5"/>
  <c r="AD132" i="5"/>
  <c r="AE132" i="5"/>
  <c r="AF132" i="5"/>
  <c r="AG132" i="5"/>
  <c r="AH132" i="5"/>
  <c r="AI132" i="5"/>
  <c r="AJ132" i="5"/>
  <c r="AK132" i="5"/>
  <c r="AL132" i="5"/>
  <c r="AM132" i="5"/>
  <c r="D133" i="5"/>
  <c r="H133" i="5"/>
  <c r="I133" i="5"/>
  <c r="J133" i="5"/>
  <c r="K133" i="5"/>
  <c r="L133" i="5"/>
  <c r="M133" i="5"/>
  <c r="N133" i="5"/>
  <c r="O133" i="5"/>
  <c r="P133" i="5"/>
  <c r="Q133" i="5"/>
  <c r="R133" i="5"/>
  <c r="S133" i="5"/>
  <c r="T133" i="5"/>
  <c r="U133" i="5"/>
  <c r="V133" i="5"/>
  <c r="W133" i="5"/>
  <c r="X133" i="5"/>
  <c r="Y133" i="5"/>
  <c r="Z133" i="5"/>
  <c r="AA133" i="5"/>
  <c r="AB133" i="5"/>
  <c r="AC133" i="5"/>
  <c r="AD133" i="5"/>
  <c r="AE133" i="5"/>
  <c r="AF133" i="5"/>
  <c r="AG133" i="5"/>
  <c r="AH133" i="5"/>
  <c r="AI133" i="5"/>
  <c r="AJ133" i="5"/>
  <c r="AK133" i="5"/>
  <c r="AL133" i="5"/>
  <c r="AM133" i="5"/>
  <c r="D134" i="5"/>
  <c r="H134" i="5"/>
  <c r="I134" i="5"/>
  <c r="J134" i="5"/>
  <c r="K134" i="5"/>
  <c r="L134" i="5"/>
  <c r="M134" i="5"/>
  <c r="N134" i="5"/>
  <c r="O134" i="5"/>
  <c r="P134" i="5"/>
  <c r="Q134" i="5"/>
  <c r="R134" i="5"/>
  <c r="S134" i="5"/>
  <c r="T134" i="5"/>
  <c r="U134" i="5"/>
  <c r="V134" i="5"/>
  <c r="W134" i="5"/>
  <c r="X134" i="5"/>
  <c r="Y134" i="5"/>
  <c r="Z134" i="5"/>
  <c r="AA134" i="5"/>
  <c r="AB134" i="5"/>
  <c r="AC134" i="5"/>
  <c r="AD134" i="5"/>
  <c r="AE134" i="5"/>
  <c r="AF134" i="5"/>
  <c r="AG134" i="5"/>
  <c r="AH134" i="5"/>
  <c r="AI134" i="5"/>
  <c r="AJ134" i="5"/>
  <c r="AK134" i="5"/>
  <c r="AL134" i="5"/>
  <c r="AM134" i="5"/>
  <c r="D135" i="5"/>
  <c r="H135" i="5"/>
  <c r="I135" i="5"/>
  <c r="J135" i="5"/>
  <c r="K135" i="5"/>
  <c r="L135" i="5"/>
  <c r="M135" i="5"/>
  <c r="N135" i="5"/>
  <c r="O135" i="5"/>
  <c r="P135" i="5"/>
  <c r="Q135" i="5"/>
  <c r="R135" i="5"/>
  <c r="S135" i="5"/>
  <c r="T135" i="5"/>
  <c r="U135" i="5"/>
  <c r="V135" i="5"/>
  <c r="W135" i="5"/>
  <c r="X135" i="5"/>
  <c r="Y135" i="5"/>
  <c r="Z135" i="5"/>
  <c r="AA135" i="5"/>
  <c r="AB135" i="5"/>
  <c r="AC135" i="5"/>
  <c r="AD135" i="5"/>
  <c r="AE135" i="5"/>
  <c r="AF135" i="5"/>
  <c r="AG135" i="5"/>
  <c r="AH135" i="5"/>
  <c r="AI135" i="5"/>
  <c r="AJ135" i="5"/>
  <c r="AK135" i="5"/>
  <c r="AL135" i="5"/>
  <c r="AM135" i="5"/>
  <c r="D136" i="5"/>
  <c r="H136" i="5"/>
  <c r="I136" i="5"/>
  <c r="J136" i="5"/>
  <c r="K136" i="5"/>
  <c r="L136" i="5"/>
  <c r="M136" i="5"/>
  <c r="N136" i="5"/>
  <c r="O136" i="5"/>
  <c r="P136" i="5"/>
  <c r="Q136" i="5"/>
  <c r="R136" i="5"/>
  <c r="S136" i="5"/>
  <c r="T136" i="5"/>
  <c r="U136" i="5"/>
  <c r="V136" i="5"/>
  <c r="W136" i="5"/>
  <c r="X136" i="5"/>
  <c r="Y136" i="5"/>
  <c r="Z136" i="5"/>
  <c r="AA136" i="5"/>
  <c r="AB136" i="5"/>
  <c r="AC136" i="5"/>
  <c r="AD136" i="5"/>
  <c r="AE136" i="5"/>
  <c r="AF136" i="5"/>
  <c r="AG136" i="5"/>
  <c r="AH136" i="5"/>
  <c r="AI136" i="5"/>
  <c r="AJ136" i="5"/>
  <c r="AK136" i="5"/>
  <c r="AL136" i="5"/>
  <c r="AM136" i="5"/>
  <c r="D137" i="5"/>
  <c r="H137" i="5"/>
  <c r="I137" i="5"/>
  <c r="J137" i="5"/>
  <c r="K137" i="5"/>
  <c r="L137" i="5"/>
  <c r="M137" i="5"/>
  <c r="N137" i="5"/>
  <c r="O137" i="5"/>
  <c r="P137" i="5"/>
  <c r="Q137" i="5"/>
  <c r="R137" i="5"/>
  <c r="S137" i="5"/>
  <c r="T137" i="5"/>
  <c r="U137" i="5"/>
  <c r="V137" i="5"/>
  <c r="W137" i="5"/>
  <c r="X137" i="5"/>
  <c r="Y137" i="5"/>
  <c r="Z137" i="5"/>
  <c r="AA137" i="5"/>
  <c r="AB137" i="5"/>
  <c r="AC137" i="5"/>
  <c r="AD137" i="5"/>
  <c r="AE137" i="5"/>
  <c r="AF137" i="5"/>
  <c r="AG137" i="5"/>
  <c r="AH137" i="5"/>
  <c r="AI137" i="5"/>
  <c r="AJ137" i="5"/>
  <c r="AK137" i="5"/>
  <c r="AL137" i="5"/>
  <c r="AM137" i="5"/>
  <c r="D138" i="5"/>
  <c r="H138" i="5"/>
  <c r="I138" i="5"/>
  <c r="J138" i="5"/>
  <c r="K138" i="5"/>
  <c r="L138" i="5"/>
  <c r="M138" i="5"/>
  <c r="N138" i="5"/>
  <c r="O138" i="5"/>
  <c r="P138" i="5"/>
  <c r="Q138" i="5"/>
  <c r="R138" i="5"/>
  <c r="S138" i="5"/>
  <c r="T138" i="5"/>
  <c r="U138" i="5"/>
  <c r="V138" i="5"/>
  <c r="W138" i="5"/>
  <c r="X138" i="5"/>
  <c r="Y138" i="5"/>
  <c r="Z138" i="5"/>
  <c r="AA138" i="5"/>
  <c r="AB138" i="5"/>
  <c r="AC138" i="5"/>
  <c r="AD138" i="5"/>
  <c r="AE138" i="5"/>
  <c r="AF138" i="5"/>
  <c r="AG138" i="5"/>
  <c r="AH138" i="5"/>
  <c r="AI138" i="5"/>
  <c r="AJ138" i="5"/>
  <c r="AK138" i="5"/>
  <c r="AL138" i="5"/>
  <c r="AM138" i="5"/>
  <c r="D139" i="5"/>
  <c r="H139" i="5"/>
  <c r="I139" i="5"/>
  <c r="J139" i="5"/>
  <c r="K139" i="5"/>
  <c r="L139" i="5"/>
  <c r="M139" i="5"/>
  <c r="N139" i="5"/>
  <c r="O139" i="5"/>
  <c r="P139" i="5"/>
  <c r="Q139" i="5"/>
  <c r="R139" i="5"/>
  <c r="S139" i="5"/>
  <c r="T139" i="5"/>
  <c r="U139" i="5"/>
  <c r="V139" i="5"/>
  <c r="W139" i="5"/>
  <c r="X139" i="5"/>
  <c r="Y139" i="5"/>
  <c r="Z139" i="5"/>
  <c r="AA139" i="5"/>
  <c r="AB139" i="5"/>
  <c r="AC139" i="5"/>
  <c r="AD139" i="5"/>
  <c r="AE139" i="5"/>
  <c r="AF139" i="5"/>
  <c r="AG139" i="5"/>
  <c r="AH139" i="5"/>
  <c r="AI139" i="5"/>
  <c r="AJ139" i="5"/>
  <c r="AK139" i="5"/>
  <c r="AL139" i="5"/>
  <c r="AM139" i="5"/>
  <c r="D140" i="5"/>
  <c r="H140" i="5"/>
  <c r="I140" i="5"/>
  <c r="J140" i="5"/>
  <c r="K140" i="5"/>
  <c r="L140" i="5"/>
  <c r="M140" i="5"/>
  <c r="N140" i="5"/>
  <c r="O140" i="5"/>
  <c r="P140" i="5"/>
  <c r="Q140" i="5"/>
  <c r="R140" i="5"/>
  <c r="S140" i="5"/>
  <c r="T140" i="5"/>
  <c r="U140" i="5"/>
  <c r="V140" i="5"/>
  <c r="W140" i="5"/>
  <c r="X140" i="5"/>
  <c r="Y140" i="5"/>
  <c r="Z140" i="5"/>
  <c r="AA140" i="5"/>
  <c r="AB140" i="5"/>
  <c r="AC140" i="5"/>
  <c r="AD140" i="5"/>
  <c r="AE140" i="5"/>
  <c r="AF140" i="5"/>
  <c r="AG140" i="5"/>
  <c r="AH140" i="5"/>
  <c r="AI140" i="5"/>
  <c r="AJ140" i="5"/>
  <c r="AK140" i="5"/>
  <c r="AL140" i="5"/>
  <c r="AM140" i="5"/>
  <c r="D141" i="5"/>
  <c r="H141" i="5"/>
  <c r="I141" i="5"/>
  <c r="J141" i="5"/>
  <c r="K141" i="5"/>
  <c r="L141" i="5"/>
  <c r="M141" i="5"/>
  <c r="N141" i="5"/>
  <c r="O141" i="5"/>
  <c r="P141" i="5"/>
  <c r="Q141" i="5"/>
  <c r="R141" i="5"/>
  <c r="S141" i="5"/>
  <c r="T141" i="5"/>
  <c r="U141" i="5"/>
  <c r="V141" i="5"/>
  <c r="W141" i="5"/>
  <c r="X141" i="5"/>
  <c r="Y141" i="5"/>
  <c r="Z141" i="5"/>
  <c r="AA141" i="5"/>
  <c r="AB141" i="5"/>
  <c r="AC141" i="5"/>
  <c r="AD141" i="5"/>
  <c r="AE141" i="5"/>
  <c r="AF141" i="5"/>
  <c r="AG141" i="5"/>
  <c r="AH141" i="5"/>
  <c r="AI141" i="5"/>
  <c r="AJ141" i="5"/>
  <c r="AK141" i="5"/>
  <c r="AL141" i="5"/>
  <c r="AM141" i="5"/>
  <c r="D142" i="5"/>
  <c r="H142" i="5"/>
  <c r="I142" i="5"/>
  <c r="J142" i="5"/>
  <c r="K142" i="5"/>
  <c r="L142" i="5"/>
  <c r="M142" i="5"/>
  <c r="N142" i="5"/>
  <c r="O142" i="5"/>
  <c r="P142" i="5"/>
  <c r="Q142" i="5"/>
  <c r="R142" i="5"/>
  <c r="S142" i="5"/>
  <c r="T142" i="5"/>
  <c r="U142" i="5"/>
  <c r="V142" i="5"/>
  <c r="W142" i="5"/>
  <c r="X142" i="5"/>
  <c r="Y142" i="5"/>
  <c r="Z142" i="5"/>
  <c r="AA142" i="5"/>
  <c r="AB142" i="5"/>
  <c r="AC142" i="5"/>
  <c r="AD142" i="5"/>
  <c r="AE142" i="5"/>
  <c r="AF142" i="5"/>
  <c r="AG142" i="5"/>
  <c r="AH142" i="5"/>
  <c r="AI142" i="5"/>
  <c r="AJ142" i="5"/>
  <c r="AK142" i="5"/>
  <c r="AL142" i="5"/>
  <c r="AM142" i="5"/>
  <c r="D143" i="5"/>
  <c r="H143" i="5"/>
  <c r="I143" i="5"/>
  <c r="J143" i="5"/>
  <c r="K143" i="5"/>
  <c r="L143" i="5"/>
  <c r="M143" i="5"/>
  <c r="N143" i="5"/>
  <c r="O143" i="5"/>
  <c r="P143" i="5"/>
  <c r="Q143" i="5"/>
  <c r="R143" i="5"/>
  <c r="S143" i="5"/>
  <c r="T143" i="5"/>
  <c r="U143" i="5"/>
  <c r="V143" i="5"/>
  <c r="W143" i="5"/>
  <c r="X143" i="5"/>
  <c r="Y143" i="5"/>
  <c r="Z143" i="5"/>
  <c r="AA143" i="5"/>
  <c r="AB143" i="5"/>
  <c r="AC143" i="5"/>
  <c r="AD143" i="5"/>
  <c r="AE143" i="5"/>
  <c r="AF143" i="5"/>
  <c r="AG143" i="5"/>
  <c r="AH143" i="5"/>
  <c r="AI143" i="5"/>
  <c r="AJ143" i="5"/>
  <c r="AK143" i="5"/>
  <c r="AL143" i="5"/>
  <c r="AM143" i="5"/>
  <c r="D144" i="5"/>
  <c r="H144" i="5"/>
  <c r="I144" i="5"/>
  <c r="J144" i="5"/>
  <c r="K144" i="5"/>
  <c r="L144" i="5"/>
  <c r="M144" i="5"/>
  <c r="N144" i="5"/>
  <c r="O144" i="5"/>
  <c r="P144" i="5"/>
  <c r="Q144" i="5"/>
  <c r="R144" i="5"/>
  <c r="S144" i="5"/>
  <c r="T144" i="5"/>
  <c r="U144" i="5"/>
  <c r="V144" i="5"/>
  <c r="W144" i="5"/>
  <c r="X144" i="5"/>
  <c r="Y144" i="5"/>
  <c r="Z144" i="5"/>
  <c r="AA144" i="5"/>
  <c r="AB144" i="5"/>
  <c r="AC144" i="5"/>
  <c r="AD144" i="5"/>
  <c r="AE144" i="5"/>
  <c r="AF144" i="5"/>
  <c r="AG144" i="5"/>
  <c r="AH144" i="5"/>
  <c r="AI144" i="5"/>
  <c r="AJ144" i="5"/>
  <c r="AK144" i="5"/>
  <c r="AL144" i="5"/>
  <c r="AM144" i="5"/>
  <c r="D145" i="5"/>
  <c r="H145" i="5"/>
  <c r="I145" i="5"/>
  <c r="J145" i="5"/>
  <c r="K145" i="5"/>
  <c r="L145" i="5"/>
  <c r="M145" i="5"/>
  <c r="N145" i="5"/>
  <c r="O145" i="5"/>
  <c r="P145" i="5"/>
  <c r="Q145" i="5"/>
  <c r="R145" i="5"/>
  <c r="S145" i="5"/>
  <c r="T145" i="5"/>
  <c r="U145" i="5"/>
  <c r="V145" i="5"/>
  <c r="W145" i="5"/>
  <c r="X145" i="5"/>
  <c r="Y145" i="5"/>
  <c r="Z145" i="5"/>
  <c r="AA145" i="5"/>
  <c r="AB145" i="5"/>
  <c r="AC145" i="5"/>
  <c r="AD145" i="5"/>
  <c r="AE145" i="5"/>
  <c r="AF145" i="5"/>
  <c r="AG145" i="5"/>
  <c r="AH145" i="5"/>
  <c r="AI145" i="5"/>
  <c r="AJ145" i="5"/>
  <c r="AK145" i="5"/>
  <c r="AL145" i="5"/>
  <c r="AM145" i="5"/>
  <c r="D146" i="5"/>
  <c r="H146" i="5"/>
  <c r="I146" i="5"/>
  <c r="J146" i="5"/>
  <c r="K146" i="5"/>
  <c r="L146" i="5"/>
  <c r="M146" i="5"/>
  <c r="N146" i="5"/>
  <c r="O146" i="5"/>
  <c r="P146" i="5"/>
  <c r="Q146" i="5"/>
  <c r="R146" i="5"/>
  <c r="S146" i="5"/>
  <c r="T146" i="5"/>
  <c r="U146" i="5"/>
  <c r="V146" i="5"/>
  <c r="W146" i="5"/>
  <c r="X146" i="5"/>
  <c r="Y146" i="5"/>
  <c r="Z146" i="5"/>
  <c r="AA146" i="5"/>
  <c r="AB146" i="5"/>
  <c r="AC146" i="5"/>
  <c r="AD146" i="5"/>
  <c r="AE146" i="5"/>
  <c r="AF146" i="5"/>
  <c r="AG146" i="5"/>
  <c r="AH146" i="5"/>
  <c r="AI146" i="5"/>
  <c r="AJ146" i="5"/>
  <c r="AK146" i="5"/>
  <c r="AL146" i="5"/>
  <c r="AM146" i="5"/>
  <c r="D147" i="5"/>
  <c r="H147" i="5"/>
  <c r="I147" i="5"/>
  <c r="J147" i="5"/>
  <c r="K147" i="5"/>
  <c r="L147" i="5"/>
  <c r="M147" i="5"/>
  <c r="N147" i="5"/>
  <c r="O147" i="5"/>
  <c r="P147" i="5"/>
  <c r="Q147" i="5"/>
  <c r="R147" i="5"/>
  <c r="S147" i="5"/>
  <c r="T147" i="5"/>
  <c r="U147" i="5"/>
  <c r="V147" i="5"/>
  <c r="W147" i="5"/>
  <c r="X147" i="5"/>
  <c r="Y147" i="5"/>
  <c r="Z147" i="5"/>
  <c r="AA147" i="5"/>
  <c r="AB147" i="5"/>
  <c r="AC147" i="5"/>
  <c r="AD147" i="5"/>
  <c r="AE147" i="5"/>
  <c r="AF147" i="5"/>
  <c r="AG147" i="5"/>
  <c r="AH147" i="5"/>
  <c r="AI147" i="5"/>
  <c r="AJ147" i="5"/>
  <c r="AK147" i="5"/>
  <c r="AL147" i="5"/>
  <c r="AM147" i="5"/>
  <c r="D148" i="5"/>
  <c r="H148" i="5"/>
  <c r="I148" i="5"/>
  <c r="J148" i="5"/>
  <c r="K148" i="5"/>
  <c r="L148" i="5"/>
  <c r="M148" i="5"/>
  <c r="N148" i="5"/>
  <c r="O148" i="5"/>
  <c r="P148" i="5"/>
  <c r="Q148" i="5"/>
  <c r="R148" i="5"/>
  <c r="S148" i="5"/>
  <c r="T148" i="5"/>
  <c r="U148" i="5"/>
  <c r="V148" i="5"/>
  <c r="W148" i="5"/>
  <c r="X148" i="5"/>
  <c r="Y148" i="5"/>
  <c r="Z148" i="5"/>
  <c r="AA148" i="5"/>
  <c r="AB148" i="5"/>
  <c r="AC148" i="5"/>
  <c r="AD148" i="5"/>
  <c r="AE148" i="5"/>
  <c r="AF148" i="5"/>
  <c r="AG148" i="5"/>
  <c r="AH148" i="5"/>
  <c r="AI148" i="5"/>
  <c r="AJ148" i="5"/>
  <c r="AK148" i="5"/>
  <c r="AL148" i="5"/>
  <c r="AM148" i="5"/>
  <c r="D149" i="5"/>
  <c r="H149" i="5"/>
  <c r="I149" i="5"/>
  <c r="J149" i="5"/>
  <c r="K149" i="5"/>
  <c r="L149" i="5"/>
  <c r="M149" i="5"/>
  <c r="N149" i="5"/>
  <c r="O149" i="5"/>
  <c r="P149" i="5"/>
  <c r="Q149" i="5"/>
  <c r="R149" i="5"/>
  <c r="S149" i="5"/>
  <c r="T149" i="5"/>
  <c r="U149" i="5"/>
  <c r="V149" i="5"/>
  <c r="W149" i="5"/>
  <c r="X149" i="5"/>
  <c r="Y149" i="5"/>
  <c r="Z149" i="5"/>
  <c r="AA149" i="5"/>
  <c r="AB149" i="5"/>
  <c r="AC149" i="5"/>
  <c r="AD149" i="5"/>
  <c r="AE149" i="5"/>
  <c r="AF149" i="5"/>
  <c r="AG149" i="5"/>
  <c r="AH149" i="5"/>
  <c r="AI149" i="5"/>
  <c r="AJ149" i="5"/>
  <c r="AK149" i="5"/>
  <c r="AL149" i="5"/>
  <c r="AM149" i="5"/>
  <c r="D150" i="5"/>
  <c r="H150" i="5"/>
  <c r="I150" i="5"/>
  <c r="J150" i="5"/>
  <c r="K150" i="5"/>
  <c r="L150" i="5"/>
  <c r="M150" i="5"/>
  <c r="N150" i="5"/>
  <c r="O150" i="5"/>
  <c r="P150" i="5"/>
  <c r="Q150" i="5"/>
  <c r="R150" i="5"/>
  <c r="S150" i="5"/>
  <c r="T150" i="5"/>
  <c r="U150" i="5"/>
  <c r="V150" i="5"/>
  <c r="W150" i="5"/>
  <c r="X150" i="5"/>
  <c r="Y150" i="5"/>
  <c r="Z150" i="5"/>
  <c r="AA150" i="5"/>
  <c r="AB150" i="5"/>
  <c r="AC150" i="5"/>
  <c r="AD150" i="5"/>
  <c r="AE150" i="5"/>
  <c r="AF150" i="5"/>
  <c r="AG150" i="5"/>
  <c r="AH150" i="5"/>
  <c r="AI150" i="5"/>
  <c r="AJ150" i="5"/>
  <c r="AK150" i="5"/>
  <c r="AL150" i="5"/>
  <c r="AM150" i="5"/>
  <c r="D151" i="5"/>
  <c r="H151" i="5"/>
  <c r="I151" i="5"/>
  <c r="J151" i="5"/>
  <c r="K151" i="5"/>
  <c r="L151" i="5"/>
  <c r="M151" i="5"/>
  <c r="N151" i="5"/>
  <c r="O151" i="5"/>
  <c r="P151" i="5"/>
  <c r="Q151" i="5"/>
  <c r="R151" i="5"/>
  <c r="S151" i="5"/>
  <c r="T151" i="5"/>
  <c r="U151" i="5"/>
  <c r="V151" i="5"/>
  <c r="W151" i="5"/>
  <c r="X151" i="5"/>
  <c r="Y151" i="5"/>
  <c r="Z151" i="5"/>
  <c r="AA151" i="5"/>
  <c r="AB151" i="5"/>
  <c r="AC151" i="5"/>
  <c r="AD151" i="5"/>
  <c r="AE151" i="5"/>
  <c r="AF151" i="5"/>
  <c r="AG151" i="5"/>
  <c r="AH151" i="5"/>
  <c r="AI151" i="5"/>
  <c r="AJ151" i="5"/>
  <c r="AK151" i="5"/>
  <c r="AL151" i="5"/>
  <c r="AM151" i="5"/>
  <c r="D152" i="5"/>
  <c r="H152" i="5"/>
  <c r="I152" i="5"/>
  <c r="J152" i="5"/>
  <c r="K152" i="5"/>
  <c r="L152" i="5"/>
  <c r="M152" i="5"/>
  <c r="N152" i="5"/>
  <c r="O152" i="5"/>
  <c r="P152" i="5"/>
  <c r="Q152" i="5"/>
  <c r="R152" i="5"/>
  <c r="S152" i="5"/>
  <c r="T152" i="5"/>
  <c r="U152" i="5"/>
  <c r="V152" i="5"/>
  <c r="W152" i="5"/>
  <c r="X152" i="5"/>
  <c r="Y152" i="5"/>
  <c r="Z152" i="5"/>
  <c r="AA152" i="5"/>
  <c r="AB152" i="5"/>
  <c r="AC152" i="5"/>
  <c r="AD152" i="5"/>
  <c r="AE152" i="5"/>
  <c r="AF152" i="5"/>
  <c r="AG152" i="5"/>
  <c r="AH152" i="5"/>
  <c r="AI152" i="5"/>
  <c r="AJ152" i="5"/>
  <c r="AK152" i="5"/>
  <c r="AL152" i="5"/>
  <c r="AM152" i="5"/>
  <c r="D153" i="5"/>
  <c r="H153" i="5"/>
  <c r="I153" i="5"/>
  <c r="J153" i="5"/>
  <c r="K153" i="5"/>
  <c r="L153" i="5"/>
  <c r="M153" i="5"/>
  <c r="N153" i="5"/>
  <c r="O153" i="5"/>
  <c r="P153" i="5"/>
  <c r="Q153" i="5"/>
  <c r="R153" i="5"/>
  <c r="S153" i="5"/>
  <c r="T153" i="5"/>
  <c r="U153" i="5"/>
  <c r="V153" i="5"/>
  <c r="W153" i="5"/>
  <c r="X153" i="5"/>
  <c r="Y153" i="5"/>
  <c r="Z153" i="5"/>
  <c r="AA153" i="5"/>
  <c r="AB153" i="5"/>
  <c r="AC153" i="5"/>
  <c r="AD153" i="5"/>
  <c r="AE153" i="5"/>
  <c r="AF153" i="5"/>
  <c r="AG153" i="5"/>
  <c r="AH153" i="5"/>
  <c r="AI153" i="5"/>
  <c r="AJ153" i="5"/>
  <c r="AK153" i="5"/>
  <c r="AL153" i="5"/>
  <c r="AM153" i="5"/>
  <c r="D154" i="5"/>
  <c r="H154" i="5"/>
  <c r="I154" i="5"/>
  <c r="J154" i="5"/>
  <c r="K154" i="5"/>
  <c r="L154" i="5"/>
  <c r="M154" i="5"/>
  <c r="N154" i="5"/>
  <c r="O154" i="5"/>
  <c r="P154" i="5"/>
  <c r="Q154" i="5"/>
  <c r="R154" i="5"/>
  <c r="S154" i="5"/>
  <c r="T154" i="5"/>
  <c r="U154" i="5"/>
  <c r="V154" i="5"/>
  <c r="W154" i="5"/>
  <c r="X154" i="5"/>
  <c r="Y154" i="5"/>
  <c r="Z154" i="5"/>
  <c r="AA154" i="5"/>
  <c r="AB154" i="5"/>
  <c r="AC154" i="5"/>
  <c r="AD154" i="5"/>
  <c r="AE154" i="5"/>
  <c r="AF154" i="5"/>
  <c r="AG154" i="5"/>
  <c r="AH154" i="5"/>
  <c r="AI154" i="5"/>
  <c r="AJ154" i="5"/>
  <c r="AK154" i="5"/>
  <c r="AL154" i="5"/>
  <c r="AM154" i="5"/>
  <c r="D155" i="5"/>
  <c r="H155" i="5"/>
  <c r="I155" i="5"/>
  <c r="J155" i="5"/>
  <c r="K155" i="5"/>
  <c r="L155" i="5"/>
  <c r="M155" i="5"/>
  <c r="N155" i="5"/>
  <c r="O155" i="5"/>
  <c r="P155" i="5"/>
  <c r="Q155" i="5"/>
  <c r="R155" i="5"/>
  <c r="S155" i="5"/>
  <c r="T155" i="5"/>
  <c r="U155" i="5"/>
  <c r="V155" i="5"/>
  <c r="W155" i="5"/>
  <c r="X155" i="5"/>
  <c r="Y155" i="5"/>
  <c r="Z155" i="5"/>
  <c r="AA155" i="5"/>
  <c r="AB155" i="5"/>
  <c r="AC155" i="5"/>
  <c r="AD155" i="5"/>
  <c r="AE155" i="5"/>
  <c r="AF155" i="5"/>
  <c r="AG155" i="5"/>
  <c r="AH155" i="5"/>
  <c r="AI155" i="5"/>
  <c r="AJ155" i="5"/>
  <c r="AK155" i="5"/>
  <c r="AL155" i="5"/>
  <c r="AM155" i="5"/>
  <c r="D156" i="5"/>
  <c r="H156" i="5"/>
  <c r="I156" i="5"/>
  <c r="J156" i="5"/>
  <c r="K156" i="5"/>
  <c r="L156" i="5"/>
  <c r="M156" i="5"/>
  <c r="N156" i="5"/>
  <c r="O156" i="5"/>
  <c r="P156" i="5"/>
  <c r="Q156" i="5"/>
  <c r="R156" i="5"/>
  <c r="S156" i="5"/>
  <c r="T156" i="5"/>
  <c r="U156" i="5"/>
  <c r="V156" i="5"/>
  <c r="W156" i="5"/>
  <c r="X156" i="5"/>
  <c r="Y156" i="5"/>
  <c r="Z156" i="5"/>
  <c r="AA156" i="5"/>
  <c r="AB156" i="5"/>
  <c r="AC156" i="5"/>
  <c r="AD156" i="5"/>
  <c r="AE156" i="5"/>
  <c r="AF156" i="5"/>
  <c r="AG156" i="5"/>
  <c r="AH156" i="5"/>
  <c r="AI156" i="5"/>
  <c r="AJ156" i="5"/>
  <c r="AK156" i="5"/>
  <c r="AL156" i="5"/>
  <c r="AM156" i="5"/>
  <c r="D157" i="5"/>
  <c r="H157" i="5"/>
  <c r="I157" i="5"/>
  <c r="J157" i="5"/>
  <c r="K157" i="5"/>
  <c r="L157" i="5"/>
  <c r="M157" i="5"/>
  <c r="N157" i="5"/>
  <c r="O157" i="5"/>
  <c r="P157" i="5"/>
  <c r="Q157" i="5"/>
  <c r="R157" i="5"/>
  <c r="S157" i="5"/>
  <c r="T157" i="5"/>
  <c r="U157" i="5"/>
  <c r="V157" i="5"/>
  <c r="W157" i="5"/>
  <c r="X157" i="5"/>
  <c r="Y157" i="5"/>
  <c r="Z157" i="5"/>
  <c r="AA157" i="5"/>
  <c r="AB157" i="5"/>
  <c r="AC157" i="5"/>
  <c r="AD157" i="5"/>
  <c r="AE157" i="5"/>
  <c r="AF157" i="5"/>
  <c r="AG157" i="5"/>
  <c r="AH157" i="5"/>
  <c r="AI157" i="5"/>
  <c r="AJ157" i="5"/>
  <c r="AK157" i="5"/>
  <c r="AL157" i="5"/>
  <c r="AM157" i="5"/>
  <c r="D158" i="5"/>
  <c r="H158" i="5"/>
  <c r="I158" i="5"/>
  <c r="J158" i="5"/>
  <c r="K158" i="5"/>
  <c r="L158" i="5"/>
  <c r="M158" i="5"/>
  <c r="N158" i="5"/>
  <c r="O158" i="5"/>
  <c r="P158" i="5"/>
  <c r="Q158" i="5"/>
  <c r="R158" i="5"/>
  <c r="S158" i="5"/>
  <c r="T158" i="5"/>
  <c r="U158" i="5"/>
  <c r="V158" i="5"/>
  <c r="W158" i="5"/>
  <c r="X158" i="5"/>
  <c r="Y158" i="5"/>
  <c r="Z158" i="5"/>
  <c r="AA158" i="5"/>
  <c r="AB158" i="5"/>
  <c r="AC158" i="5"/>
  <c r="AD158" i="5"/>
  <c r="AE158" i="5"/>
  <c r="AF158" i="5"/>
  <c r="AG158" i="5"/>
  <c r="AH158" i="5"/>
  <c r="AI158" i="5"/>
  <c r="AJ158" i="5"/>
  <c r="AK158" i="5"/>
  <c r="AL158" i="5"/>
  <c r="AM158" i="5"/>
  <c r="D159" i="5"/>
  <c r="H159" i="5"/>
  <c r="I159" i="5"/>
  <c r="J159" i="5"/>
  <c r="K159" i="5"/>
  <c r="L159" i="5"/>
  <c r="M159" i="5"/>
  <c r="N159" i="5"/>
  <c r="O159" i="5"/>
  <c r="P159" i="5"/>
  <c r="Q159" i="5"/>
  <c r="R159" i="5"/>
  <c r="S159" i="5"/>
  <c r="T159" i="5"/>
  <c r="U159" i="5"/>
  <c r="V159" i="5"/>
  <c r="W159" i="5"/>
  <c r="X159" i="5"/>
  <c r="Y159" i="5"/>
  <c r="Z159" i="5"/>
  <c r="AA159" i="5"/>
  <c r="AB159" i="5"/>
  <c r="AC159" i="5"/>
  <c r="AD159" i="5"/>
  <c r="AE159" i="5"/>
  <c r="AF159" i="5"/>
  <c r="AG159" i="5"/>
  <c r="AH159" i="5"/>
  <c r="AI159" i="5"/>
  <c r="AJ159" i="5"/>
  <c r="AK159" i="5"/>
  <c r="AL159" i="5"/>
  <c r="AM159" i="5"/>
  <c r="D160" i="5"/>
  <c r="H160" i="5"/>
  <c r="I160" i="5"/>
  <c r="J160" i="5"/>
  <c r="K160" i="5"/>
  <c r="L160" i="5"/>
  <c r="M160" i="5"/>
  <c r="N160" i="5"/>
  <c r="O160" i="5"/>
  <c r="P160" i="5"/>
  <c r="Q160" i="5"/>
  <c r="R160" i="5"/>
  <c r="S160" i="5"/>
  <c r="T160" i="5"/>
  <c r="U160" i="5"/>
  <c r="V160" i="5"/>
  <c r="W160" i="5"/>
  <c r="X160" i="5"/>
  <c r="Y160" i="5"/>
  <c r="Z160" i="5"/>
  <c r="AA160" i="5"/>
  <c r="AB160" i="5"/>
  <c r="AC160" i="5"/>
  <c r="AD160" i="5"/>
  <c r="AE160" i="5"/>
  <c r="AF160" i="5"/>
  <c r="AG160" i="5"/>
  <c r="AH160" i="5"/>
  <c r="AI160" i="5"/>
  <c r="AJ160" i="5"/>
  <c r="AK160" i="5"/>
  <c r="AL160" i="5"/>
  <c r="AM160" i="5"/>
  <c r="D161" i="5"/>
  <c r="H161" i="5"/>
  <c r="I161" i="5"/>
  <c r="J161" i="5"/>
  <c r="K161" i="5"/>
  <c r="L161" i="5"/>
  <c r="M161" i="5"/>
  <c r="N161" i="5"/>
  <c r="O161" i="5"/>
  <c r="P161" i="5"/>
  <c r="Q161" i="5"/>
  <c r="R161" i="5"/>
  <c r="S161" i="5"/>
  <c r="T161" i="5"/>
  <c r="U161" i="5"/>
  <c r="V161" i="5"/>
  <c r="W161" i="5"/>
  <c r="X161" i="5"/>
  <c r="Y161" i="5"/>
  <c r="Z161" i="5"/>
  <c r="AA161" i="5"/>
  <c r="AB161" i="5"/>
  <c r="AC161" i="5"/>
  <c r="AD161" i="5"/>
  <c r="AE161" i="5"/>
  <c r="AF161" i="5"/>
  <c r="AG161" i="5"/>
  <c r="AH161" i="5"/>
  <c r="AI161" i="5"/>
  <c r="AJ161" i="5"/>
  <c r="AK161" i="5"/>
  <c r="AL161" i="5"/>
  <c r="AM161" i="5"/>
  <c r="D20" i="20" l="1"/>
  <c r="C20" i="20"/>
  <c r="B20" i="20"/>
  <c r="AG11" i="22"/>
  <c r="AH11" i="22"/>
  <c r="AI11" i="22"/>
  <c r="AG12" i="22"/>
  <c r="AH12" i="22"/>
  <c r="AI12" i="22"/>
  <c r="AG13" i="22"/>
  <c r="AH13" i="22"/>
  <c r="AI13" i="22"/>
  <c r="AG14" i="22"/>
  <c r="AH14" i="22"/>
  <c r="AI14" i="22"/>
  <c r="AK11" i="22"/>
  <c r="AL11" i="22"/>
  <c r="AM11" i="22"/>
  <c r="AK12" i="22"/>
  <c r="AL12" i="22"/>
  <c r="AM12" i="22"/>
  <c r="AK13" i="22"/>
  <c r="AL13" i="22"/>
  <c r="AM13" i="22"/>
  <c r="AK14" i="22"/>
  <c r="AL14" i="22"/>
  <c r="AM14" i="22"/>
  <c r="AJ14" i="22"/>
  <c r="AJ13" i="22"/>
  <c r="AJ12" i="22"/>
  <c r="AJ11" i="22"/>
  <c r="R40" i="22" l="1"/>
  <c r="Q40" i="22"/>
  <c r="P40" i="22"/>
  <c r="O40" i="22"/>
  <c r="N40" i="22"/>
  <c r="M40" i="22"/>
  <c r="L40" i="22"/>
  <c r="K40" i="22"/>
  <c r="J40" i="22"/>
  <c r="I40" i="22"/>
  <c r="B33" i="22" l="1"/>
  <c r="B31" i="22"/>
  <c r="D39" i="20" l="1"/>
  <c r="B39" i="20"/>
  <c r="L14" i="20" l="1"/>
  <c r="K14" i="20"/>
  <c r="H13" i="20"/>
  <c r="G13" i="20"/>
  <c r="F13" i="20"/>
  <c r="E13" i="20"/>
  <c r="D13" i="20"/>
  <c r="C13" i="20"/>
  <c r="B13" i="20"/>
  <c r="I13" i="20" l="1"/>
  <c r="J17" i="20" s="1"/>
  <c r="L17" i="20" s="1"/>
  <c r="E20" i="20"/>
  <c r="J20" i="20" s="1"/>
  <c r="L20" i="20" s="1"/>
  <c r="J19" i="20" l="1"/>
  <c r="L19" i="20" s="1"/>
  <c r="J16" i="20"/>
  <c r="L16" i="20" s="1"/>
  <c r="E35" i="22"/>
  <c r="E34" i="22"/>
  <c r="E33" i="22"/>
  <c r="E32" i="22"/>
  <c r="E31" i="22"/>
  <c r="D35" i="22"/>
  <c r="D34" i="22"/>
  <c r="D33" i="22"/>
  <c r="D32" i="22"/>
  <c r="V11" i="22"/>
  <c r="AB10" i="22"/>
  <c r="AA10" i="22"/>
  <c r="Z10" i="22"/>
  <c r="Y10" i="22"/>
  <c r="X10" i="22"/>
  <c r="W10" i="22"/>
  <c r="V10" i="22"/>
  <c r="AB9" i="22"/>
  <c r="AA9" i="22"/>
  <c r="Z9" i="22"/>
  <c r="Y9" i="22"/>
  <c r="X9" i="22"/>
  <c r="W9" i="22"/>
  <c r="V9" i="22"/>
  <c r="AB8" i="22"/>
  <c r="AA8" i="22"/>
  <c r="Z8" i="22"/>
  <c r="Y8" i="22"/>
  <c r="X8" i="22"/>
  <c r="W8" i="22"/>
  <c r="V8" i="22"/>
  <c r="AB7" i="22"/>
  <c r="AA7" i="22"/>
  <c r="Z7" i="22"/>
  <c r="X7" i="22"/>
  <c r="W7" i="22"/>
  <c r="V7" i="22"/>
  <c r="AD6" i="22"/>
  <c r="AC6" i="22"/>
  <c r="AA6" i="22"/>
  <c r="X6" i="22"/>
  <c r="V6" i="22"/>
  <c r="AE5" i="22"/>
  <c r="AE6" i="22" s="1"/>
  <c r="AD5" i="22"/>
  <c r="AC5" i="22"/>
  <c r="AB5" i="22"/>
  <c r="AB6" i="22" s="1"/>
  <c r="AA5" i="22"/>
  <c r="Z5" i="22"/>
  <c r="Z6" i="22" s="1"/>
  <c r="Y5" i="22"/>
  <c r="Y6" i="22" s="1"/>
  <c r="Y7" i="22" s="1"/>
  <c r="X5" i="22"/>
  <c r="W5" i="22"/>
  <c r="W6" i="22" s="1"/>
  <c r="V5" i="22"/>
  <c r="AB4" i="22"/>
  <c r="AA4" i="22"/>
  <c r="Z4" i="22"/>
  <c r="Y4" i="22"/>
  <c r="X4" i="22"/>
  <c r="W4" i="22"/>
  <c r="V4" i="22"/>
  <c r="AE3" i="22"/>
  <c r="AD3" i="22"/>
  <c r="AC3" i="22"/>
  <c r="AB3" i="22"/>
  <c r="AA3" i="22"/>
  <c r="Z3" i="22"/>
  <c r="Y3" i="22"/>
  <c r="X3" i="22"/>
  <c r="W3" i="22"/>
  <c r="V3" i="22"/>
  <c r="H16" i="22"/>
  <c r="D18" i="22"/>
  <c r="C18" i="22"/>
  <c r="B18" i="22"/>
  <c r="D17" i="22"/>
  <c r="C17" i="22"/>
  <c r="B17" i="22"/>
  <c r="H12" i="22"/>
  <c r="G12" i="22"/>
  <c r="F12" i="22"/>
  <c r="E12" i="22"/>
  <c r="D12" i="22"/>
  <c r="C12" i="22"/>
  <c r="B12" i="22"/>
  <c r="H11" i="22"/>
  <c r="G11" i="22"/>
  <c r="F11" i="22"/>
  <c r="E11" i="22"/>
  <c r="D11" i="22"/>
  <c r="C11" i="22"/>
  <c r="B11" i="22"/>
  <c r="H3" i="22"/>
  <c r="G3" i="22"/>
  <c r="F3" i="22"/>
  <c r="E3" i="22"/>
  <c r="D3" i="22"/>
  <c r="C3" i="22"/>
  <c r="B3" i="22"/>
  <c r="AM10" i="22"/>
  <c r="AL10" i="22"/>
  <c r="AK10" i="22"/>
  <c r="AJ10" i="22"/>
  <c r="AI10" i="22"/>
  <c r="AH10" i="22"/>
  <c r="AG10" i="22"/>
  <c r="AM9" i="22"/>
  <c r="AL9" i="22"/>
  <c r="AK9" i="22"/>
  <c r="AJ9" i="22"/>
  <c r="AI9" i="22"/>
  <c r="AH9" i="22"/>
  <c r="AG9" i="22"/>
  <c r="AM8" i="22"/>
  <c r="AL8" i="22"/>
  <c r="AK8" i="22"/>
  <c r="AJ8" i="22"/>
  <c r="AI8" i="22"/>
  <c r="AH8" i="22"/>
  <c r="AG8" i="22"/>
  <c r="AM7" i="22"/>
  <c r="AL7" i="22"/>
  <c r="AK7" i="22"/>
  <c r="AJ7" i="22"/>
  <c r="AI7" i="22"/>
  <c r="AH7" i="22"/>
  <c r="AG7" i="22"/>
  <c r="AM6" i="22"/>
  <c r="AL6" i="22"/>
  <c r="AK6" i="22"/>
  <c r="AJ6" i="22"/>
  <c r="AI6" i="22"/>
  <c r="AH6" i="22"/>
  <c r="AG6" i="22"/>
  <c r="AM5" i="22"/>
  <c r="AL5" i="22"/>
  <c r="AK5" i="22"/>
  <c r="AJ5" i="22"/>
  <c r="AI5" i="22"/>
  <c r="AH5" i="22"/>
  <c r="AG5" i="22"/>
  <c r="AM4" i="22"/>
  <c r="AL4" i="22"/>
  <c r="AK4" i="22"/>
  <c r="AJ4" i="22"/>
  <c r="AI4" i="22"/>
  <c r="AH4" i="22"/>
  <c r="AG4" i="22"/>
  <c r="AM3" i="22"/>
  <c r="AL3" i="22"/>
  <c r="AK3" i="22"/>
  <c r="AJ3" i="22"/>
  <c r="AI3" i="22"/>
  <c r="AH3" i="22"/>
  <c r="AG3" i="22"/>
  <c r="I12" i="22" l="1"/>
  <c r="E18" i="22"/>
  <c r="I11" i="22"/>
  <c r="E17" i="22"/>
  <c r="B32" i="22"/>
  <c r="C20" i="22"/>
  <c r="AJ92" i="5" l="1"/>
  <c r="AK92" i="5"/>
  <c r="AJ93" i="5"/>
  <c r="AK93" i="5"/>
  <c r="AJ94" i="5"/>
  <c r="AK94" i="5"/>
  <c r="AJ95" i="5"/>
  <c r="AK95" i="5"/>
  <c r="AJ96" i="5"/>
  <c r="AK96" i="5"/>
  <c r="AJ97" i="5"/>
  <c r="AK97" i="5"/>
  <c r="AJ98" i="5"/>
  <c r="AK98" i="5"/>
  <c r="AJ99" i="5"/>
  <c r="AK99" i="5"/>
  <c r="AJ100" i="5"/>
  <c r="AK100" i="5"/>
  <c r="AJ101" i="5"/>
  <c r="AK101" i="5"/>
  <c r="AJ102" i="5"/>
  <c r="AK102" i="5"/>
  <c r="AJ103" i="5"/>
  <c r="AK103" i="5"/>
  <c r="AJ104" i="5"/>
  <c r="AK104" i="5"/>
  <c r="AJ105" i="5"/>
  <c r="AK105" i="5"/>
  <c r="AJ106" i="5"/>
  <c r="AK106" i="5"/>
  <c r="AJ107" i="5"/>
  <c r="AK107" i="5"/>
  <c r="AJ108" i="5"/>
  <c r="AK108" i="5"/>
  <c r="AJ109" i="5"/>
  <c r="AK109" i="5"/>
  <c r="AJ110" i="5"/>
  <c r="AK110" i="5"/>
  <c r="AJ111" i="5"/>
  <c r="AK111" i="5"/>
  <c r="D162" i="5"/>
  <c r="H162" i="5"/>
  <c r="I162" i="5"/>
  <c r="J162" i="5"/>
  <c r="K162" i="5"/>
  <c r="L162" i="5"/>
  <c r="M162" i="5"/>
  <c r="N162" i="5"/>
  <c r="O162" i="5"/>
  <c r="P162" i="5"/>
  <c r="Q162" i="5"/>
  <c r="R162" i="5"/>
  <c r="S162" i="5"/>
  <c r="T162" i="5"/>
  <c r="U162" i="5"/>
  <c r="V162" i="5"/>
  <c r="W162" i="5"/>
  <c r="X162" i="5"/>
  <c r="Y162" i="5"/>
  <c r="Z162" i="5"/>
  <c r="AA162" i="5"/>
  <c r="AB162" i="5"/>
  <c r="AC162" i="5"/>
  <c r="AD162" i="5"/>
  <c r="AE162" i="5"/>
  <c r="AF162" i="5"/>
  <c r="AG162" i="5"/>
  <c r="AH162" i="5"/>
  <c r="AI162" i="5"/>
  <c r="AJ162" i="5"/>
  <c r="AK162" i="5"/>
  <c r="AL162" i="5"/>
  <c r="AM162" i="5"/>
  <c r="W22" i="18"/>
  <c r="AB12" i="18"/>
  <c r="AC12" i="18"/>
  <c r="AD12" i="18"/>
  <c r="AE12" i="18"/>
  <c r="AF12" i="18"/>
  <c r="AG12" i="18"/>
  <c r="AB11" i="18"/>
  <c r="AC11" i="18"/>
  <c r="AD11" i="18"/>
  <c r="AE11" i="18"/>
  <c r="AF11" i="18"/>
  <c r="AG11" i="18"/>
  <c r="AA12" i="18"/>
  <c r="AA11" i="18"/>
  <c r="G28" i="18"/>
  <c r="E4" i="21"/>
  <c r="E9" i="21"/>
  <c r="G9" i="21" s="1"/>
  <c r="H9" i="21" s="1"/>
  <c r="H51" i="18"/>
  <c r="G51" i="18"/>
  <c r="F51" i="18"/>
  <c r="E51" i="18"/>
  <c r="D51" i="18"/>
  <c r="C51" i="18"/>
  <c r="B51" i="18"/>
  <c r="H43" i="18"/>
  <c r="G43" i="18"/>
  <c r="F43" i="18"/>
  <c r="E43" i="18"/>
  <c r="D43" i="18"/>
  <c r="C43" i="18"/>
  <c r="B43" i="18"/>
  <c r="Q42" i="18"/>
  <c r="P42" i="18"/>
  <c r="O42" i="18"/>
  <c r="N42" i="18"/>
  <c r="M42" i="18"/>
  <c r="L42" i="18"/>
  <c r="K42" i="18"/>
  <c r="H42" i="18"/>
  <c r="F42" i="18"/>
  <c r="H41" i="18"/>
  <c r="G41" i="18"/>
  <c r="F41" i="18"/>
  <c r="E41" i="18"/>
  <c r="D41" i="18"/>
  <c r="C41" i="18"/>
  <c r="B41" i="18"/>
  <c r="I37" i="18"/>
  <c r="I34" i="18"/>
  <c r="Q33" i="18"/>
  <c r="P33" i="18"/>
  <c r="O33" i="18"/>
  <c r="N33" i="18"/>
  <c r="M33" i="18"/>
  <c r="L33" i="18"/>
  <c r="K33" i="18"/>
  <c r="H33" i="18"/>
  <c r="G33" i="18"/>
  <c r="F33" i="18"/>
  <c r="E33" i="18"/>
  <c r="D33" i="18"/>
  <c r="C33" i="18"/>
  <c r="B33" i="18"/>
  <c r="Q32" i="18"/>
  <c r="O32" i="18"/>
  <c r="H29" i="18"/>
  <c r="G29" i="18"/>
  <c r="F29" i="18"/>
  <c r="E29" i="18"/>
  <c r="D29" i="18"/>
  <c r="C29" i="18"/>
  <c r="B29" i="18"/>
  <c r="Y24" i="18"/>
  <c r="X24" i="18"/>
  <c r="W24" i="18"/>
  <c r="V24" i="18"/>
  <c r="U24" i="18"/>
  <c r="T24" i="18"/>
  <c r="S24" i="18"/>
  <c r="Q24" i="18"/>
  <c r="P24" i="18"/>
  <c r="O24" i="18"/>
  <c r="N24" i="18"/>
  <c r="M24" i="18"/>
  <c r="L24" i="18"/>
  <c r="K24" i="18"/>
  <c r="Y23" i="18"/>
  <c r="X23" i="18"/>
  <c r="W23" i="18"/>
  <c r="V23" i="18"/>
  <c r="U23" i="18"/>
  <c r="T23" i="18"/>
  <c r="S23" i="18"/>
  <c r="Q23" i="18"/>
  <c r="P23" i="18"/>
  <c r="O23" i="18"/>
  <c r="N23" i="18"/>
  <c r="M23" i="18"/>
  <c r="L23" i="18"/>
  <c r="K23" i="18"/>
  <c r="M22" i="18"/>
  <c r="R40" i="20"/>
  <c r="T14" i="5"/>
  <c r="B3" i="5"/>
  <c r="C3" i="5"/>
  <c r="D3" i="5"/>
  <c r="E3" i="5"/>
  <c r="F3" i="5"/>
  <c r="G3" i="5"/>
  <c r="H3" i="5"/>
  <c r="V3" i="5"/>
  <c r="W3" i="5"/>
  <c r="X3" i="5"/>
  <c r="Y3" i="5"/>
  <c r="Z3" i="5"/>
  <c r="AA3" i="5"/>
  <c r="AB3" i="5"/>
  <c r="AC3" i="5"/>
  <c r="AD3" i="5"/>
  <c r="AE3" i="5"/>
  <c r="AG3" i="5"/>
  <c r="AH3" i="5"/>
  <c r="AI3" i="5"/>
  <c r="AJ3" i="5"/>
  <c r="AK3" i="5"/>
  <c r="AL3" i="5"/>
  <c r="AM3" i="5"/>
  <c r="V4" i="5"/>
  <c r="W4" i="5"/>
  <c r="X4" i="5"/>
  <c r="Y4" i="5"/>
  <c r="Z4" i="5"/>
  <c r="AA4" i="5"/>
  <c r="AB4" i="5"/>
  <c r="AC4" i="5"/>
  <c r="AD4" i="5"/>
  <c r="AE4" i="5"/>
  <c r="AG4" i="5"/>
  <c r="AH4" i="5"/>
  <c r="AI4" i="5"/>
  <c r="AJ4" i="5"/>
  <c r="AK4" i="5"/>
  <c r="AL4" i="5"/>
  <c r="AM4" i="5"/>
  <c r="V5" i="5"/>
  <c r="V6" i="5" s="1"/>
  <c r="V7" i="5" s="1"/>
  <c r="W5" i="5"/>
  <c r="X5" i="5"/>
  <c r="X6" i="5" s="1"/>
  <c r="Y5" i="5"/>
  <c r="Y6" i="5" s="1"/>
  <c r="Y7" i="5" s="1"/>
  <c r="Y8" i="5" s="1"/>
  <c r="Y9" i="5" s="1"/>
  <c r="Y10" i="5" s="1"/>
  <c r="Z5" i="5"/>
  <c r="Z6" i="5" s="1"/>
  <c r="Z7" i="5" s="1"/>
  <c r="AA5" i="5"/>
  <c r="AA6" i="5" s="1"/>
  <c r="AB5" i="5"/>
  <c r="AC5" i="5"/>
  <c r="AD5" i="5"/>
  <c r="AE5" i="5"/>
  <c r="AE6" i="5" s="1"/>
  <c r="AG5" i="5"/>
  <c r="AH5" i="5"/>
  <c r="AI5" i="5"/>
  <c r="AJ5" i="5"/>
  <c r="AK5" i="5"/>
  <c r="AL5" i="5"/>
  <c r="AM5" i="5"/>
  <c r="H6" i="5"/>
  <c r="AB6" i="5"/>
  <c r="AC6" i="5"/>
  <c r="AD6" i="5"/>
  <c r="AG6" i="5"/>
  <c r="AH6" i="5"/>
  <c r="AI6" i="5"/>
  <c r="AJ6" i="5"/>
  <c r="AK6" i="5"/>
  <c r="AL6" i="5"/>
  <c r="AM6" i="5"/>
  <c r="D7" i="5"/>
  <c r="G7" i="5"/>
  <c r="H7" i="5"/>
  <c r="X7" i="5"/>
  <c r="AA7" i="5"/>
  <c r="AB7" i="5"/>
  <c r="AG7" i="5"/>
  <c r="AH7" i="5"/>
  <c r="AI7" i="5"/>
  <c r="AJ7" i="5"/>
  <c r="AK7" i="5"/>
  <c r="AL7" i="5"/>
  <c r="AM7" i="5"/>
  <c r="B8" i="5"/>
  <c r="C8" i="5"/>
  <c r="D8" i="5"/>
  <c r="F8" i="5"/>
  <c r="G8" i="5"/>
  <c r="H8" i="5"/>
  <c r="V8" i="5"/>
  <c r="W8" i="5"/>
  <c r="X8" i="5"/>
  <c r="Z8" i="5"/>
  <c r="AA8" i="5"/>
  <c r="AB8" i="5"/>
  <c r="AG8" i="5"/>
  <c r="AH8" i="5"/>
  <c r="AI8" i="5"/>
  <c r="AJ8" i="5"/>
  <c r="AK8" i="5"/>
  <c r="AL8" i="5"/>
  <c r="AM8" i="5"/>
  <c r="B9" i="5"/>
  <c r="C9" i="5"/>
  <c r="D9" i="5"/>
  <c r="F9" i="5"/>
  <c r="G9" i="5"/>
  <c r="H9" i="5"/>
  <c r="V9" i="5"/>
  <c r="W9" i="5"/>
  <c r="X9" i="5"/>
  <c r="Z9" i="5"/>
  <c r="AA9" i="5"/>
  <c r="AB9" i="5"/>
  <c r="AC9" i="5"/>
  <c r="AC21" i="5" s="1"/>
  <c r="AG9" i="5"/>
  <c r="AH9" i="5"/>
  <c r="AI9" i="5"/>
  <c r="AJ9" i="5"/>
  <c r="AK9" i="5"/>
  <c r="AL9" i="5"/>
  <c r="AM9" i="5"/>
  <c r="B10" i="5"/>
  <c r="C10" i="5"/>
  <c r="D10" i="5"/>
  <c r="F10" i="5"/>
  <c r="G10" i="5"/>
  <c r="H10" i="5"/>
  <c r="V10" i="5"/>
  <c r="W10" i="5"/>
  <c r="X10" i="5"/>
  <c r="Z10" i="5"/>
  <c r="AA10" i="5"/>
  <c r="AB10" i="5"/>
  <c r="AG10" i="5"/>
  <c r="AH10" i="5"/>
  <c r="AI10" i="5"/>
  <c r="AJ10" i="5"/>
  <c r="AK10" i="5"/>
  <c r="AL10" i="5"/>
  <c r="AM10" i="5"/>
  <c r="I11" i="5"/>
  <c r="AB13" i="5"/>
  <c r="B14" i="5"/>
  <c r="C14" i="5"/>
  <c r="D14" i="5"/>
  <c r="S14" i="5"/>
  <c r="X14" i="5"/>
  <c r="AA14" i="5"/>
  <c r="AB14" i="5"/>
  <c r="T18" i="5"/>
  <c r="V15" i="5"/>
  <c r="W15" i="5"/>
  <c r="X15" i="5"/>
  <c r="Z15" i="5"/>
  <c r="AA15" i="5"/>
  <c r="AB15" i="5"/>
  <c r="G16" i="5"/>
  <c r="L72" i="5" s="1"/>
  <c r="V16" i="5"/>
  <c r="W16" i="5"/>
  <c r="X16" i="5"/>
  <c r="Z16" i="5"/>
  <c r="AA16" i="5"/>
  <c r="AB16" i="5"/>
  <c r="V17" i="5"/>
  <c r="W17" i="5"/>
  <c r="X17" i="5"/>
  <c r="Z17" i="5"/>
  <c r="AA17" i="5"/>
  <c r="AB17" i="5"/>
  <c r="B18" i="5"/>
  <c r="C18" i="5"/>
  <c r="D18" i="5"/>
  <c r="B19" i="5"/>
  <c r="C19" i="5"/>
  <c r="D19" i="5"/>
  <c r="T19" i="5"/>
  <c r="M40" i="5"/>
  <c r="N40" i="5"/>
  <c r="O40" i="5"/>
  <c r="P40" i="5"/>
  <c r="Q40" i="5"/>
  <c r="R40" i="5"/>
  <c r="S40" i="5"/>
  <c r="T40" i="5"/>
  <c r="U40" i="5"/>
  <c r="V40" i="5"/>
  <c r="W40" i="5"/>
  <c r="X40" i="5"/>
  <c r="Y40" i="5"/>
  <c r="Z40" i="5"/>
  <c r="AA40" i="5"/>
  <c r="AB40" i="5"/>
  <c r="AC40" i="5"/>
  <c r="AD40" i="5"/>
  <c r="AE40" i="5"/>
  <c r="AF40" i="5"/>
  <c r="AG40" i="5"/>
  <c r="AH40" i="5"/>
  <c r="AI40" i="5"/>
  <c r="AJ40" i="5"/>
  <c r="AK40" i="5"/>
  <c r="AL40" i="5"/>
  <c r="AM40" i="5"/>
  <c r="AN40" i="5"/>
  <c r="AO40" i="5"/>
  <c r="AP40" i="5"/>
  <c r="E5" i="21"/>
  <c r="E6" i="21"/>
  <c r="E7" i="21"/>
  <c r="G7" i="21" s="1"/>
  <c r="H7" i="21" s="1"/>
  <c r="B6" i="21"/>
  <c r="E8" i="21"/>
  <c r="G8" i="21" s="1"/>
  <c r="H8" i="21" s="1"/>
  <c r="B3" i="20"/>
  <c r="C3" i="20"/>
  <c r="D3" i="20"/>
  <c r="E3" i="20"/>
  <c r="F3" i="20"/>
  <c r="G3" i="20"/>
  <c r="H3" i="20"/>
  <c r="V3" i="20"/>
  <c r="W3" i="20"/>
  <c r="X3" i="20"/>
  <c r="Y3" i="20"/>
  <c r="Z3" i="20"/>
  <c r="AA3" i="20"/>
  <c r="AB3" i="20"/>
  <c r="AC3" i="20"/>
  <c r="AD3" i="20"/>
  <c r="AE3" i="20"/>
  <c r="AG3" i="20"/>
  <c r="AH3" i="20"/>
  <c r="AI3" i="20"/>
  <c r="AJ3" i="20"/>
  <c r="AK3" i="20"/>
  <c r="AL3" i="20"/>
  <c r="AM3" i="20"/>
  <c r="V4" i="20"/>
  <c r="W4" i="20"/>
  <c r="X4" i="20"/>
  <c r="Y4" i="20"/>
  <c r="Z4" i="20"/>
  <c r="AA4" i="20"/>
  <c r="AB4" i="20"/>
  <c r="AG4" i="20"/>
  <c r="AH4" i="20"/>
  <c r="AI4" i="20"/>
  <c r="AJ4" i="20"/>
  <c r="AK4" i="20"/>
  <c r="AL4" i="20"/>
  <c r="AM4" i="20"/>
  <c r="V5" i="20"/>
  <c r="V6" i="20" s="1"/>
  <c r="V7" i="20" s="1"/>
  <c r="V8" i="20" s="1"/>
  <c r="V9" i="20" s="1"/>
  <c r="V10" i="20" s="1"/>
  <c r="W5" i="20"/>
  <c r="W6" i="20" s="1"/>
  <c r="W7" i="20" s="1"/>
  <c r="X5" i="20"/>
  <c r="X6" i="20" s="1"/>
  <c r="X7" i="20" s="1"/>
  <c r="Y5" i="20"/>
  <c r="Z5" i="20"/>
  <c r="AA5" i="20"/>
  <c r="AB5" i="20"/>
  <c r="AB6" i="20" s="1"/>
  <c r="AC5" i="20"/>
  <c r="AD5" i="20"/>
  <c r="AE5" i="20"/>
  <c r="AE6" i="20" s="1"/>
  <c r="AG5" i="20"/>
  <c r="AH5" i="20"/>
  <c r="AI5" i="20"/>
  <c r="AJ5" i="20"/>
  <c r="AK5" i="20"/>
  <c r="AL5" i="20"/>
  <c r="AM5" i="20"/>
  <c r="Y6" i="20"/>
  <c r="Z6" i="20"/>
  <c r="AA6" i="20"/>
  <c r="AC6" i="20"/>
  <c r="AD6" i="20"/>
  <c r="AG6" i="20"/>
  <c r="AH6" i="20"/>
  <c r="AI6" i="20"/>
  <c r="AJ6" i="20"/>
  <c r="AK6" i="20"/>
  <c r="AL6" i="20"/>
  <c r="AM6" i="20"/>
  <c r="Y7" i="20"/>
  <c r="Z7" i="20"/>
  <c r="AA7" i="20"/>
  <c r="AB7" i="20"/>
  <c r="AG7" i="20"/>
  <c r="AH7" i="20"/>
  <c r="AI7" i="20"/>
  <c r="AJ7" i="20"/>
  <c r="AK7" i="20"/>
  <c r="AL7" i="20"/>
  <c r="AM7" i="20"/>
  <c r="W8" i="20"/>
  <c r="W9" i="20"/>
  <c r="X8" i="20"/>
  <c r="Y8" i="20"/>
  <c r="Z8" i="20"/>
  <c r="AA8" i="20"/>
  <c r="AB8" i="20"/>
  <c r="AG8" i="20"/>
  <c r="AH8" i="20"/>
  <c r="AI8" i="20"/>
  <c r="AJ8" i="20"/>
  <c r="AK8" i="20"/>
  <c r="AL8" i="20"/>
  <c r="AM8" i="20"/>
  <c r="X9" i="20"/>
  <c r="Y9" i="20"/>
  <c r="Z9" i="20"/>
  <c r="AA9" i="20"/>
  <c r="AB9" i="20"/>
  <c r="AG9" i="20"/>
  <c r="AH9" i="20"/>
  <c r="AI9" i="20"/>
  <c r="AJ9" i="20"/>
  <c r="AK9" i="20"/>
  <c r="AL9" i="20"/>
  <c r="AM9" i="20"/>
  <c r="W10" i="20"/>
  <c r="X10" i="20"/>
  <c r="Y10" i="20"/>
  <c r="Z10" i="20"/>
  <c r="AA10" i="20"/>
  <c r="AB10" i="20"/>
  <c r="AG10" i="20"/>
  <c r="AH10" i="20"/>
  <c r="AI10" i="20"/>
  <c r="AJ10" i="20"/>
  <c r="AK10" i="20"/>
  <c r="AL10" i="20"/>
  <c r="AM10" i="20"/>
  <c r="B11" i="20"/>
  <c r="C11" i="20"/>
  <c r="D11" i="20"/>
  <c r="E11" i="20"/>
  <c r="F11" i="20"/>
  <c r="G11" i="20"/>
  <c r="H11" i="20"/>
  <c r="V11" i="20"/>
  <c r="B12" i="20"/>
  <c r="C12" i="20"/>
  <c r="D12" i="20"/>
  <c r="E12" i="20"/>
  <c r="F12" i="20"/>
  <c r="G12" i="20"/>
  <c r="H12" i="20"/>
  <c r="H17" i="20"/>
  <c r="B18" i="20"/>
  <c r="C18" i="20"/>
  <c r="D18" i="20"/>
  <c r="B19" i="20"/>
  <c r="C19" i="20"/>
  <c r="D19" i="20"/>
  <c r="I40" i="20"/>
  <c r="J40" i="20"/>
  <c r="K40" i="20"/>
  <c r="L40" i="20"/>
  <c r="M40" i="20"/>
  <c r="N40" i="20"/>
  <c r="O40" i="20"/>
  <c r="P40" i="20"/>
  <c r="Q40" i="20"/>
  <c r="B3" i="18"/>
  <c r="C3" i="18"/>
  <c r="D3" i="18"/>
  <c r="E3" i="18"/>
  <c r="F3" i="18"/>
  <c r="G3" i="18"/>
  <c r="H3" i="18"/>
  <c r="S3" i="18"/>
  <c r="T3" i="18"/>
  <c r="U3" i="18"/>
  <c r="V3" i="18"/>
  <c r="W3" i="18"/>
  <c r="X3" i="18"/>
  <c r="Y3" i="18"/>
  <c r="AA3" i="18"/>
  <c r="AB3" i="18"/>
  <c r="AC3" i="18"/>
  <c r="AD3" i="18"/>
  <c r="AE3" i="18"/>
  <c r="AF3" i="18"/>
  <c r="AG3" i="18"/>
  <c r="S4" i="18"/>
  <c r="T4" i="18"/>
  <c r="U4" i="18"/>
  <c r="V4" i="18"/>
  <c r="W4" i="18"/>
  <c r="X4" i="18"/>
  <c r="Y4" i="18"/>
  <c r="AA4" i="18"/>
  <c r="AB4" i="18"/>
  <c r="AC4" i="18"/>
  <c r="AD4" i="18"/>
  <c r="AE4" i="18"/>
  <c r="AF4" i="18"/>
  <c r="AG4" i="18"/>
  <c r="S5" i="18"/>
  <c r="S6" i="18" s="1"/>
  <c r="S7" i="18" s="1"/>
  <c r="T5" i="18"/>
  <c r="U5" i="18"/>
  <c r="V5" i="18"/>
  <c r="V6" i="18" s="1"/>
  <c r="W5" i="18"/>
  <c r="X5" i="18"/>
  <c r="Y5" i="18"/>
  <c r="Y6" i="18" s="1"/>
  <c r="Y7" i="18" s="1"/>
  <c r="Y8" i="18" s="1"/>
  <c r="Y9" i="18" s="1"/>
  <c r="Y10" i="18" s="1"/>
  <c r="AA5" i="18"/>
  <c r="AB5" i="18"/>
  <c r="AC5" i="18"/>
  <c r="AD5" i="18"/>
  <c r="AE5" i="18"/>
  <c r="AF5" i="18"/>
  <c r="AG5" i="18"/>
  <c r="T6" i="18"/>
  <c r="T7" i="18"/>
  <c r="U6" i="18"/>
  <c r="U7" i="18" s="1"/>
  <c r="W6" i="18"/>
  <c r="X6" i="18"/>
  <c r="AA6" i="18"/>
  <c r="AB6" i="18"/>
  <c r="AC6" i="18"/>
  <c r="AD6" i="18"/>
  <c r="AE6" i="18"/>
  <c r="AF6" i="18"/>
  <c r="AG6" i="18"/>
  <c r="V7" i="18"/>
  <c r="V8" i="18" s="1"/>
  <c r="V9" i="18" s="1"/>
  <c r="V10" i="18" s="1"/>
  <c r="W7" i="18"/>
  <c r="X7" i="18"/>
  <c r="AA7" i="18"/>
  <c r="AB7" i="18"/>
  <c r="AC7" i="18"/>
  <c r="AD7" i="18"/>
  <c r="AE7" i="18"/>
  <c r="AF7" i="18"/>
  <c r="AG7" i="18"/>
  <c r="S8" i="18"/>
  <c r="T8" i="18"/>
  <c r="U8" i="18"/>
  <c r="W8" i="18"/>
  <c r="X8" i="18"/>
  <c r="AA8" i="18"/>
  <c r="AB8" i="18"/>
  <c r="AC8" i="18"/>
  <c r="AD8" i="18"/>
  <c r="AE8" i="18"/>
  <c r="AF8" i="18"/>
  <c r="AG8" i="18"/>
  <c r="S9" i="18"/>
  <c r="T9" i="18"/>
  <c r="U9" i="18"/>
  <c r="W9" i="18"/>
  <c r="X9" i="18"/>
  <c r="AA9" i="18"/>
  <c r="AB9" i="18"/>
  <c r="AC9" i="18"/>
  <c r="AD9" i="18"/>
  <c r="AE9" i="18"/>
  <c r="AF9" i="18"/>
  <c r="AG9" i="18"/>
  <c r="S10" i="18"/>
  <c r="T10" i="18"/>
  <c r="U10" i="18"/>
  <c r="W10" i="18"/>
  <c r="X10" i="18"/>
  <c r="AA10" i="18"/>
  <c r="AB10" i="18"/>
  <c r="AC10" i="18"/>
  <c r="AD10" i="18"/>
  <c r="AE10" i="18"/>
  <c r="AF10" i="18"/>
  <c r="AG10" i="18"/>
  <c r="B11" i="18"/>
  <c r="C11" i="18"/>
  <c r="D11" i="18"/>
  <c r="E11" i="18"/>
  <c r="F11" i="18"/>
  <c r="G11" i="18"/>
  <c r="H11" i="18"/>
  <c r="S11" i="18"/>
  <c r="B12" i="18"/>
  <c r="C12" i="18"/>
  <c r="D12" i="18"/>
  <c r="E12" i="18"/>
  <c r="F12" i="18"/>
  <c r="G12" i="18"/>
  <c r="H12" i="18"/>
  <c r="B13" i="18"/>
  <c r="C13" i="18"/>
  <c r="D13" i="18"/>
  <c r="E13" i="18"/>
  <c r="F13" i="18"/>
  <c r="G13" i="18"/>
  <c r="H13" i="18"/>
  <c r="B14" i="18"/>
  <c r="C14" i="18"/>
  <c r="D14" i="18"/>
  <c r="E14" i="18"/>
  <c r="F14" i="18"/>
  <c r="G14" i="18"/>
  <c r="H14" i="18"/>
  <c r="C16" i="18"/>
  <c r="D16" i="18"/>
  <c r="E16" i="18"/>
  <c r="F16" i="18"/>
  <c r="G16" i="18"/>
  <c r="H16" i="18"/>
  <c r="K42" i="5" l="1"/>
  <c r="E11" i="21"/>
  <c r="W6" i="5"/>
  <c r="W7" i="5" s="1"/>
  <c r="G4" i="21"/>
  <c r="AP112" i="5"/>
  <c r="AP114" i="5"/>
  <c r="AP116" i="5"/>
  <c r="AP118" i="5"/>
  <c r="AP120" i="5"/>
  <c r="AP122" i="5"/>
  <c r="AP124" i="5"/>
  <c r="AP126" i="5"/>
  <c r="AP128" i="5"/>
  <c r="AP130" i="5"/>
  <c r="AP132" i="5"/>
  <c r="AP134" i="5"/>
  <c r="AP136" i="5"/>
  <c r="AP138" i="5"/>
  <c r="AP140" i="5"/>
  <c r="AP142" i="5"/>
  <c r="AP144" i="5"/>
  <c r="AP146" i="5"/>
  <c r="AP148" i="5"/>
  <c r="AP150" i="5"/>
  <c r="AP152" i="5"/>
  <c r="AP154" i="5"/>
  <c r="AP156" i="5"/>
  <c r="AP158" i="5"/>
  <c r="AP160" i="5"/>
  <c r="AP113" i="5"/>
  <c r="AP115" i="5"/>
  <c r="AP117" i="5"/>
  <c r="AP119" i="5"/>
  <c r="AP121" i="5"/>
  <c r="AP123" i="5"/>
  <c r="AP125" i="5"/>
  <c r="AP127" i="5"/>
  <c r="AP129" i="5"/>
  <c r="AP131" i="5"/>
  <c r="AP133" i="5"/>
  <c r="AP135" i="5"/>
  <c r="AP137" i="5"/>
  <c r="AP139" i="5"/>
  <c r="AP141" i="5"/>
  <c r="AP143" i="5"/>
  <c r="AP145" i="5"/>
  <c r="AP147" i="5"/>
  <c r="AP149" i="5"/>
  <c r="AP151" i="5"/>
  <c r="AP153" i="5"/>
  <c r="AP155" i="5"/>
  <c r="AP157" i="5"/>
  <c r="AP159" i="5"/>
  <c r="AP161" i="5"/>
  <c r="AO113" i="5"/>
  <c r="AO115" i="5"/>
  <c r="AO117" i="5"/>
  <c r="AO119" i="5"/>
  <c r="AO121" i="5"/>
  <c r="AO123" i="5"/>
  <c r="AO125" i="5"/>
  <c r="AO127" i="5"/>
  <c r="AO129" i="5"/>
  <c r="AO131" i="5"/>
  <c r="AO133" i="5"/>
  <c r="AO135" i="5"/>
  <c r="AO137" i="5"/>
  <c r="AO139" i="5"/>
  <c r="AO141" i="5"/>
  <c r="AO143" i="5"/>
  <c r="AO145" i="5"/>
  <c r="AO147" i="5"/>
  <c r="AO149" i="5"/>
  <c r="AO151" i="5"/>
  <c r="AO153" i="5"/>
  <c r="AO155" i="5"/>
  <c r="AO157" i="5"/>
  <c r="AO159" i="5"/>
  <c r="AO161" i="5"/>
  <c r="AO112" i="5"/>
  <c r="AO114" i="5"/>
  <c r="AO116" i="5"/>
  <c r="AO118" i="5"/>
  <c r="AO120" i="5"/>
  <c r="AO122" i="5"/>
  <c r="AO124" i="5"/>
  <c r="AO126" i="5"/>
  <c r="AO128" i="5"/>
  <c r="AO130" i="5"/>
  <c r="AO132" i="5"/>
  <c r="AO134" i="5"/>
  <c r="AO136" i="5"/>
  <c r="AO138" i="5"/>
  <c r="AO140" i="5"/>
  <c r="AO142" i="5"/>
  <c r="AO144" i="5"/>
  <c r="AO146" i="5"/>
  <c r="AO148" i="5"/>
  <c r="AO150" i="5"/>
  <c r="AO152" i="5"/>
  <c r="AO154" i="5"/>
  <c r="AO156" i="5"/>
  <c r="AO158" i="5"/>
  <c r="AO160" i="5"/>
  <c r="AN113" i="5"/>
  <c r="AN115" i="5"/>
  <c r="AN117" i="5"/>
  <c r="AN119" i="5"/>
  <c r="AN121" i="5"/>
  <c r="AN123" i="5"/>
  <c r="AN125" i="5"/>
  <c r="AN127" i="5"/>
  <c r="AN129" i="5"/>
  <c r="AN131" i="5"/>
  <c r="AN133" i="5"/>
  <c r="AN135" i="5"/>
  <c r="AN137" i="5"/>
  <c r="AN139" i="5"/>
  <c r="AN141" i="5"/>
  <c r="AN143" i="5"/>
  <c r="AN145" i="5"/>
  <c r="AN147" i="5"/>
  <c r="AN149" i="5"/>
  <c r="AN151" i="5"/>
  <c r="AN153" i="5"/>
  <c r="AN155" i="5"/>
  <c r="AN157" i="5"/>
  <c r="AN159" i="5"/>
  <c r="AN161" i="5"/>
  <c r="AN112" i="5"/>
  <c r="AN114" i="5"/>
  <c r="AN116" i="5"/>
  <c r="AN118" i="5"/>
  <c r="AN120" i="5"/>
  <c r="AN122" i="5"/>
  <c r="AN124" i="5"/>
  <c r="AN126" i="5"/>
  <c r="AN128" i="5"/>
  <c r="AN130" i="5"/>
  <c r="AN132" i="5"/>
  <c r="AN134" i="5"/>
  <c r="AN136" i="5"/>
  <c r="AN138" i="5"/>
  <c r="AN140" i="5"/>
  <c r="AN142" i="5"/>
  <c r="AN144" i="5"/>
  <c r="AN146" i="5"/>
  <c r="AN148" i="5"/>
  <c r="AN150" i="5"/>
  <c r="AN152" i="5"/>
  <c r="AN154" i="5"/>
  <c r="AN156" i="5"/>
  <c r="AN158" i="5"/>
  <c r="AN160" i="5"/>
  <c r="L109" i="5"/>
  <c r="L105" i="5"/>
  <c r="L97" i="5"/>
  <c r="L110" i="5"/>
  <c r="L106" i="5"/>
  <c r="L98" i="5"/>
  <c r="L111" i="5"/>
  <c r="L107" i="5"/>
  <c r="L103" i="5"/>
  <c r="L95" i="5"/>
  <c r="L108" i="5"/>
  <c r="L104" i="5"/>
  <c r="L96" i="5"/>
  <c r="K111" i="5"/>
  <c r="D111" i="5" s="1"/>
  <c r="K110" i="5"/>
  <c r="K109" i="5"/>
  <c r="K108" i="5"/>
  <c r="K107" i="5"/>
  <c r="K106" i="5"/>
  <c r="K105" i="5"/>
  <c r="K99" i="5"/>
  <c r="K98" i="5"/>
  <c r="K97" i="5"/>
  <c r="L93" i="5"/>
  <c r="K100" i="5"/>
  <c r="L94" i="5"/>
  <c r="K102" i="5"/>
  <c r="K101" i="5"/>
  <c r="L100" i="5"/>
  <c r="L99" i="5"/>
  <c r="K92" i="5"/>
  <c r="K104" i="5"/>
  <c r="K103" i="5"/>
  <c r="L102" i="5"/>
  <c r="L101" i="5"/>
  <c r="K96" i="5"/>
  <c r="D96" i="5" s="1"/>
  <c r="K95" i="5"/>
  <c r="K94" i="5"/>
  <c r="D94" i="5" s="1"/>
  <c r="K93" i="5"/>
  <c r="L92" i="5"/>
  <c r="D103" i="5"/>
  <c r="D97" i="5"/>
  <c r="D108" i="5"/>
  <c r="D107" i="5"/>
  <c r="D100" i="5"/>
  <c r="D98" i="5"/>
  <c r="L68" i="5"/>
  <c r="K61" i="5"/>
  <c r="L58" i="5"/>
  <c r="K55" i="5"/>
  <c r="K85" i="5"/>
  <c r="L74" i="5"/>
  <c r="T15" i="5"/>
  <c r="T16" i="5" s="1"/>
  <c r="AO162" i="5"/>
  <c r="E18" i="20"/>
  <c r="L86" i="5"/>
  <c r="L76" i="5"/>
  <c r="AN162" i="5"/>
  <c r="L66" i="5"/>
  <c r="K50" i="5"/>
  <c r="K47" i="5"/>
  <c r="K46" i="5"/>
  <c r="AP97" i="5"/>
  <c r="L78" i="5"/>
  <c r="L70" i="5"/>
  <c r="K65" i="5"/>
  <c r="L62" i="5"/>
  <c r="K54" i="5"/>
  <c r="K51" i="5"/>
  <c r="K43" i="5"/>
  <c r="E19" i="20"/>
  <c r="I12" i="20"/>
  <c r="AP91" i="5"/>
  <c r="AP90" i="5"/>
  <c r="AP89" i="5"/>
  <c r="AP88" i="5"/>
  <c r="AP87" i="5"/>
  <c r="AP86" i="5"/>
  <c r="AP85" i="5"/>
  <c r="AP84" i="5"/>
  <c r="AP83" i="5"/>
  <c r="AP82" i="5"/>
  <c r="AP81" i="5"/>
  <c r="AP80" i="5"/>
  <c r="AP79" i="5"/>
  <c r="AP78" i="5"/>
  <c r="AP77" i="5"/>
  <c r="AP76" i="5"/>
  <c r="AP75" i="5"/>
  <c r="AP74" i="5"/>
  <c r="AP73" i="5"/>
  <c r="AP72" i="5"/>
  <c r="AP71" i="5"/>
  <c r="AP70" i="5"/>
  <c r="AP69" i="5"/>
  <c r="AP68" i="5"/>
  <c r="AP67" i="5"/>
  <c r="AP66" i="5"/>
  <c r="AP65" i="5"/>
  <c r="AP64" i="5"/>
  <c r="AP63" i="5"/>
  <c r="AP62" i="5"/>
  <c r="AP61" i="5"/>
  <c r="AP60" i="5"/>
  <c r="AP59" i="5"/>
  <c r="AP58" i="5"/>
  <c r="AP57" i="5"/>
  <c r="AP56" i="5"/>
  <c r="AP55" i="5"/>
  <c r="AP54" i="5"/>
  <c r="AP53" i="5"/>
  <c r="AP52" i="5"/>
  <c r="AP51" i="5"/>
  <c r="AP50" i="5"/>
  <c r="AP49" i="5"/>
  <c r="AP48" i="5"/>
  <c r="AP47" i="5"/>
  <c r="AP46" i="5"/>
  <c r="AP45" i="5"/>
  <c r="AP44" i="5"/>
  <c r="AP43" i="5"/>
  <c r="AP42" i="5"/>
  <c r="AP41" i="5"/>
  <c r="L91" i="5"/>
  <c r="K88" i="5"/>
  <c r="L83" i="5"/>
  <c r="K80" i="5"/>
  <c r="E19" i="5"/>
  <c r="I97" i="5" s="1"/>
  <c r="I41" i="18"/>
  <c r="I12" i="18"/>
  <c r="I13" i="18"/>
  <c r="I11" i="20"/>
  <c r="K44" i="5"/>
  <c r="L45" i="5"/>
  <c r="K48" i="5"/>
  <c r="L49" i="5"/>
  <c r="K52" i="5"/>
  <c r="L53" i="5"/>
  <c r="K56" i="5"/>
  <c r="L57" i="5"/>
  <c r="K58" i="5"/>
  <c r="K60" i="5"/>
  <c r="K62" i="5"/>
  <c r="K64" i="5"/>
  <c r="K59" i="5"/>
  <c r="L60" i="5"/>
  <c r="AU60" i="5" s="1"/>
  <c r="K63" i="5"/>
  <c r="L64" i="5"/>
  <c r="AU64" i="5" s="1"/>
  <c r="L67" i="5"/>
  <c r="L69" i="5"/>
  <c r="L71" i="5"/>
  <c r="L73" i="5"/>
  <c r="L75" i="5"/>
  <c r="L77" i="5"/>
  <c r="L79" i="5"/>
  <c r="K81" i="5"/>
  <c r="L82" i="5"/>
  <c r="K84" i="5"/>
  <c r="L87" i="5"/>
  <c r="K89" i="5"/>
  <c r="L90" i="5"/>
  <c r="K41" i="5"/>
  <c r="L42" i="5"/>
  <c r="AU42" i="5" s="1"/>
  <c r="L43" i="5"/>
  <c r="AU43" i="5" s="1"/>
  <c r="L44" i="5"/>
  <c r="AU44" i="5" s="1"/>
  <c r="K45" i="5"/>
  <c r="L46" i="5"/>
  <c r="L47" i="5"/>
  <c r="AU47" i="5" s="1"/>
  <c r="L48" i="5"/>
  <c r="K49" i="5"/>
  <c r="AU49" i="5" s="1"/>
  <c r="L50" i="5"/>
  <c r="AU50" i="5" s="1"/>
  <c r="L51" i="5"/>
  <c r="AU51" i="5" s="1"/>
  <c r="L52" i="5"/>
  <c r="AU52" i="5" s="1"/>
  <c r="K53" i="5"/>
  <c r="L54" i="5"/>
  <c r="L55" i="5"/>
  <c r="AU55" i="5" s="1"/>
  <c r="L56" i="5"/>
  <c r="K57" i="5"/>
  <c r="L61" i="5"/>
  <c r="L65" i="5"/>
  <c r="AU65" i="5" s="1"/>
  <c r="K67" i="5"/>
  <c r="K69" i="5"/>
  <c r="K71" i="5"/>
  <c r="K73" i="5"/>
  <c r="K75" i="5"/>
  <c r="K77" i="5"/>
  <c r="K79" i="5"/>
  <c r="L80" i="5"/>
  <c r="AU80" i="5" s="1"/>
  <c r="K82" i="5"/>
  <c r="L85" i="5"/>
  <c r="AU85" i="5" s="1"/>
  <c r="K87" i="5"/>
  <c r="L88" i="5"/>
  <c r="K90" i="5"/>
  <c r="L41" i="5"/>
  <c r="AU41" i="5" s="1"/>
  <c r="L59" i="5"/>
  <c r="AU59" i="5" s="1"/>
  <c r="L63" i="5"/>
  <c r="AU63" i="5" s="1"/>
  <c r="K66" i="5"/>
  <c r="K68" i="5"/>
  <c r="K70" i="5"/>
  <c r="K72" i="5"/>
  <c r="AU72" i="5" s="1"/>
  <c r="K74" i="5"/>
  <c r="K76" i="5"/>
  <c r="K78" i="5"/>
  <c r="L81" i="5"/>
  <c r="AU81" i="5" s="1"/>
  <c r="K83" i="5"/>
  <c r="L84" i="5"/>
  <c r="AU84" i="5" s="1"/>
  <c r="K86" i="5"/>
  <c r="L89" i="5"/>
  <c r="AU89" i="5" s="1"/>
  <c r="K91" i="5"/>
  <c r="E18" i="5"/>
  <c r="I11" i="18"/>
  <c r="AP92" i="5"/>
  <c r="AP96" i="5"/>
  <c r="AP100" i="5"/>
  <c r="AP104" i="5"/>
  <c r="AP108" i="5"/>
  <c r="AP95" i="5"/>
  <c r="AP99" i="5"/>
  <c r="AP103" i="5"/>
  <c r="AP107" i="5"/>
  <c r="AP111" i="5"/>
  <c r="AP94" i="5"/>
  <c r="AP98" i="5"/>
  <c r="AP102" i="5"/>
  <c r="AP106" i="5"/>
  <c r="AP110" i="5"/>
  <c r="AP162" i="5"/>
  <c r="AP109" i="5"/>
  <c r="AP93" i="5"/>
  <c r="AP101" i="5"/>
  <c r="I16" i="18"/>
  <c r="AP105" i="5"/>
  <c r="AU82" i="5" l="1"/>
  <c r="D110" i="5"/>
  <c r="P110" i="5" s="1"/>
  <c r="Z110" i="5" s="1"/>
  <c r="D105" i="5"/>
  <c r="N105" i="5" s="1"/>
  <c r="X105" i="5" s="1"/>
  <c r="AU73" i="5"/>
  <c r="AU57" i="5"/>
  <c r="AU83" i="5"/>
  <c r="AU91" i="5"/>
  <c r="AU78" i="5"/>
  <c r="AU66" i="5"/>
  <c r="AU86" i="5"/>
  <c r="AU74" i="5"/>
  <c r="AU68" i="5"/>
  <c r="AU77" i="5"/>
  <c r="AU69" i="5"/>
  <c r="AU53" i="5"/>
  <c r="AU45" i="5"/>
  <c r="AU90" i="5"/>
  <c r="AU75" i="5"/>
  <c r="AU67" i="5"/>
  <c r="AU62" i="5"/>
  <c r="AU61" i="5"/>
  <c r="AU54" i="5"/>
  <c r="AU46" i="5"/>
  <c r="AU87" i="5"/>
  <c r="AU79" i="5"/>
  <c r="AU71" i="5"/>
  <c r="AU56" i="5"/>
  <c r="AU48" i="5"/>
  <c r="AU88" i="5"/>
  <c r="AU70" i="5"/>
  <c r="AU76" i="5"/>
  <c r="AU58" i="5"/>
  <c r="G5" i="21"/>
  <c r="H4" i="21"/>
  <c r="T20" i="5"/>
  <c r="D104" i="5"/>
  <c r="Q104" i="5" s="1"/>
  <c r="AA104" i="5" s="1"/>
  <c r="D95" i="5"/>
  <c r="V95" i="5" s="1"/>
  <c r="AF95" i="5" s="1"/>
  <c r="D102" i="5"/>
  <c r="S102" i="5" s="1"/>
  <c r="AC102" i="5" s="1"/>
  <c r="D99" i="5"/>
  <c r="Q99" i="5" s="1"/>
  <c r="AA99" i="5" s="1"/>
  <c r="D93" i="5"/>
  <c r="S93" i="5" s="1"/>
  <c r="AC93" i="5" s="1"/>
  <c r="I105" i="5"/>
  <c r="D109" i="5"/>
  <c r="U109" i="5" s="1"/>
  <c r="I103" i="5"/>
  <c r="I95" i="5"/>
  <c r="I110" i="5"/>
  <c r="I104" i="5"/>
  <c r="I111" i="5"/>
  <c r="I109" i="5"/>
  <c r="I107" i="5"/>
  <c r="I96" i="5"/>
  <c r="I100" i="5"/>
  <c r="I93" i="5"/>
  <c r="D101" i="5"/>
  <c r="U101" i="5" s="1"/>
  <c r="I94" i="5"/>
  <c r="D92" i="5"/>
  <c r="I99" i="5"/>
  <c r="I108" i="5"/>
  <c r="I106" i="5"/>
  <c r="I92" i="5"/>
  <c r="I98" i="5"/>
  <c r="I102" i="5"/>
  <c r="I101" i="5"/>
  <c r="I66" i="5"/>
  <c r="T111" i="5"/>
  <c r="T108" i="5"/>
  <c r="N107" i="5"/>
  <c r="X107" i="5" s="1"/>
  <c r="T103" i="5"/>
  <c r="P100" i="5"/>
  <c r="P98" i="5"/>
  <c r="Z98" i="5" s="1"/>
  <c r="P97" i="5"/>
  <c r="Z97" i="5" s="1"/>
  <c r="P96" i="5"/>
  <c r="Z96" i="5" s="1"/>
  <c r="P94" i="5"/>
  <c r="Z94" i="5" s="1"/>
  <c r="S111" i="5"/>
  <c r="AC111" i="5" s="1"/>
  <c r="U111" i="5"/>
  <c r="Q111" i="5"/>
  <c r="AA111" i="5" s="1"/>
  <c r="O111" i="5"/>
  <c r="M111" i="5"/>
  <c r="S108" i="5"/>
  <c r="AC108" i="5" s="1"/>
  <c r="U107" i="5"/>
  <c r="AE107" i="5" s="1"/>
  <c r="Q107" i="5"/>
  <c r="AA107" i="5" s="1"/>
  <c r="S107" i="5"/>
  <c r="AC107" i="5" s="1"/>
  <c r="O107" i="5"/>
  <c r="M107" i="5"/>
  <c r="T107" i="5"/>
  <c r="V107" i="5"/>
  <c r="AF107" i="5" s="1"/>
  <c r="R107" i="5"/>
  <c r="AB107" i="5" s="1"/>
  <c r="P107" i="5"/>
  <c r="Z107" i="5" s="1"/>
  <c r="S103" i="5"/>
  <c r="AC103" i="5" s="1"/>
  <c r="S100" i="5"/>
  <c r="AC100" i="5" s="1"/>
  <c r="O100" i="5"/>
  <c r="AI100" i="5" s="1"/>
  <c r="U97" i="5"/>
  <c r="S97" i="5"/>
  <c r="AC97" i="5" s="1"/>
  <c r="Q97" i="5"/>
  <c r="AA97" i="5" s="1"/>
  <c r="O97" i="5"/>
  <c r="M97" i="5"/>
  <c r="W97" i="5" s="1"/>
  <c r="T97" i="5"/>
  <c r="S96" i="5"/>
  <c r="AC96" i="5" s="1"/>
  <c r="O96" i="5"/>
  <c r="AI96" i="5" s="1"/>
  <c r="S94" i="5"/>
  <c r="AC94" i="5" s="1"/>
  <c r="S98" i="5"/>
  <c r="AC98" i="5" s="1"/>
  <c r="O103" i="5"/>
  <c r="O108" i="5"/>
  <c r="P103" i="5"/>
  <c r="Z103" i="5" s="1"/>
  <c r="P108" i="5"/>
  <c r="Z108" i="5" s="1"/>
  <c r="O94" i="5"/>
  <c r="AI94" i="5" s="1"/>
  <c r="O98" i="5"/>
  <c r="AI98" i="5" s="1"/>
  <c r="U103" i="5"/>
  <c r="Q103" i="5"/>
  <c r="AA103" i="5" s="1"/>
  <c r="M103" i="5"/>
  <c r="U108" i="5"/>
  <c r="Q108" i="5"/>
  <c r="AA108" i="5" s="1"/>
  <c r="M108" i="5"/>
  <c r="D106" i="5"/>
  <c r="U94" i="5"/>
  <c r="AE94" i="5" s="1"/>
  <c r="Q94" i="5"/>
  <c r="AA94" i="5" s="1"/>
  <c r="M94" i="5"/>
  <c r="W94" i="5" s="1"/>
  <c r="T94" i="5"/>
  <c r="AD94" i="5" s="1"/>
  <c r="U96" i="5"/>
  <c r="Q96" i="5"/>
  <c r="AA96" i="5" s="1"/>
  <c r="M96" i="5"/>
  <c r="W96" i="5" s="1"/>
  <c r="T96" i="5"/>
  <c r="V97" i="5"/>
  <c r="AF97" i="5" s="1"/>
  <c r="R97" i="5"/>
  <c r="AB97" i="5" s="1"/>
  <c r="N97" i="5"/>
  <c r="X97" i="5" s="1"/>
  <c r="U98" i="5"/>
  <c r="Q98" i="5"/>
  <c r="AA98" i="5" s="1"/>
  <c r="M98" i="5"/>
  <c r="W98" i="5" s="1"/>
  <c r="T98" i="5"/>
  <c r="U100" i="5"/>
  <c r="Q100" i="5"/>
  <c r="AA100" i="5" s="1"/>
  <c r="M100" i="5"/>
  <c r="T100" i="5"/>
  <c r="V101" i="5"/>
  <c r="AF101" i="5" s="1"/>
  <c r="V103" i="5"/>
  <c r="AF103" i="5" s="1"/>
  <c r="R103" i="5"/>
  <c r="AB103" i="5" s="1"/>
  <c r="N103" i="5"/>
  <c r="X103" i="5" s="1"/>
  <c r="V108" i="5"/>
  <c r="AF108" i="5" s="1"/>
  <c r="R108" i="5"/>
  <c r="AB108" i="5" s="1"/>
  <c r="N108" i="5"/>
  <c r="X108" i="5" s="1"/>
  <c r="V111" i="5"/>
  <c r="AF111" i="5" s="1"/>
  <c r="R111" i="5"/>
  <c r="AB111" i="5" s="1"/>
  <c r="N111" i="5"/>
  <c r="X111" i="5" s="1"/>
  <c r="V94" i="5"/>
  <c r="AF94" i="5" s="1"/>
  <c r="R94" i="5"/>
  <c r="AB94" i="5" s="1"/>
  <c r="N94" i="5"/>
  <c r="X94" i="5" s="1"/>
  <c r="V96" i="5"/>
  <c r="AF96" i="5" s="1"/>
  <c r="R96" i="5"/>
  <c r="AB96" i="5" s="1"/>
  <c r="N96" i="5"/>
  <c r="X96" i="5" s="1"/>
  <c r="V98" i="5"/>
  <c r="AF98" i="5" s="1"/>
  <c r="R98" i="5"/>
  <c r="AB98" i="5" s="1"/>
  <c r="N98" i="5"/>
  <c r="X98" i="5" s="1"/>
  <c r="Z100" i="5"/>
  <c r="V100" i="5"/>
  <c r="AF100" i="5" s="1"/>
  <c r="R100" i="5"/>
  <c r="AB100" i="5" s="1"/>
  <c r="N100" i="5"/>
  <c r="X100" i="5" s="1"/>
  <c r="P111" i="5"/>
  <c r="Z111" i="5" s="1"/>
  <c r="I58" i="5"/>
  <c r="I74" i="5"/>
  <c r="I17" i="18"/>
  <c r="E17" i="18" s="1"/>
  <c r="I89" i="5"/>
  <c r="I81" i="5"/>
  <c r="I63" i="5"/>
  <c r="I88" i="5"/>
  <c r="I80" i="5"/>
  <c r="I65" i="5"/>
  <c r="I55" i="5"/>
  <c r="I51" i="5"/>
  <c r="I47" i="5"/>
  <c r="I43" i="5"/>
  <c r="I73" i="5"/>
  <c r="I64" i="5"/>
  <c r="I57" i="5"/>
  <c r="I49" i="5"/>
  <c r="I78" i="5"/>
  <c r="I70" i="5"/>
  <c r="I59" i="5"/>
  <c r="I61" i="5"/>
  <c r="I54" i="5"/>
  <c r="I50" i="5"/>
  <c r="I46" i="5"/>
  <c r="I42" i="5"/>
  <c r="I87" i="5"/>
  <c r="I79" i="5"/>
  <c r="I71" i="5"/>
  <c r="I86" i="5"/>
  <c r="I84" i="5"/>
  <c r="I76" i="5"/>
  <c r="I68" i="5"/>
  <c r="I41" i="5"/>
  <c r="I85" i="5"/>
  <c r="I77" i="5"/>
  <c r="I69" i="5"/>
  <c r="I60" i="5"/>
  <c r="I53" i="5"/>
  <c r="I45" i="5"/>
  <c r="I72" i="5"/>
  <c r="I91" i="5"/>
  <c r="I83" i="5"/>
  <c r="I56" i="5"/>
  <c r="I52" i="5"/>
  <c r="I48" i="5"/>
  <c r="I44" i="5"/>
  <c r="I90" i="5"/>
  <c r="I82" i="5"/>
  <c r="I75" i="5"/>
  <c r="I67" i="5"/>
  <c r="I62" i="5"/>
  <c r="M105" i="5" l="1"/>
  <c r="AG105" i="5" s="1"/>
  <c r="U95" i="5"/>
  <c r="AE95" i="5" s="1"/>
  <c r="Q110" i="5"/>
  <c r="AA110" i="5" s="1"/>
  <c r="S110" i="5"/>
  <c r="AC110" i="5" s="1"/>
  <c r="S101" i="5"/>
  <c r="AC101" i="5" s="1"/>
  <c r="N95" i="5"/>
  <c r="X95" i="5" s="1"/>
  <c r="M95" i="5"/>
  <c r="W95" i="5" s="1"/>
  <c r="N101" i="5"/>
  <c r="X101" i="5" s="1"/>
  <c r="M101" i="5"/>
  <c r="AG101" i="5" s="1"/>
  <c r="O102" i="5"/>
  <c r="AI102" i="5" s="1"/>
  <c r="S105" i="5"/>
  <c r="AC105" i="5" s="1"/>
  <c r="N99" i="5"/>
  <c r="X99" i="5" s="1"/>
  <c r="M93" i="5"/>
  <c r="W93" i="5" s="1"/>
  <c r="P105" i="5"/>
  <c r="Z105" i="5" s="1"/>
  <c r="R93" i="5"/>
  <c r="AB93" i="5" s="1"/>
  <c r="S99" i="5"/>
  <c r="AC99" i="5" s="1"/>
  <c r="V99" i="5"/>
  <c r="AF99" i="5" s="1"/>
  <c r="P93" i="5"/>
  <c r="Z93" i="5" s="1"/>
  <c r="P99" i="5"/>
  <c r="Z99" i="5" s="1"/>
  <c r="O105" i="5"/>
  <c r="Y105" i="5" s="1"/>
  <c r="N110" i="5"/>
  <c r="X110" i="5" s="1"/>
  <c r="U93" i="5"/>
  <c r="AE93" i="5" s="1"/>
  <c r="T109" i="5"/>
  <c r="AD109" i="5" s="1"/>
  <c r="V110" i="5"/>
  <c r="AF110" i="5" s="1"/>
  <c r="T110" i="5"/>
  <c r="AD110" i="5" s="1"/>
  <c r="V109" i="5"/>
  <c r="AF109" i="5" s="1"/>
  <c r="Q105" i="5"/>
  <c r="AA105" i="5" s="1"/>
  <c r="U105" i="5"/>
  <c r="AO105" i="5" s="1"/>
  <c r="V105" i="5"/>
  <c r="AF105" i="5" s="1"/>
  <c r="Q93" i="5"/>
  <c r="AA93" i="5" s="1"/>
  <c r="P109" i="5"/>
  <c r="Z109" i="5" s="1"/>
  <c r="R110" i="5"/>
  <c r="AB110" i="5" s="1"/>
  <c r="M110" i="5"/>
  <c r="W110" i="5" s="1"/>
  <c r="U110" i="5"/>
  <c r="AO110" i="5" s="1"/>
  <c r="O110" i="5"/>
  <c r="AI110" i="5" s="1"/>
  <c r="N93" i="5"/>
  <c r="X93" i="5" s="1"/>
  <c r="V93" i="5"/>
  <c r="AF93" i="5" s="1"/>
  <c r="T93" i="5"/>
  <c r="AD93" i="5" s="1"/>
  <c r="O93" i="5"/>
  <c r="Y93" i="5" s="1"/>
  <c r="T102" i="5"/>
  <c r="AD102" i="5" s="1"/>
  <c r="O104" i="5"/>
  <c r="AI104" i="5" s="1"/>
  <c r="N109" i="5"/>
  <c r="X109" i="5" s="1"/>
  <c r="Q109" i="5"/>
  <c r="AA109" i="5" s="1"/>
  <c r="R109" i="5"/>
  <c r="AB109" i="5" s="1"/>
  <c r="M109" i="5"/>
  <c r="W109" i="5" s="1"/>
  <c r="R105" i="5"/>
  <c r="AB105" i="5" s="1"/>
  <c r="V104" i="5"/>
  <c r="AF104" i="5" s="1"/>
  <c r="T104" i="5"/>
  <c r="AD104" i="5" s="1"/>
  <c r="N104" i="5"/>
  <c r="X104" i="5" s="1"/>
  <c r="R102" i="5"/>
  <c r="AB102" i="5" s="1"/>
  <c r="Q102" i="5"/>
  <c r="AA102" i="5" s="1"/>
  <c r="N102" i="5"/>
  <c r="X102" i="5" s="1"/>
  <c r="V102" i="5"/>
  <c r="AF102" i="5" s="1"/>
  <c r="M102" i="5"/>
  <c r="AG102" i="5" s="1"/>
  <c r="U102" i="5"/>
  <c r="AO102" i="5" s="1"/>
  <c r="AL109" i="5"/>
  <c r="AM93" i="5"/>
  <c r="AL102" i="5"/>
  <c r="AD96" i="5"/>
  <c r="AN96" i="5"/>
  <c r="AD107" i="5"/>
  <c r="AN107" i="5"/>
  <c r="AD108" i="5"/>
  <c r="AN108" i="5"/>
  <c r="AL97" i="5"/>
  <c r="AL111" i="5"/>
  <c r="AL103" i="5"/>
  <c r="AM108" i="5"/>
  <c r="AM96" i="5"/>
  <c r="AM100" i="5"/>
  <c r="AN94" i="5"/>
  <c r="AM105" i="5"/>
  <c r="AM110" i="5"/>
  <c r="AN110" i="5"/>
  <c r="AL98" i="5"/>
  <c r="AM107" i="5"/>
  <c r="AL94" i="5"/>
  <c r="AM99" i="5"/>
  <c r="AD100" i="5"/>
  <c r="AN100" i="5"/>
  <c r="AD98" i="5"/>
  <c r="AN98" i="5"/>
  <c r="AD97" i="5"/>
  <c r="AN97" i="5"/>
  <c r="AD103" i="5"/>
  <c r="AN103" i="5"/>
  <c r="AD111" i="5"/>
  <c r="AN111" i="5"/>
  <c r="T105" i="5"/>
  <c r="AD105" i="5" s="1"/>
  <c r="AN105" i="5"/>
  <c r="AN109" i="5"/>
  <c r="AN93" i="5"/>
  <c r="AN102" i="5"/>
  <c r="AN104" i="5"/>
  <c r="AM97" i="5"/>
  <c r="AM111" i="5"/>
  <c r="AM103" i="5"/>
  <c r="AL108" i="5"/>
  <c r="AL96" i="5"/>
  <c r="AL100" i="5"/>
  <c r="AM101" i="5"/>
  <c r="AL105" i="5"/>
  <c r="AL110" i="5"/>
  <c r="AM98" i="5"/>
  <c r="AL107" i="5"/>
  <c r="AL93" i="5"/>
  <c r="AM94" i="5"/>
  <c r="AM102" i="5"/>
  <c r="H5" i="21"/>
  <c r="G6" i="21"/>
  <c r="H6" i="21" s="1"/>
  <c r="D70" i="5"/>
  <c r="D74" i="5"/>
  <c r="D68" i="5"/>
  <c r="D91" i="5"/>
  <c r="D83" i="5"/>
  <c r="D78" i="5"/>
  <c r="D76" i="5"/>
  <c r="D66" i="5"/>
  <c r="D58" i="5"/>
  <c r="R104" i="5"/>
  <c r="AB104" i="5" s="1"/>
  <c r="U104" i="5"/>
  <c r="AO104" i="5" s="1"/>
  <c r="T92" i="5"/>
  <c r="AD92" i="5" s="1"/>
  <c r="M99" i="5"/>
  <c r="AG99" i="5" s="1"/>
  <c r="O95" i="5"/>
  <c r="Y95" i="5" s="1"/>
  <c r="S95" i="5"/>
  <c r="AC95" i="5" s="1"/>
  <c r="T101" i="5"/>
  <c r="AD101" i="5" s="1"/>
  <c r="O101" i="5"/>
  <c r="Y101" i="5" s="1"/>
  <c r="S104" i="5"/>
  <c r="AC104" i="5" s="1"/>
  <c r="T95" i="5"/>
  <c r="AD95" i="5" s="1"/>
  <c r="T99" i="5"/>
  <c r="AD99" i="5" s="1"/>
  <c r="P104" i="5"/>
  <c r="Z104" i="5" s="1"/>
  <c r="M104" i="5"/>
  <c r="W104" i="5" s="1"/>
  <c r="R101" i="5"/>
  <c r="AB101" i="5" s="1"/>
  <c r="R99" i="5"/>
  <c r="AB99" i="5" s="1"/>
  <c r="R95" i="5"/>
  <c r="AB95" i="5" s="1"/>
  <c r="R92" i="5"/>
  <c r="AB92" i="5" s="1"/>
  <c r="U99" i="5"/>
  <c r="AO99" i="5" s="1"/>
  <c r="Q95" i="5"/>
  <c r="AA95" i="5" s="1"/>
  <c r="P95" i="5"/>
  <c r="Z95" i="5" s="1"/>
  <c r="O99" i="5"/>
  <c r="Y99" i="5" s="1"/>
  <c r="Q101" i="5"/>
  <c r="AA101" i="5" s="1"/>
  <c r="W105" i="5"/>
  <c r="P101" i="5"/>
  <c r="Z101" i="5" s="1"/>
  <c r="O109" i="5"/>
  <c r="AI109" i="5" s="1"/>
  <c r="S109" i="5"/>
  <c r="AC109" i="5" s="1"/>
  <c r="P102" i="5"/>
  <c r="Z102" i="5" s="1"/>
  <c r="M92" i="5"/>
  <c r="W92" i="5" s="1"/>
  <c r="Q92" i="5"/>
  <c r="AA92" i="5" s="1"/>
  <c r="O92" i="5"/>
  <c r="AI92" i="5" s="1"/>
  <c r="V92" i="5"/>
  <c r="AF92" i="5" s="1"/>
  <c r="Y100" i="5"/>
  <c r="U92" i="5"/>
  <c r="AO92" i="5" s="1"/>
  <c r="N92" i="5"/>
  <c r="X92" i="5" s="1"/>
  <c r="S92" i="5"/>
  <c r="AC92" i="5" s="1"/>
  <c r="AG95" i="5"/>
  <c r="AO95" i="5"/>
  <c r="AO107" i="5"/>
  <c r="P92" i="5"/>
  <c r="Z92" i="5" s="1"/>
  <c r="AH107" i="5"/>
  <c r="AH111" i="5"/>
  <c r="AH108" i="5"/>
  <c r="O106" i="5"/>
  <c r="Y106" i="5" s="1"/>
  <c r="AH105" i="5"/>
  <c r="AH103" i="5"/>
  <c r="AH100" i="5"/>
  <c r="AH98" i="5"/>
  <c r="AG97" i="5"/>
  <c r="AH97" i="5"/>
  <c r="Y96" i="5"/>
  <c r="AH96" i="5"/>
  <c r="Y94" i="5"/>
  <c r="J94" i="5" s="1"/>
  <c r="AH94" i="5"/>
  <c r="AE111" i="5"/>
  <c r="AO111" i="5"/>
  <c r="Y111" i="5"/>
  <c r="AI111" i="5"/>
  <c r="W111" i="5"/>
  <c r="AG111" i="5"/>
  <c r="Y108" i="5"/>
  <c r="AI108" i="5"/>
  <c r="W108" i="5"/>
  <c r="AG108" i="5"/>
  <c r="Y107" i="5"/>
  <c r="AI107" i="5"/>
  <c r="W107" i="5"/>
  <c r="AG107" i="5"/>
  <c r="P106" i="5"/>
  <c r="Z106" i="5" s="1"/>
  <c r="T106" i="5"/>
  <c r="AD106" i="5" s="1"/>
  <c r="V106" i="5"/>
  <c r="AF106" i="5" s="1"/>
  <c r="R106" i="5"/>
  <c r="AB106" i="5" s="1"/>
  <c r="N106" i="5"/>
  <c r="X106" i="5" s="1"/>
  <c r="U106" i="5"/>
  <c r="AE106" i="5" s="1"/>
  <c r="S106" i="5"/>
  <c r="AC106" i="5" s="1"/>
  <c r="AI106" i="5"/>
  <c r="AI105" i="5"/>
  <c r="W103" i="5"/>
  <c r="AG103" i="5"/>
  <c r="Y103" i="5"/>
  <c r="AI103" i="5"/>
  <c r="AI101" i="5"/>
  <c r="AE101" i="5"/>
  <c r="AO101" i="5"/>
  <c r="AI99" i="5"/>
  <c r="Y98" i="5"/>
  <c r="AE97" i="5"/>
  <c r="AO97" i="5"/>
  <c r="Y97" i="5"/>
  <c r="AI97" i="5"/>
  <c r="AI95" i="5"/>
  <c r="AI93" i="5"/>
  <c r="AE108" i="5"/>
  <c r="AO108" i="5"/>
  <c r="AE103" i="5"/>
  <c r="AO103" i="5"/>
  <c r="AE109" i="5"/>
  <c r="AO109" i="5"/>
  <c r="AE98" i="5"/>
  <c r="AO98" i="5"/>
  <c r="W100" i="5"/>
  <c r="AG100" i="5"/>
  <c r="AE100" i="5"/>
  <c r="AO100" i="5"/>
  <c r="AE96" i="5"/>
  <c r="AO96" i="5"/>
  <c r="AG98" i="5"/>
  <c r="AG96" i="5"/>
  <c r="AG94" i="5"/>
  <c r="AO94" i="5"/>
  <c r="Q106" i="5"/>
  <c r="AA106" i="5" s="1"/>
  <c r="M106" i="5"/>
  <c r="C17" i="18"/>
  <c r="H17" i="18"/>
  <c r="B17" i="18"/>
  <c r="D72" i="5"/>
  <c r="D44" i="5"/>
  <c r="D52" i="5"/>
  <c r="D60" i="5"/>
  <c r="D85" i="5"/>
  <c r="D84" i="5"/>
  <c r="D79" i="5"/>
  <c r="D64" i="5"/>
  <c r="D81" i="5"/>
  <c r="D89" i="5"/>
  <c r="D86" i="5"/>
  <c r="D57" i="5"/>
  <c r="D65" i="5"/>
  <c r="D45" i="5"/>
  <c r="D71" i="5"/>
  <c r="D87" i="5"/>
  <c r="D61" i="5"/>
  <c r="D59" i="5"/>
  <c r="D49" i="5"/>
  <c r="D43" i="5"/>
  <c r="D47" i="5"/>
  <c r="D51" i="5"/>
  <c r="D55" i="5"/>
  <c r="D80" i="5"/>
  <c r="D88" i="5"/>
  <c r="D67" i="5"/>
  <c r="D75" i="5"/>
  <c r="D82" i="5"/>
  <c r="D90" i="5"/>
  <c r="D48" i="5"/>
  <c r="D56" i="5"/>
  <c r="D62" i="5"/>
  <c r="D53" i="5"/>
  <c r="D69" i="5"/>
  <c r="D77" i="5"/>
  <c r="D42" i="5"/>
  <c r="D46" i="5"/>
  <c r="D50" i="5"/>
  <c r="D54" i="5"/>
  <c r="D73" i="5"/>
  <c r="D63" i="5"/>
  <c r="AH101" i="5" l="1"/>
  <c r="AH95" i="5"/>
  <c r="AE92" i="5"/>
  <c r="W101" i="5"/>
  <c r="J101" i="5" s="1"/>
  <c r="H101" i="5" s="1"/>
  <c r="G101" i="5" s="1"/>
  <c r="AG93" i="5"/>
  <c r="AH99" i="5"/>
  <c r="Y102" i="5"/>
  <c r="AH110" i="5"/>
  <c r="AE105" i="5"/>
  <c r="J105" i="5" s="1"/>
  <c r="AH109" i="5"/>
  <c r="AO93" i="5"/>
  <c r="AH93" i="5"/>
  <c r="AE110" i="5"/>
  <c r="Y110" i="5"/>
  <c r="AE104" i="5"/>
  <c r="AG110" i="5"/>
  <c r="W102" i="5"/>
  <c r="AE102" i="5"/>
  <c r="J93" i="5"/>
  <c r="H93" i="5" s="1"/>
  <c r="G93" i="5" s="1"/>
  <c r="AG104" i="5"/>
  <c r="Y104" i="5"/>
  <c r="AH104" i="5"/>
  <c r="AE99" i="5"/>
  <c r="W99" i="5"/>
  <c r="AH92" i="5"/>
  <c r="AG109" i="5"/>
  <c r="Y109" i="5"/>
  <c r="J109" i="5" s="1"/>
  <c r="H109" i="5" s="1"/>
  <c r="G109" i="5" s="1"/>
  <c r="AH102" i="5"/>
  <c r="AM92" i="5"/>
  <c r="AL99" i="5"/>
  <c r="AL95" i="5"/>
  <c r="AN106" i="5"/>
  <c r="AM95" i="5"/>
  <c r="AN95" i="5"/>
  <c r="AN101" i="5"/>
  <c r="AL104" i="5"/>
  <c r="AM104" i="5"/>
  <c r="AL106" i="5"/>
  <c r="AM109" i="5"/>
  <c r="AL92" i="5"/>
  <c r="AL101" i="5"/>
  <c r="AN99" i="5"/>
  <c r="AN92" i="5"/>
  <c r="AM106" i="5"/>
  <c r="M70" i="5"/>
  <c r="U70" i="5"/>
  <c r="AO70" i="5" s="1"/>
  <c r="V70" i="5"/>
  <c r="AF70" i="5" s="1"/>
  <c r="N70" i="5"/>
  <c r="X70" i="5" s="1"/>
  <c r="R70" i="5"/>
  <c r="AB70" i="5" s="1"/>
  <c r="T70" i="5"/>
  <c r="AD70" i="5" s="1"/>
  <c r="P70" i="5"/>
  <c r="Z70" i="5" s="1"/>
  <c r="S70" i="5"/>
  <c r="AC70" i="5" s="1"/>
  <c r="O70" i="5"/>
  <c r="AI70" i="5" s="1"/>
  <c r="Q70" i="5"/>
  <c r="AA70" i="5" s="1"/>
  <c r="T91" i="5"/>
  <c r="AD91" i="5" s="1"/>
  <c r="U83" i="5"/>
  <c r="AE83" i="5" s="1"/>
  <c r="V78" i="5"/>
  <c r="AF78" i="5" s="1"/>
  <c r="U76" i="5"/>
  <c r="AE76" i="5" s="1"/>
  <c r="V74" i="5"/>
  <c r="AF74" i="5" s="1"/>
  <c r="U68" i="5"/>
  <c r="AE68" i="5" s="1"/>
  <c r="N66" i="5"/>
  <c r="X66" i="5" s="1"/>
  <c r="M58" i="5"/>
  <c r="AG58" i="5" s="1"/>
  <c r="S68" i="5"/>
  <c r="AC68" i="5" s="1"/>
  <c r="M68" i="5"/>
  <c r="W68" i="5" s="1"/>
  <c r="R68" i="5"/>
  <c r="AB68" i="5" s="1"/>
  <c r="P74" i="5"/>
  <c r="Z74" i="5" s="1"/>
  <c r="U74" i="5"/>
  <c r="AO74" i="5" s="1"/>
  <c r="T74" i="5"/>
  <c r="AD74" i="5" s="1"/>
  <c r="N74" i="5"/>
  <c r="X74" i="5" s="1"/>
  <c r="M74" i="5"/>
  <c r="AG74" i="5" s="1"/>
  <c r="S74" i="5"/>
  <c r="AC74" i="5" s="1"/>
  <c r="Q74" i="5"/>
  <c r="AA74" i="5" s="1"/>
  <c r="O74" i="5"/>
  <c r="Y74" i="5" s="1"/>
  <c r="R74" i="5"/>
  <c r="AB74" i="5" s="1"/>
  <c r="N68" i="5"/>
  <c r="X68" i="5" s="1"/>
  <c r="V68" i="5"/>
  <c r="AF68" i="5" s="1"/>
  <c r="P68" i="5"/>
  <c r="Z68" i="5" s="1"/>
  <c r="Q68" i="5"/>
  <c r="AA68" i="5" s="1"/>
  <c r="T68" i="5"/>
  <c r="AD68" i="5" s="1"/>
  <c r="O68" i="5"/>
  <c r="Y68" i="5" s="1"/>
  <c r="V91" i="5"/>
  <c r="AF91" i="5" s="1"/>
  <c r="R91" i="5"/>
  <c r="AB91" i="5" s="1"/>
  <c r="S83" i="5"/>
  <c r="AC83" i="5" s="1"/>
  <c r="V66" i="5"/>
  <c r="AF66" i="5" s="1"/>
  <c r="N91" i="5"/>
  <c r="X91" i="5" s="1"/>
  <c r="Q91" i="5"/>
  <c r="AA91" i="5" s="1"/>
  <c r="P91" i="5"/>
  <c r="U91" i="5"/>
  <c r="AE91" i="5" s="1"/>
  <c r="V83" i="5"/>
  <c r="AF83" i="5" s="1"/>
  <c r="O58" i="5"/>
  <c r="Y58" i="5" s="1"/>
  <c r="V58" i="5"/>
  <c r="AF58" i="5" s="1"/>
  <c r="O91" i="5"/>
  <c r="Y91" i="5" s="1"/>
  <c r="S91" i="5"/>
  <c r="AC91" i="5" s="1"/>
  <c r="M91" i="5"/>
  <c r="AG91" i="5" s="1"/>
  <c r="O83" i="5"/>
  <c r="Y83" i="5" s="1"/>
  <c r="P58" i="5"/>
  <c r="Q83" i="5"/>
  <c r="AA83" i="5" s="1"/>
  <c r="N83" i="5"/>
  <c r="X83" i="5" s="1"/>
  <c r="R83" i="5"/>
  <c r="AB83" i="5" s="1"/>
  <c r="M83" i="5"/>
  <c r="W83" i="5" s="1"/>
  <c r="P83" i="5"/>
  <c r="Z83" i="5" s="1"/>
  <c r="T83" i="5"/>
  <c r="O78" i="5"/>
  <c r="Y78" i="5" s="1"/>
  <c r="M78" i="5"/>
  <c r="W78" i="5" s="1"/>
  <c r="U78" i="5"/>
  <c r="AO78" i="5" s="1"/>
  <c r="P78" i="5"/>
  <c r="Z78" i="5" s="1"/>
  <c r="N78" i="5"/>
  <c r="X78" i="5" s="1"/>
  <c r="S78" i="5"/>
  <c r="AC78" i="5" s="1"/>
  <c r="Q78" i="5"/>
  <c r="AA78" i="5" s="1"/>
  <c r="R78" i="5"/>
  <c r="AB78" i="5" s="1"/>
  <c r="T78" i="5"/>
  <c r="U66" i="5"/>
  <c r="AO66" i="5" s="1"/>
  <c r="O66" i="5"/>
  <c r="Y66" i="5" s="1"/>
  <c r="R66" i="5"/>
  <c r="AB66" i="5" s="1"/>
  <c r="S66" i="5"/>
  <c r="AC66" i="5" s="1"/>
  <c r="M66" i="5"/>
  <c r="W66" i="5" s="1"/>
  <c r="Q66" i="5"/>
  <c r="AA66" i="5" s="1"/>
  <c r="T66" i="5"/>
  <c r="P66" i="5"/>
  <c r="Z66" i="5" s="1"/>
  <c r="U58" i="5"/>
  <c r="AE58" i="5" s="1"/>
  <c r="N58" i="5"/>
  <c r="X58" i="5" s="1"/>
  <c r="R58" i="5"/>
  <c r="AB58" i="5" s="1"/>
  <c r="S58" i="5"/>
  <c r="AC58" i="5" s="1"/>
  <c r="Q58" i="5"/>
  <c r="AA58" i="5" s="1"/>
  <c r="T58" i="5"/>
  <c r="P76" i="5"/>
  <c r="T76" i="5"/>
  <c r="N76" i="5"/>
  <c r="X76" i="5" s="1"/>
  <c r="M76" i="5"/>
  <c r="AG76" i="5" s="1"/>
  <c r="O76" i="5"/>
  <c r="Y76" i="5" s="1"/>
  <c r="R76" i="5"/>
  <c r="AB76" i="5" s="1"/>
  <c r="V76" i="5"/>
  <c r="AF76" i="5" s="1"/>
  <c r="Q76" i="5"/>
  <c r="AA76" i="5" s="1"/>
  <c r="S76" i="5"/>
  <c r="AC76" i="5" s="1"/>
  <c r="AG92" i="5"/>
  <c r="J95" i="5"/>
  <c r="H95" i="5" s="1"/>
  <c r="G95" i="5" s="1"/>
  <c r="Y92" i="5"/>
  <c r="J96" i="5"/>
  <c r="H96" i="5" s="1"/>
  <c r="G96" i="5" s="1"/>
  <c r="J97" i="5"/>
  <c r="J107" i="5"/>
  <c r="H107" i="5" s="1"/>
  <c r="G107" i="5" s="1"/>
  <c r="AO106" i="5"/>
  <c r="J108" i="5"/>
  <c r="J111" i="5"/>
  <c r="AH106" i="5"/>
  <c r="S90" i="5"/>
  <c r="AC90" i="5" s="1"/>
  <c r="R89" i="5"/>
  <c r="AB89" i="5" s="1"/>
  <c r="R88" i="5"/>
  <c r="AB88" i="5" s="1"/>
  <c r="R87" i="5"/>
  <c r="AB87" i="5" s="1"/>
  <c r="P86" i="5"/>
  <c r="Z86" i="5" s="1"/>
  <c r="U85" i="5"/>
  <c r="AE85" i="5" s="1"/>
  <c r="M84" i="5"/>
  <c r="AG84" i="5" s="1"/>
  <c r="O82" i="5"/>
  <c r="Y82" i="5" s="1"/>
  <c r="U81" i="5"/>
  <c r="AO81" i="5" s="1"/>
  <c r="Q80" i="5"/>
  <c r="AA80" i="5" s="1"/>
  <c r="S79" i="5"/>
  <c r="AC79" i="5" s="1"/>
  <c r="N77" i="5"/>
  <c r="AH77" i="5" s="1"/>
  <c r="P75" i="5"/>
  <c r="Z75" i="5" s="1"/>
  <c r="Q73" i="5"/>
  <c r="AA73" i="5" s="1"/>
  <c r="R71" i="5"/>
  <c r="AB71" i="5" s="1"/>
  <c r="V69" i="5"/>
  <c r="AF69" i="5" s="1"/>
  <c r="V67" i="5"/>
  <c r="AF67" i="5" s="1"/>
  <c r="V64" i="5"/>
  <c r="AF64" i="5" s="1"/>
  <c r="N63" i="5"/>
  <c r="AH63" i="5" s="1"/>
  <c r="V61" i="5"/>
  <c r="AF61" i="5" s="1"/>
  <c r="P59" i="5"/>
  <c r="O57" i="5"/>
  <c r="Y57" i="5" s="1"/>
  <c r="Q56" i="5"/>
  <c r="AA56" i="5" s="1"/>
  <c r="V55" i="5"/>
  <c r="AF55" i="5" s="1"/>
  <c r="V54" i="5"/>
  <c r="AF54" i="5" s="1"/>
  <c r="T53" i="5"/>
  <c r="S52" i="5"/>
  <c r="AM52" i="5" s="1"/>
  <c r="S51" i="5"/>
  <c r="AC51" i="5" s="1"/>
  <c r="O50" i="5"/>
  <c r="Y50" i="5" s="1"/>
  <c r="P49" i="5"/>
  <c r="Z49" i="5" s="1"/>
  <c r="M48" i="5"/>
  <c r="W48" i="5" s="1"/>
  <c r="V47" i="5"/>
  <c r="AF47" i="5" s="1"/>
  <c r="T46" i="5"/>
  <c r="O45" i="5"/>
  <c r="Y45" i="5" s="1"/>
  <c r="S44" i="5"/>
  <c r="AC44" i="5" s="1"/>
  <c r="P43" i="5"/>
  <c r="Z43" i="5" s="1"/>
  <c r="Q42" i="5"/>
  <c r="AA42" i="5" s="1"/>
  <c r="J98" i="5"/>
  <c r="H98" i="5" s="1"/>
  <c r="G98" i="5" s="1"/>
  <c r="J103" i="5"/>
  <c r="T47" i="5"/>
  <c r="M89" i="5"/>
  <c r="W89" i="5" s="1"/>
  <c r="H94" i="5"/>
  <c r="G94" i="5" s="1"/>
  <c r="AG106" i="5"/>
  <c r="W106" i="5"/>
  <c r="J106" i="5" s="1"/>
  <c r="J100" i="5"/>
  <c r="T48" i="5"/>
  <c r="AD48" i="5" s="1"/>
  <c r="O67" i="5"/>
  <c r="Y67" i="5" s="1"/>
  <c r="T61" i="5"/>
  <c r="U69" i="5"/>
  <c r="AO69" i="5" s="1"/>
  <c r="S43" i="5"/>
  <c r="AC43" i="5" s="1"/>
  <c r="Q57" i="5"/>
  <c r="AA57" i="5" s="1"/>
  <c r="AI91" i="5"/>
  <c r="O90" i="5"/>
  <c r="Y90" i="5" s="1"/>
  <c r="N90" i="5"/>
  <c r="X90" i="5" s="1"/>
  <c r="U90" i="5"/>
  <c r="AE90" i="5" s="1"/>
  <c r="T90" i="5"/>
  <c r="P90" i="5"/>
  <c r="Z90" i="5" s="1"/>
  <c r="S89" i="5"/>
  <c r="AM89" i="5" s="1"/>
  <c r="U89" i="5"/>
  <c r="P89" i="5"/>
  <c r="Z89" i="5" s="1"/>
  <c r="S88" i="5"/>
  <c r="AC88" i="5" s="1"/>
  <c r="V88" i="5"/>
  <c r="AF88" i="5" s="1"/>
  <c r="M88" i="5"/>
  <c r="W88" i="5" s="1"/>
  <c r="P88" i="5"/>
  <c r="T88" i="5"/>
  <c r="AD88" i="5" s="1"/>
  <c r="O84" i="5"/>
  <c r="Y84" i="5" s="1"/>
  <c r="T82" i="5"/>
  <c r="AD82" i="5" s="1"/>
  <c r="N82" i="5"/>
  <c r="X82" i="5" s="1"/>
  <c r="P82" i="5"/>
  <c r="Z82" i="5" s="1"/>
  <c r="R82" i="5"/>
  <c r="AB82" i="5" s="1"/>
  <c r="M82" i="5"/>
  <c r="W82" i="5" s="1"/>
  <c r="Q82" i="5"/>
  <c r="AA82" i="5" s="1"/>
  <c r="U82" i="5"/>
  <c r="AE82" i="5" s="1"/>
  <c r="V81" i="5"/>
  <c r="AF81" i="5" s="1"/>
  <c r="Q81" i="5"/>
  <c r="AA81" i="5" s="1"/>
  <c r="M81" i="5"/>
  <c r="W81" i="5" s="1"/>
  <c r="T81" i="5"/>
  <c r="P81" i="5"/>
  <c r="Z81" i="5" s="1"/>
  <c r="N81" i="5"/>
  <c r="X81" i="5" s="1"/>
  <c r="R81" i="5"/>
  <c r="AB81" i="5" s="1"/>
  <c r="S81" i="5"/>
  <c r="AC81" i="5" s="1"/>
  <c r="O81" i="5"/>
  <c r="AI81" i="5" s="1"/>
  <c r="V80" i="5"/>
  <c r="AF80" i="5" s="1"/>
  <c r="U80" i="5"/>
  <c r="AE80" i="5" s="1"/>
  <c r="N80" i="5"/>
  <c r="X80" i="5" s="1"/>
  <c r="P80" i="5"/>
  <c r="Z80" i="5" s="1"/>
  <c r="T77" i="5"/>
  <c r="P77" i="5"/>
  <c r="Z77" i="5" s="1"/>
  <c r="O77" i="5"/>
  <c r="Y77" i="5" s="1"/>
  <c r="M77" i="5"/>
  <c r="AG77" i="5" s="1"/>
  <c r="S75" i="5"/>
  <c r="AC75" i="5" s="1"/>
  <c r="S73" i="5"/>
  <c r="AC73" i="5" s="1"/>
  <c r="T73" i="5"/>
  <c r="M71" i="5"/>
  <c r="W71" i="5" s="1"/>
  <c r="P71" i="5"/>
  <c r="Z71" i="5" s="1"/>
  <c r="S64" i="5"/>
  <c r="P64" i="5"/>
  <c r="Z64" i="5" s="1"/>
  <c r="M63" i="5"/>
  <c r="AG63" i="5" s="1"/>
  <c r="U63" i="5"/>
  <c r="AO63" i="5" s="1"/>
  <c r="T59" i="5"/>
  <c r="O59" i="5"/>
  <c r="AI59" i="5" s="1"/>
  <c r="V59" i="5"/>
  <c r="AF59" i="5" s="1"/>
  <c r="N56" i="5"/>
  <c r="X56" i="5" s="1"/>
  <c r="Q55" i="5"/>
  <c r="AA55" i="5" s="1"/>
  <c r="T55" i="5"/>
  <c r="AD55" i="5" s="1"/>
  <c r="Q53" i="5"/>
  <c r="AA53" i="5" s="1"/>
  <c r="O53" i="5"/>
  <c r="Y53" i="5" s="1"/>
  <c r="U53" i="5"/>
  <c r="AE53" i="5" s="1"/>
  <c r="P53" i="5"/>
  <c r="N53" i="5"/>
  <c r="X53" i="5" s="1"/>
  <c r="T51" i="5"/>
  <c r="O51" i="5"/>
  <c r="Y51" i="5" s="1"/>
  <c r="M51" i="5"/>
  <c r="W51" i="5" s="1"/>
  <c r="R51" i="5"/>
  <c r="AB51" i="5" s="1"/>
  <c r="N51" i="5"/>
  <c r="X51" i="5" s="1"/>
  <c r="P51" i="5"/>
  <c r="Z51" i="5" s="1"/>
  <c r="M50" i="5"/>
  <c r="W50" i="5" s="1"/>
  <c r="N50" i="5"/>
  <c r="X50" i="5" s="1"/>
  <c r="U50" i="5"/>
  <c r="AE50" i="5" s="1"/>
  <c r="U48" i="5"/>
  <c r="AE48" i="5" s="1"/>
  <c r="N47" i="5"/>
  <c r="X47" i="5" s="1"/>
  <c r="S47" i="5"/>
  <c r="AC47" i="5" s="1"/>
  <c r="S45" i="5"/>
  <c r="AC45" i="5" s="1"/>
  <c r="U44" i="5"/>
  <c r="AO44" i="5" s="1"/>
  <c r="V43" i="5"/>
  <c r="AF43" i="5" s="1"/>
  <c r="U43" i="5"/>
  <c r="AO43" i="5" s="1"/>
  <c r="R43" i="5"/>
  <c r="AB43" i="5" s="1"/>
  <c r="Q43" i="5"/>
  <c r="AA43" i="5" s="1"/>
  <c r="N43" i="5"/>
  <c r="X43" i="5" s="1"/>
  <c r="P42" i="5"/>
  <c r="O42" i="5"/>
  <c r="Y42" i="5" s="1"/>
  <c r="V57" i="5"/>
  <c r="AF57" i="5" s="1"/>
  <c r="V73" i="5"/>
  <c r="AF73" i="5" s="1"/>
  <c r="N73" i="5"/>
  <c r="X73" i="5" s="1"/>
  <c r="T50" i="5"/>
  <c r="T42" i="5"/>
  <c r="AN42" i="5" s="1"/>
  <c r="V42" i="5"/>
  <c r="AF42" i="5" s="1"/>
  <c r="M42" i="5"/>
  <c r="AG42" i="5" s="1"/>
  <c r="U77" i="5"/>
  <c r="AO77" i="5" s="1"/>
  <c r="N69" i="5"/>
  <c r="X69" i="5" s="1"/>
  <c r="M56" i="5"/>
  <c r="W56" i="5" s="1"/>
  <c r="R48" i="5"/>
  <c r="AB48" i="5" s="1"/>
  <c r="S48" i="5"/>
  <c r="AC48" i="5" s="1"/>
  <c r="R90" i="5"/>
  <c r="AB90" i="5" s="1"/>
  <c r="N75" i="5"/>
  <c r="X75" i="5" s="1"/>
  <c r="U88" i="5"/>
  <c r="AO88" i="5" s="1"/>
  <c r="O43" i="5"/>
  <c r="T43" i="5"/>
  <c r="N71" i="5"/>
  <c r="X71" i="5" s="1"/>
  <c r="M45" i="5"/>
  <c r="AG45" i="5" s="1"/>
  <c r="T57" i="5"/>
  <c r="AD57" i="5" s="1"/>
  <c r="T89" i="5"/>
  <c r="AD89" i="5" s="1"/>
  <c r="M64" i="5"/>
  <c r="W64" i="5" s="1"/>
  <c r="O85" i="5"/>
  <c r="AI85" i="5" s="1"/>
  <c r="T44" i="5"/>
  <c r="AI83" i="5"/>
  <c r="N42" i="5"/>
  <c r="X42" i="5" s="1"/>
  <c r="Q69" i="5"/>
  <c r="AA69" i="5" s="1"/>
  <c r="O73" i="5"/>
  <c r="AI73" i="5" s="1"/>
  <c r="R42" i="5"/>
  <c r="AB42" i="5" s="1"/>
  <c r="U42" i="5"/>
  <c r="AE42" i="5" s="1"/>
  <c r="M69" i="5"/>
  <c r="W69" i="5" s="1"/>
  <c r="Q48" i="5"/>
  <c r="AA48" i="5" s="1"/>
  <c r="O75" i="5"/>
  <c r="Y75" i="5" s="1"/>
  <c r="S57" i="5"/>
  <c r="AC57" i="5" s="1"/>
  <c r="P60" i="5"/>
  <c r="Z60" i="5" s="1"/>
  <c r="M60" i="5"/>
  <c r="W60" i="5" s="1"/>
  <c r="R60" i="5"/>
  <c r="AB60" i="5" s="1"/>
  <c r="T60" i="5"/>
  <c r="AD60" i="5" s="1"/>
  <c r="Q60" i="5"/>
  <c r="AA60" i="5" s="1"/>
  <c r="V60" i="5"/>
  <c r="AF60" i="5" s="1"/>
  <c r="O60" i="5"/>
  <c r="Y60" i="5" s="1"/>
  <c r="S60" i="5"/>
  <c r="AC60" i="5" s="1"/>
  <c r="P72" i="5"/>
  <c r="S72" i="5"/>
  <c r="AC72" i="5" s="1"/>
  <c r="N72" i="5"/>
  <c r="X72" i="5" s="1"/>
  <c r="T63" i="5"/>
  <c r="O63" i="5"/>
  <c r="Y63" i="5" s="1"/>
  <c r="R63" i="5"/>
  <c r="AB63" i="5" s="1"/>
  <c r="AI50" i="5"/>
  <c r="S50" i="5"/>
  <c r="AC50" i="5" s="1"/>
  <c r="S42" i="5"/>
  <c r="AC42" i="5" s="1"/>
  <c r="Q77" i="5"/>
  <c r="AA77" i="5" s="1"/>
  <c r="V77" i="5"/>
  <c r="AF77" i="5" s="1"/>
  <c r="R69" i="5"/>
  <c r="AB69" i="5" s="1"/>
  <c r="V53" i="5"/>
  <c r="AF53" i="5" s="1"/>
  <c r="S53" i="5"/>
  <c r="AC53" i="5" s="1"/>
  <c r="R53" i="5"/>
  <c r="AB53" i="5" s="1"/>
  <c r="M53" i="5"/>
  <c r="W53" i="5" s="1"/>
  <c r="M62" i="5"/>
  <c r="W62" i="5" s="1"/>
  <c r="V48" i="5"/>
  <c r="AF48" i="5" s="1"/>
  <c r="M80" i="5"/>
  <c r="W80" i="5" s="1"/>
  <c r="O80" i="5"/>
  <c r="Y80" i="5" s="1"/>
  <c r="V51" i="5"/>
  <c r="AF51" i="5" s="1"/>
  <c r="U51" i="5"/>
  <c r="Q51" i="5"/>
  <c r="AA51" i="5" s="1"/>
  <c r="Q47" i="5"/>
  <c r="AA47" i="5" s="1"/>
  <c r="Q59" i="5"/>
  <c r="AA59" i="5" s="1"/>
  <c r="S71" i="5"/>
  <c r="AC71" i="5" s="1"/>
  <c r="T45" i="5"/>
  <c r="AD45" i="5" s="1"/>
  <c r="P57" i="5"/>
  <c r="Z57" i="5" s="1"/>
  <c r="U86" i="5"/>
  <c r="AO86" i="5" s="1"/>
  <c r="S86" i="5"/>
  <c r="AC86" i="5" s="1"/>
  <c r="T86" i="5"/>
  <c r="AD86" i="5" s="1"/>
  <c r="O86" i="5"/>
  <c r="AI86" i="5" s="1"/>
  <c r="Q86" i="5"/>
  <c r="AA86" i="5" s="1"/>
  <c r="T62" i="5"/>
  <c r="R62" i="5"/>
  <c r="AB62" i="5" s="1"/>
  <c r="S62" i="5"/>
  <c r="AC62" i="5" s="1"/>
  <c r="N62" i="5"/>
  <c r="X62" i="5" s="1"/>
  <c r="P63" i="5"/>
  <c r="V63" i="5"/>
  <c r="AF63" i="5" s="1"/>
  <c r="S69" i="5"/>
  <c r="AC69" i="5" s="1"/>
  <c r="O69" i="5"/>
  <c r="Y69" i="5" s="1"/>
  <c r="T69" i="5"/>
  <c r="O62" i="5"/>
  <c r="Y62" i="5" s="1"/>
  <c r="V62" i="5"/>
  <c r="AF62" i="5" s="1"/>
  <c r="O56" i="5"/>
  <c r="Y56" i="5" s="1"/>
  <c r="T56" i="5"/>
  <c r="P48" i="5"/>
  <c r="Z48" i="5" s="1"/>
  <c r="O48" i="5"/>
  <c r="Y48" i="5" s="1"/>
  <c r="N48" i="5"/>
  <c r="X48" i="5" s="1"/>
  <c r="R55" i="5"/>
  <c r="AB55" i="5" s="1"/>
  <c r="M55" i="5"/>
  <c r="AG55" i="5" s="1"/>
  <c r="P61" i="5"/>
  <c r="Z61" i="5" s="1"/>
  <c r="S61" i="5"/>
  <c r="AC61" i="5" s="1"/>
  <c r="O61" i="5"/>
  <c r="Y61" i="5" s="1"/>
  <c r="T65" i="5"/>
  <c r="N65" i="5"/>
  <c r="X65" i="5" s="1"/>
  <c r="U60" i="5"/>
  <c r="AO60" i="5" s="1"/>
  <c r="M52" i="5"/>
  <c r="AG52" i="5" s="1"/>
  <c r="T52" i="5"/>
  <c r="P52" i="5"/>
  <c r="Z52" i="5" s="1"/>
  <c r="Q52" i="5"/>
  <c r="AA52" i="5" s="1"/>
  <c r="N52" i="5"/>
  <c r="X52" i="5" s="1"/>
  <c r="P62" i="5"/>
  <c r="Q62" i="5"/>
  <c r="AA62" i="5" s="1"/>
  <c r="U62" i="5"/>
  <c r="AE62" i="5" s="1"/>
  <c r="R59" i="5"/>
  <c r="AB59" i="5" s="1"/>
  <c r="S59" i="5"/>
  <c r="AC59" i="5" s="1"/>
  <c r="M59" i="5"/>
  <c r="AG59" i="5" s="1"/>
  <c r="O71" i="5"/>
  <c r="Y71" i="5" s="1"/>
  <c r="Q71" i="5"/>
  <c r="AA71" i="5" s="1"/>
  <c r="T71" i="5"/>
  <c r="AD71" i="5" s="1"/>
  <c r="N57" i="5"/>
  <c r="X57" i="5" s="1"/>
  <c r="M57" i="5"/>
  <c r="AG57" i="5" s="1"/>
  <c r="U57" i="5"/>
  <c r="AE57" i="5" s="1"/>
  <c r="R57" i="5"/>
  <c r="AB57" i="5" s="1"/>
  <c r="N60" i="5"/>
  <c r="X60" i="5" s="1"/>
  <c r="N88" i="5"/>
  <c r="X88" i="5" s="1"/>
  <c r="O89" i="5"/>
  <c r="AI89" i="5" s="1"/>
  <c r="V89" i="5"/>
  <c r="AF89" i="5" s="1"/>
  <c r="Q89" i="5"/>
  <c r="AA89" i="5" s="1"/>
  <c r="U64" i="5"/>
  <c r="AE64" i="5" s="1"/>
  <c r="T64" i="5"/>
  <c r="AD64" i="5" s="1"/>
  <c r="N64" i="5"/>
  <c r="X64" i="5" s="1"/>
  <c r="Q64" i="5"/>
  <c r="AA64" i="5" s="1"/>
  <c r="M44" i="5"/>
  <c r="O44" i="5"/>
  <c r="R64" i="5"/>
  <c r="AB64" i="5" s="1"/>
  <c r="O64" i="5"/>
  <c r="Y64" i="5" s="1"/>
  <c r="T85" i="5"/>
  <c r="N44" i="5"/>
  <c r="X44" i="5" s="1"/>
  <c r="R44" i="5"/>
  <c r="AB44" i="5" s="1"/>
  <c r="R54" i="5"/>
  <c r="AB54" i="5" s="1"/>
  <c r="Q67" i="5"/>
  <c r="AA67" i="5" s="1"/>
  <c r="Q49" i="5"/>
  <c r="AA49" i="5" s="1"/>
  <c r="R49" i="5"/>
  <c r="AB49" i="5" s="1"/>
  <c r="P65" i="5"/>
  <c r="V65" i="5"/>
  <c r="AF65" i="5" s="1"/>
  <c r="R65" i="5"/>
  <c r="AB65" i="5" s="1"/>
  <c r="AI76" i="5"/>
  <c r="Q63" i="5"/>
  <c r="AA63" i="5" s="1"/>
  <c r="U73" i="5"/>
  <c r="M73" i="5"/>
  <c r="AG73" i="5" s="1"/>
  <c r="O54" i="5"/>
  <c r="Y54" i="5" s="1"/>
  <c r="Q54" i="5"/>
  <c r="AA54" i="5" s="1"/>
  <c r="M54" i="5"/>
  <c r="W54" i="5" s="1"/>
  <c r="R50" i="5"/>
  <c r="AB50" i="5" s="1"/>
  <c r="P50" i="5"/>
  <c r="Q50" i="5"/>
  <c r="AA50" i="5" s="1"/>
  <c r="V50" i="5"/>
  <c r="AF50" i="5" s="1"/>
  <c r="R46" i="5"/>
  <c r="AB46" i="5" s="1"/>
  <c r="N46" i="5"/>
  <c r="X46" i="5" s="1"/>
  <c r="P46" i="5"/>
  <c r="Z46" i="5" s="1"/>
  <c r="R77" i="5"/>
  <c r="AB77" i="5" s="1"/>
  <c r="S77" i="5"/>
  <c r="AC77" i="5" s="1"/>
  <c r="P69" i="5"/>
  <c r="Z69" i="5" s="1"/>
  <c r="P56" i="5"/>
  <c r="Z56" i="5" s="1"/>
  <c r="V56" i="5"/>
  <c r="AF56" i="5" s="1"/>
  <c r="V90" i="5"/>
  <c r="AF90" i="5" s="1"/>
  <c r="Q90" i="5"/>
  <c r="AA90" i="5" s="1"/>
  <c r="AI82" i="5"/>
  <c r="S82" i="5"/>
  <c r="AC82" i="5" s="1"/>
  <c r="V82" i="5"/>
  <c r="AF82" i="5" s="1"/>
  <c r="Q75" i="5"/>
  <c r="AA75" i="5" s="1"/>
  <c r="S67" i="5"/>
  <c r="AC67" i="5" s="1"/>
  <c r="R80" i="5"/>
  <c r="AB80" i="5" s="1"/>
  <c r="S80" i="5"/>
  <c r="AC80" i="5" s="1"/>
  <c r="T80" i="5"/>
  <c r="O55" i="5"/>
  <c r="AI55" i="5" s="1"/>
  <c r="P55" i="5"/>
  <c r="Z55" i="5" s="1"/>
  <c r="P47" i="5"/>
  <c r="Z47" i="5" s="1"/>
  <c r="M47" i="5"/>
  <c r="W47" i="5" s="1"/>
  <c r="U47" i="5"/>
  <c r="R47" i="5"/>
  <c r="AB47" i="5" s="1"/>
  <c r="O47" i="5"/>
  <c r="N49" i="5"/>
  <c r="X49" i="5" s="1"/>
  <c r="U49" i="5"/>
  <c r="AO49" i="5" s="1"/>
  <c r="O49" i="5"/>
  <c r="AI49" i="5" s="1"/>
  <c r="N59" i="5"/>
  <c r="X59" i="5" s="1"/>
  <c r="U59" i="5"/>
  <c r="AE59" i="5" s="1"/>
  <c r="M61" i="5"/>
  <c r="W61" i="5" s="1"/>
  <c r="U61" i="5"/>
  <c r="AO61" i="5" s="1"/>
  <c r="R61" i="5"/>
  <c r="AB61" i="5" s="1"/>
  <c r="Q61" i="5"/>
  <c r="AA61" i="5" s="1"/>
  <c r="N61" i="5"/>
  <c r="X61" i="5" s="1"/>
  <c r="O87" i="5"/>
  <c r="Y87" i="5" s="1"/>
  <c r="V87" i="5"/>
  <c r="AF87" i="5" s="1"/>
  <c r="V71" i="5"/>
  <c r="AF71" i="5" s="1"/>
  <c r="U71" i="5"/>
  <c r="AO71" i="5" s="1"/>
  <c r="R45" i="5"/>
  <c r="AB45" i="5" s="1"/>
  <c r="U45" i="5"/>
  <c r="AE45" i="5" s="1"/>
  <c r="S65" i="5"/>
  <c r="AC65" i="5" s="1"/>
  <c r="O65" i="5"/>
  <c r="AI65" i="5" s="1"/>
  <c r="Q65" i="5"/>
  <c r="AA65" i="5" s="1"/>
  <c r="U79" i="5"/>
  <c r="AE79" i="5" s="1"/>
  <c r="Q72" i="5"/>
  <c r="AA72" i="5" s="1"/>
  <c r="O72" i="5"/>
  <c r="Y72" i="5" s="1"/>
  <c r="M72" i="5"/>
  <c r="AG72" i="5" s="1"/>
  <c r="V72" i="5"/>
  <c r="AF72" i="5" s="1"/>
  <c r="U72" i="5"/>
  <c r="AO72" i="5" s="1"/>
  <c r="T72" i="5"/>
  <c r="R72" i="5"/>
  <c r="AB72" i="5" s="1"/>
  <c r="S54" i="5"/>
  <c r="AC54" i="5" s="1"/>
  <c r="P54" i="5"/>
  <c r="Z54" i="5" s="1"/>
  <c r="N54" i="5"/>
  <c r="X54" i="5" s="1"/>
  <c r="U46" i="5"/>
  <c r="AE46" i="5" s="1"/>
  <c r="M46" i="5"/>
  <c r="W46" i="5" s="1"/>
  <c r="U56" i="5"/>
  <c r="AO56" i="5" s="1"/>
  <c r="S56" i="5"/>
  <c r="AC56" i="5" s="1"/>
  <c r="U67" i="5"/>
  <c r="AO67" i="5" s="1"/>
  <c r="R67" i="5"/>
  <c r="AB67" i="5" s="1"/>
  <c r="N67" i="5"/>
  <c r="X67" i="5" s="1"/>
  <c r="V49" i="5"/>
  <c r="AF49" i="5" s="1"/>
  <c r="M49" i="5"/>
  <c r="W49" i="5" s="1"/>
  <c r="U87" i="5"/>
  <c r="AO87" i="5" s="1"/>
  <c r="T87" i="5"/>
  <c r="S87" i="5"/>
  <c r="AC87" i="5" s="1"/>
  <c r="P87" i="5"/>
  <c r="Z87" i="5" s="1"/>
  <c r="M87" i="5"/>
  <c r="AG87" i="5" s="1"/>
  <c r="V45" i="5"/>
  <c r="AF45" i="5" s="1"/>
  <c r="N45" i="5"/>
  <c r="X45" i="5" s="1"/>
  <c r="P45" i="5"/>
  <c r="AI67" i="5"/>
  <c r="M79" i="5"/>
  <c r="AG79" i="5" s="1"/>
  <c r="T79" i="5"/>
  <c r="AD79" i="5" s="1"/>
  <c r="R79" i="5"/>
  <c r="AB79" i="5" s="1"/>
  <c r="P79" i="5"/>
  <c r="Z79" i="5" s="1"/>
  <c r="O79" i="5"/>
  <c r="AI79" i="5" s="1"/>
  <c r="V79" i="5"/>
  <c r="AF79" i="5" s="1"/>
  <c r="Q79" i="5"/>
  <c r="AA79" i="5" s="1"/>
  <c r="N79" i="5"/>
  <c r="X79" i="5" s="1"/>
  <c r="N84" i="5"/>
  <c r="X84" i="5" s="1"/>
  <c r="T84" i="5"/>
  <c r="Q84" i="5"/>
  <c r="AA84" i="5" s="1"/>
  <c r="U84" i="5"/>
  <c r="AO84" i="5" s="1"/>
  <c r="S84" i="5"/>
  <c r="AC84" i="5" s="1"/>
  <c r="P84" i="5"/>
  <c r="Z84" i="5" s="1"/>
  <c r="R84" i="5"/>
  <c r="AB84" i="5" s="1"/>
  <c r="V84" i="5"/>
  <c r="AF84" i="5" s="1"/>
  <c r="S46" i="5"/>
  <c r="AC46" i="5" s="1"/>
  <c r="S63" i="5"/>
  <c r="AC63" i="5" s="1"/>
  <c r="R73" i="5"/>
  <c r="AB73" i="5" s="1"/>
  <c r="P73" i="5"/>
  <c r="U54" i="5"/>
  <c r="AE54" i="5" s="1"/>
  <c r="T54" i="5"/>
  <c r="AD54" i="5" s="1"/>
  <c r="Q46" i="5"/>
  <c r="AA46" i="5" s="1"/>
  <c r="V46" i="5"/>
  <c r="AF46" i="5" s="1"/>
  <c r="O46" i="5"/>
  <c r="Y46" i="5" s="1"/>
  <c r="R56" i="5"/>
  <c r="AB56" i="5" s="1"/>
  <c r="AI90" i="5"/>
  <c r="M90" i="5"/>
  <c r="W90" i="5" s="1"/>
  <c r="V75" i="5"/>
  <c r="AF75" i="5" s="1"/>
  <c r="M75" i="5"/>
  <c r="W75" i="5" s="1"/>
  <c r="U75" i="5"/>
  <c r="AE75" i="5" s="1"/>
  <c r="T75" i="5"/>
  <c r="R75" i="5"/>
  <c r="AB75" i="5" s="1"/>
  <c r="M67" i="5"/>
  <c r="AG67" i="5" s="1"/>
  <c r="T67" i="5"/>
  <c r="AD67" i="5" s="1"/>
  <c r="P67" i="5"/>
  <c r="Z67" i="5" s="1"/>
  <c r="U55" i="5"/>
  <c r="AO55" i="5" s="1"/>
  <c r="S55" i="5"/>
  <c r="AC55" i="5" s="1"/>
  <c r="N55" i="5"/>
  <c r="X55" i="5" s="1"/>
  <c r="T49" i="5"/>
  <c r="AD49" i="5" s="1"/>
  <c r="S49" i="5"/>
  <c r="AC49" i="5" s="1"/>
  <c r="Q87" i="5"/>
  <c r="AA87" i="5" s="1"/>
  <c r="N87" i="5"/>
  <c r="X87" i="5" s="1"/>
  <c r="Q45" i="5"/>
  <c r="AA45" i="5" s="1"/>
  <c r="M65" i="5"/>
  <c r="AG65" i="5" s="1"/>
  <c r="U65" i="5"/>
  <c r="AE65" i="5" s="1"/>
  <c r="O88" i="5"/>
  <c r="AI88" i="5" s="1"/>
  <c r="Q88" i="5"/>
  <c r="AA88" i="5" s="1"/>
  <c r="M43" i="5"/>
  <c r="W43" i="5" s="1"/>
  <c r="AI74" i="5"/>
  <c r="AI78" i="5"/>
  <c r="R86" i="5"/>
  <c r="AB86" i="5" s="1"/>
  <c r="V86" i="5"/>
  <c r="AF86" i="5" s="1"/>
  <c r="N89" i="5"/>
  <c r="X89" i="5" s="1"/>
  <c r="N85" i="5"/>
  <c r="X85" i="5" s="1"/>
  <c r="P85" i="5"/>
  <c r="R85" i="5"/>
  <c r="AB85" i="5" s="1"/>
  <c r="Q44" i="5"/>
  <c r="AA44" i="5" s="1"/>
  <c r="P44" i="5"/>
  <c r="V44" i="5"/>
  <c r="AF44" i="5" s="1"/>
  <c r="N86" i="5"/>
  <c r="X86" i="5" s="1"/>
  <c r="M86" i="5"/>
  <c r="V85" i="5"/>
  <c r="AF85" i="5" s="1"/>
  <c r="U52" i="5"/>
  <c r="R52" i="5"/>
  <c r="AB52" i="5" s="1"/>
  <c r="Q85" i="5"/>
  <c r="AA85" i="5" s="1"/>
  <c r="M85" i="5"/>
  <c r="S85" i="5"/>
  <c r="AC85" i="5" s="1"/>
  <c r="V52" i="5"/>
  <c r="AF52" i="5" s="1"/>
  <c r="O52" i="5"/>
  <c r="AI52" i="5" s="1"/>
  <c r="J92" i="5" l="1"/>
  <c r="H92" i="5" s="1"/>
  <c r="G92" i="5" s="1"/>
  <c r="J104" i="5"/>
  <c r="AO68" i="5"/>
  <c r="J99" i="5"/>
  <c r="H99" i="5" s="1"/>
  <c r="G99" i="5" s="1"/>
  <c r="AG78" i="5"/>
  <c r="AG68" i="5"/>
  <c r="AO83" i="5"/>
  <c r="J110" i="5"/>
  <c r="H110" i="5" s="1"/>
  <c r="G110" i="5" s="1"/>
  <c r="AH68" i="5"/>
  <c r="AH91" i="5"/>
  <c r="J102" i="5"/>
  <c r="H102" i="5" s="1"/>
  <c r="G102" i="5" s="1"/>
  <c r="AH74" i="5"/>
  <c r="AH70" i="5"/>
  <c r="AG89" i="5"/>
  <c r="AH76" i="5"/>
  <c r="AG66" i="5"/>
  <c r="AH66" i="5"/>
  <c r="AH78" i="5"/>
  <c r="AO76" i="5"/>
  <c r="AH58" i="5"/>
  <c r="AG83" i="5"/>
  <c r="AH83" i="5"/>
  <c r="AG71" i="5"/>
  <c r="W70" i="5"/>
  <c r="AG70" i="5"/>
  <c r="AI66" i="5"/>
  <c r="AI48" i="5"/>
  <c r="AI68" i="5"/>
  <c r="AI60" i="5"/>
  <c r="AI58" i="5"/>
  <c r="AI57" i="5"/>
  <c r="AI45" i="5"/>
  <c r="AK91" i="5"/>
  <c r="AK90" i="5"/>
  <c r="AK89" i="5"/>
  <c r="AK88" i="5"/>
  <c r="AK87" i="5"/>
  <c r="AK86" i="5"/>
  <c r="AK85" i="5"/>
  <c r="AK84" i="5"/>
  <c r="AK83" i="5"/>
  <c r="AK82" i="5"/>
  <c r="AK81" i="5"/>
  <c r="AK80" i="5"/>
  <c r="AK79" i="5"/>
  <c r="AK78" i="5"/>
  <c r="AK77" i="5"/>
  <c r="AK76" i="5"/>
  <c r="AK75" i="5"/>
  <c r="AK74" i="5"/>
  <c r="AK73" i="5"/>
  <c r="AK72" i="5"/>
  <c r="AK71" i="5"/>
  <c r="AK70" i="5"/>
  <c r="AK69" i="5"/>
  <c r="AK68" i="5"/>
  <c r="AK67" i="5"/>
  <c r="AK66" i="5"/>
  <c r="AK65" i="5"/>
  <c r="AK64" i="5"/>
  <c r="AK63" i="5"/>
  <c r="AK62" i="5"/>
  <c r="AK61" i="5"/>
  <c r="AK60" i="5"/>
  <c r="AK59" i="5"/>
  <c r="AK58" i="5"/>
  <c r="AK57" i="5"/>
  <c r="AK56" i="5"/>
  <c r="AK55" i="5"/>
  <c r="AK54" i="5"/>
  <c r="AK53" i="5"/>
  <c r="AK52" i="5"/>
  <c r="AK51" i="5"/>
  <c r="AK50" i="5"/>
  <c r="AK49" i="5"/>
  <c r="AK48" i="5"/>
  <c r="AK47" i="5"/>
  <c r="AK46" i="5"/>
  <c r="AK45" i="5"/>
  <c r="AK44" i="5"/>
  <c r="AK43" i="5"/>
  <c r="AK42" i="5"/>
  <c r="AM70" i="5"/>
  <c r="AJ70" i="5"/>
  <c r="AL70" i="5"/>
  <c r="AE70" i="5"/>
  <c r="Y70" i="5"/>
  <c r="AN70" i="5"/>
  <c r="AJ60" i="5"/>
  <c r="AJ89" i="5"/>
  <c r="AJ55" i="5"/>
  <c r="AJ67" i="5"/>
  <c r="AJ43" i="5"/>
  <c r="AJ86" i="5"/>
  <c r="AJ79" i="5"/>
  <c r="AJ54" i="5"/>
  <c r="AJ77" i="5"/>
  <c r="Z85" i="5"/>
  <c r="AJ85" i="5"/>
  <c r="Z45" i="5"/>
  <c r="AJ45" i="5"/>
  <c r="Z63" i="5"/>
  <c r="AJ63" i="5"/>
  <c r="Z53" i="5"/>
  <c r="AJ53" i="5"/>
  <c r="AJ84" i="5"/>
  <c r="AJ90" i="5"/>
  <c r="AJ80" i="5"/>
  <c r="AJ51" i="5"/>
  <c r="Z42" i="5"/>
  <c r="AJ42" i="5"/>
  <c r="AJ52" i="5"/>
  <c r="AJ49" i="5"/>
  <c r="AJ69" i="5"/>
  <c r="AJ66" i="5"/>
  <c r="AJ78" i="5"/>
  <c r="AJ87" i="5"/>
  <c r="AJ56" i="5"/>
  <c r="AJ82" i="5"/>
  <c r="Z44" i="5"/>
  <c r="AJ44" i="5"/>
  <c r="Z65" i="5"/>
  <c r="AJ65" i="5"/>
  <c r="Z72" i="5"/>
  <c r="AJ72" i="5"/>
  <c r="Z58" i="5"/>
  <c r="AJ58" i="5"/>
  <c r="AJ81" i="5"/>
  <c r="AJ64" i="5"/>
  <c r="AJ68" i="5"/>
  <c r="Z73" i="5"/>
  <c r="AJ73" i="5"/>
  <c r="Z50" i="5"/>
  <c r="AJ50" i="5"/>
  <c r="Z62" i="5"/>
  <c r="AJ62" i="5"/>
  <c r="Z88" i="5"/>
  <c r="AJ88" i="5"/>
  <c r="Z59" i="5"/>
  <c r="AJ59" i="5"/>
  <c r="Z76" i="5"/>
  <c r="AJ76" i="5"/>
  <c r="Z91" i="5"/>
  <c r="AJ91" i="5"/>
  <c r="AJ83" i="5"/>
  <c r="AJ71" i="5"/>
  <c r="AJ48" i="5"/>
  <c r="AJ47" i="5"/>
  <c r="AJ74" i="5"/>
  <c r="AJ57" i="5"/>
  <c r="AJ75" i="5"/>
  <c r="AJ61" i="5"/>
  <c r="AJ46" i="5"/>
  <c r="W58" i="5"/>
  <c r="AN91" i="5"/>
  <c r="AL91" i="5"/>
  <c r="AL90" i="5"/>
  <c r="AL89" i="5"/>
  <c r="AL88" i="5"/>
  <c r="AL87" i="5"/>
  <c r="AL86" i="5"/>
  <c r="AL85" i="5"/>
  <c r="AL84" i="5"/>
  <c r="AL83" i="5"/>
  <c r="AL82" i="5"/>
  <c r="AL81" i="5"/>
  <c r="AL80" i="5"/>
  <c r="AL79" i="5"/>
  <c r="AL78" i="5"/>
  <c r="AL77" i="5"/>
  <c r="AL76" i="5"/>
  <c r="AL75" i="5"/>
  <c r="AL74" i="5"/>
  <c r="AL73" i="5"/>
  <c r="AL72" i="5"/>
  <c r="AL71" i="5"/>
  <c r="AL69" i="5"/>
  <c r="AL68" i="5"/>
  <c r="AL67" i="5"/>
  <c r="AL66" i="5"/>
  <c r="AL65" i="5"/>
  <c r="AL64" i="5"/>
  <c r="AL63" i="5"/>
  <c r="AL62" i="5"/>
  <c r="AL61" i="5"/>
  <c r="AL60" i="5"/>
  <c r="AL59" i="5"/>
  <c r="AL58" i="5"/>
  <c r="AL57" i="5"/>
  <c r="AL56" i="5"/>
  <c r="AL55" i="5"/>
  <c r="AL54" i="5"/>
  <c r="AL53" i="5"/>
  <c r="AL52" i="5"/>
  <c r="AL51" i="5"/>
  <c r="AL50" i="5"/>
  <c r="AL49" i="5"/>
  <c r="AL48" i="5"/>
  <c r="AL47" i="5"/>
  <c r="AL46" i="5"/>
  <c r="AL45" i="5"/>
  <c r="AL44" i="5"/>
  <c r="AL43" i="5"/>
  <c r="AL42" i="5"/>
  <c r="AN74" i="5"/>
  <c r="AM68" i="5"/>
  <c r="AM74" i="5"/>
  <c r="W74" i="5"/>
  <c r="AN60" i="5"/>
  <c r="AN49" i="5"/>
  <c r="AN88" i="5"/>
  <c r="AN86" i="5"/>
  <c r="AN82" i="5"/>
  <c r="AN79" i="5"/>
  <c r="AE74" i="5"/>
  <c r="AN71" i="5"/>
  <c r="J68" i="5"/>
  <c r="AN68" i="5"/>
  <c r="AN67" i="5"/>
  <c r="AN57" i="5"/>
  <c r="AN55" i="5"/>
  <c r="AN54" i="5"/>
  <c r="AN45" i="5"/>
  <c r="AD90" i="5"/>
  <c r="J90" i="5" s="1"/>
  <c r="AN90" i="5"/>
  <c r="AN89" i="5"/>
  <c r="AD87" i="5"/>
  <c r="AN87" i="5"/>
  <c r="AD85" i="5"/>
  <c r="AN85" i="5"/>
  <c r="AD84" i="5"/>
  <c r="AN84" i="5"/>
  <c r="AD83" i="5"/>
  <c r="J83" i="5" s="1"/>
  <c r="AN83" i="5"/>
  <c r="AD81" i="5"/>
  <c r="AN81" i="5"/>
  <c r="AD80" i="5"/>
  <c r="J80" i="5" s="1"/>
  <c r="AN80" i="5"/>
  <c r="AD78" i="5"/>
  <c r="AN78" i="5"/>
  <c r="AD77" i="5"/>
  <c r="AN77" i="5"/>
  <c r="AD76" i="5"/>
  <c r="AN76" i="5"/>
  <c r="AD75" i="5"/>
  <c r="J75" i="5" s="1"/>
  <c r="AN75" i="5"/>
  <c r="AD73" i="5"/>
  <c r="AN73" i="5"/>
  <c r="AD72" i="5"/>
  <c r="AN72" i="5"/>
  <c r="AD69" i="5"/>
  <c r="AN69" i="5"/>
  <c r="AD66" i="5"/>
  <c r="AN66" i="5"/>
  <c r="AD65" i="5"/>
  <c r="AN65" i="5"/>
  <c r="AN64" i="5"/>
  <c r="AD63" i="5"/>
  <c r="AN63" i="5"/>
  <c r="AD62" i="5"/>
  <c r="AN62" i="5"/>
  <c r="AD61" i="5"/>
  <c r="AN61" i="5"/>
  <c r="AD59" i="5"/>
  <c r="AN59" i="5"/>
  <c r="AD58" i="5"/>
  <c r="AN58" i="5"/>
  <c r="AD56" i="5"/>
  <c r="AN56" i="5"/>
  <c r="AD53" i="5"/>
  <c r="AN53" i="5"/>
  <c r="AD52" i="5"/>
  <c r="AN52" i="5"/>
  <c r="AD51" i="5"/>
  <c r="AN51" i="5"/>
  <c r="AD50" i="5"/>
  <c r="AN50" i="5"/>
  <c r="AN48" i="5"/>
  <c r="AD47" i="5"/>
  <c r="AN47" i="5"/>
  <c r="AD46" i="5"/>
  <c r="J46" i="5" s="1"/>
  <c r="AN46" i="5"/>
  <c r="AD44" i="5"/>
  <c r="AN44" i="5"/>
  <c r="AD43" i="5"/>
  <c r="AN43" i="5"/>
  <c r="AD42" i="5"/>
  <c r="AM83" i="5"/>
  <c r="AM78" i="5"/>
  <c r="AO91" i="5"/>
  <c r="W91" i="5"/>
  <c r="AM91" i="5"/>
  <c r="AE66" i="5"/>
  <c r="W76" i="5"/>
  <c r="AC89" i="5"/>
  <c r="AE78" i="5"/>
  <c r="AC52" i="5"/>
  <c r="AM66" i="5"/>
  <c r="AO58" i="5"/>
  <c r="AM58" i="5"/>
  <c r="AM51" i="5"/>
  <c r="AM76" i="5"/>
  <c r="AM79" i="5"/>
  <c r="AM73" i="5"/>
  <c r="AM90" i="5"/>
  <c r="AM88" i="5"/>
  <c r="AM87" i="5"/>
  <c r="AM86" i="5"/>
  <c r="AM85" i="5"/>
  <c r="AM84" i="5"/>
  <c r="AM82" i="5"/>
  <c r="AM81" i="5"/>
  <c r="AM80" i="5"/>
  <c r="AM77" i="5"/>
  <c r="AM75" i="5"/>
  <c r="AM72" i="5"/>
  <c r="AM71" i="5"/>
  <c r="AM69" i="5"/>
  <c r="AM67" i="5"/>
  <c r="AM65" i="5"/>
  <c r="AC64" i="5"/>
  <c r="J64" i="5" s="1"/>
  <c r="H64" i="5" s="1"/>
  <c r="G64" i="5" s="1"/>
  <c r="AM64" i="5"/>
  <c r="AM63" i="5"/>
  <c r="AM62" i="5"/>
  <c r="AM61" i="5"/>
  <c r="AM60" i="5"/>
  <c r="AM59" i="5"/>
  <c r="AM57" i="5"/>
  <c r="AM56" i="5"/>
  <c r="AM55" i="5"/>
  <c r="AM54" i="5"/>
  <c r="AM53" i="5"/>
  <c r="AM50" i="5"/>
  <c r="AM49" i="5"/>
  <c r="AM48" i="5"/>
  <c r="AM47" i="5"/>
  <c r="AM46" i="5"/>
  <c r="AM45" i="5"/>
  <c r="AM44" i="5"/>
  <c r="AM43" i="5"/>
  <c r="AM42" i="5"/>
  <c r="H97" i="5"/>
  <c r="G97" i="5" s="1"/>
  <c r="H105" i="5"/>
  <c r="G105" i="5" s="1"/>
  <c r="AE44" i="5"/>
  <c r="AO85" i="5"/>
  <c r="X77" i="5"/>
  <c r="H111" i="5"/>
  <c r="G111" i="5" s="1"/>
  <c r="H108" i="5"/>
  <c r="G108" i="5" s="1"/>
  <c r="W84" i="5"/>
  <c r="X63" i="5"/>
  <c r="AG48" i="5"/>
  <c r="AE81" i="5"/>
  <c r="AH90" i="5"/>
  <c r="AH89" i="5"/>
  <c r="AH88" i="5"/>
  <c r="AH87" i="5"/>
  <c r="AH86" i="5"/>
  <c r="AH85" i="5"/>
  <c r="AH84" i="5"/>
  <c r="AH82" i="5"/>
  <c r="AH81" i="5"/>
  <c r="AH80" i="5"/>
  <c r="AH79" i="5"/>
  <c r="AH75" i="5"/>
  <c r="AH73" i="5"/>
  <c r="AH72" i="5"/>
  <c r="AH71" i="5"/>
  <c r="AH69" i="5"/>
  <c r="AH67" i="5"/>
  <c r="AH65" i="5"/>
  <c r="AH64" i="5"/>
  <c r="AH62" i="5"/>
  <c r="AH61" i="5"/>
  <c r="AH60" i="5"/>
  <c r="AH59" i="5"/>
  <c r="AH57" i="5"/>
  <c r="AH56" i="5"/>
  <c r="AH55" i="5"/>
  <c r="AH54" i="5"/>
  <c r="AH53" i="5"/>
  <c r="AH52" i="5"/>
  <c r="AH51" i="5"/>
  <c r="AH50" i="5"/>
  <c r="AH49" i="5"/>
  <c r="AH48" i="5"/>
  <c r="AH47" i="5"/>
  <c r="AH46" i="5"/>
  <c r="AH45" i="5"/>
  <c r="AH44" i="5"/>
  <c r="AH43" i="5"/>
  <c r="AH42" i="5"/>
  <c r="H103" i="5"/>
  <c r="G103" i="5" s="1"/>
  <c r="AG46" i="5"/>
  <c r="H104" i="5"/>
  <c r="G104" i="5" s="1"/>
  <c r="H106" i="5"/>
  <c r="G106" i="5" s="1"/>
  <c r="H100" i="5"/>
  <c r="G100" i="5" s="1"/>
  <c r="AO48" i="5"/>
  <c r="W63" i="5"/>
  <c r="AE69" i="5"/>
  <c r="AG53" i="5"/>
  <c r="AG81" i="5"/>
  <c r="Y85" i="5"/>
  <c r="AI84" i="5"/>
  <c r="AG56" i="5"/>
  <c r="AO80" i="5"/>
  <c r="AO42" i="5"/>
  <c r="AI75" i="5"/>
  <c r="AE63" i="5"/>
  <c r="AO90" i="5"/>
  <c r="AO89" i="5"/>
  <c r="AE89" i="5"/>
  <c r="AG88" i="5"/>
  <c r="AE86" i="5"/>
  <c r="AG82" i="5"/>
  <c r="AO82" i="5"/>
  <c r="Y81" i="5"/>
  <c r="AG80" i="5"/>
  <c r="AI77" i="5"/>
  <c r="W77" i="5"/>
  <c r="AE77" i="5"/>
  <c r="W73" i="5"/>
  <c r="AI72" i="5"/>
  <c r="AG69" i="5"/>
  <c r="AI63" i="5"/>
  <c r="AI61" i="5"/>
  <c r="Y59" i="5"/>
  <c r="W59" i="5"/>
  <c r="AO57" i="5"/>
  <c r="AI56" i="5"/>
  <c r="AI54" i="5"/>
  <c r="AG54" i="5"/>
  <c r="AO53" i="5"/>
  <c r="AI53" i="5"/>
  <c r="AG51" i="5"/>
  <c r="AI51" i="5"/>
  <c r="AG50" i="5"/>
  <c r="AO50" i="5"/>
  <c r="AE43" i="5"/>
  <c r="AI42" i="5"/>
  <c r="W42" i="5"/>
  <c r="J48" i="5"/>
  <c r="H48" i="5" s="1"/>
  <c r="G48" i="5" s="1"/>
  <c r="AE84" i="5"/>
  <c r="Y79" i="5"/>
  <c r="W45" i="5"/>
  <c r="AO45" i="5"/>
  <c r="W55" i="5"/>
  <c r="AI62" i="5"/>
  <c r="AG90" i="5"/>
  <c r="AI69" i="5"/>
  <c r="Y73" i="5"/>
  <c r="AG64" i="5"/>
  <c r="W57" i="5"/>
  <c r="J57" i="5" s="1"/>
  <c r="AE88" i="5"/>
  <c r="AI64" i="5"/>
  <c r="W52" i="5"/>
  <c r="AO64" i="5"/>
  <c r="Y86" i="5"/>
  <c r="AG75" i="5"/>
  <c r="AE56" i="5"/>
  <c r="Y65" i="5"/>
  <c r="AE49" i="5"/>
  <c r="AI80" i="5"/>
  <c r="J82" i="5"/>
  <c r="H82" i="5" s="1"/>
  <c r="G82" i="5" s="1"/>
  <c r="AG60" i="5"/>
  <c r="Y43" i="5"/>
  <c r="AI43" i="5"/>
  <c r="Y44" i="5"/>
  <c r="AI44" i="5"/>
  <c r="AE60" i="5"/>
  <c r="J60" i="5" s="1"/>
  <c r="AG43" i="5"/>
  <c r="Y55" i="5"/>
  <c r="AI71" i="5"/>
  <c r="AE61" i="5"/>
  <c r="AG61" i="5"/>
  <c r="AO62" i="5"/>
  <c r="AG44" i="5"/>
  <c r="W44" i="5"/>
  <c r="Y89" i="5"/>
  <c r="W87" i="5"/>
  <c r="AI46" i="5"/>
  <c r="AE72" i="5"/>
  <c r="J54" i="5"/>
  <c r="W65" i="5"/>
  <c r="AO51" i="5"/>
  <c r="AE51" i="5"/>
  <c r="AG62" i="5"/>
  <c r="AO65" i="5"/>
  <c r="AE71" i="5"/>
  <c r="J71" i="5" s="1"/>
  <c r="AG47" i="5"/>
  <c r="AO73" i="5"/>
  <c r="AE73" i="5"/>
  <c r="Y49" i="5"/>
  <c r="AG49" i="5"/>
  <c r="AE67" i="5"/>
  <c r="AO75" i="5"/>
  <c r="AO79" i="5"/>
  <c r="AE87" i="5"/>
  <c r="AE47" i="5"/>
  <c r="AO47" i="5"/>
  <c r="AO46" i="5"/>
  <c r="AE52" i="5"/>
  <c r="AO52" i="5"/>
  <c r="AG85" i="5"/>
  <c r="W85" i="5"/>
  <c r="Y88" i="5"/>
  <c r="W72" i="5"/>
  <c r="AO59" i="5"/>
  <c r="W86" i="5"/>
  <c r="AG86" i="5"/>
  <c r="Y52" i="5"/>
  <c r="W67" i="5"/>
  <c r="AO54" i="5"/>
  <c r="W79" i="5"/>
  <c r="AI87" i="5"/>
  <c r="Y47" i="5"/>
  <c r="AI47" i="5"/>
  <c r="AE55" i="5"/>
  <c r="J70" i="5" l="1"/>
  <c r="H70" i="5" s="1"/>
  <c r="G70" i="5" s="1"/>
  <c r="J91" i="5"/>
  <c r="H91" i="5" s="1"/>
  <c r="G91" i="5" s="1"/>
  <c r="J62" i="5"/>
  <c r="J50" i="5"/>
  <c r="J45" i="5"/>
  <c r="J53" i="5"/>
  <c r="J58" i="5"/>
  <c r="H58" i="5" s="1"/>
  <c r="G58" i="5" s="1"/>
  <c r="J76" i="5"/>
  <c r="H76" i="5" s="1"/>
  <c r="G76" i="5" s="1"/>
  <c r="J61" i="5"/>
  <c r="J74" i="5"/>
  <c r="H74" i="5" s="1"/>
  <c r="G74" i="5" s="1"/>
  <c r="H68" i="5"/>
  <c r="G68" i="5" s="1"/>
  <c r="J42" i="5"/>
  <c r="H42" i="5" s="1"/>
  <c r="G42" i="5" s="1"/>
  <c r="J78" i="5"/>
  <c r="J69" i="5"/>
  <c r="H69" i="5" s="1"/>
  <c r="G69" i="5" s="1"/>
  <c r="J66" i="5"/>
  <c r="J56" i="5"/>
  <c r="H56" i="5" s="1"/>
  <c r="G56" i="5" s="1"/>
  <c r="J51" i="5"/>
  <c r="H51" i="5" s="1"/>
  <c r="G51" i="5" s="1"/>
  <c r="H83" i="5"/>
  <c r="G83" i="5" s="1"/>
  <c r="J67" i="5"/>
  <c r="J84" i="5"/>
  <c r="H84" i="5" s="1"/>
  <c r="G84" i="5" s="1"/>
  <c r="J81" i="5"/>
  <c r="J44" i="5"/>
  <c r="J63" i="5"/>
  <c r="H63" i="5" s="1"/>
  <c r="G63" i="5" s="1"/>
  <c r="J43" i="5"/>
  <c r="J59" i="5"/>
  <c r="H59" i="5" s="1"/>
  <c r="G59" i="5" s="1"/>
  <c r="J77" i="5"/>
  <c r="H77" i="5" s="1"/>
  <c r="G77" i="5" s="1"/>
  <c r="J72" i="5"/>
  <c r="J88" i="5"/>
  <c r="H88" i="5" s="1"/>
  <c r="G88" i="5" s="1"/>
  <c r="J79" i="5"/>
  <c r="H90" i="5"/>
  <c r="G90" i="5" s="1"/>
  <c r="J85" i="5"/>
  <c r="J89" i="5"/>
  <c r="J87" i="5"/>
  <c r="J86" i="5"/>
  <c r="H86" i="5" s="1"/>
  <c r="G86" i="5" s="1"/>
  <c r="J65" i="5"/>
  <c r="H65" i="5" s="1"/>
  <c r="G65" i="5" s="1"/>
  <c r="H54" i="5"/>
  <c r="G54" i="5" s="1"/>
  <c r="J49" i="5"/>
  <c r="H49" i="5" s="1"/>
  <c r="G49" i="5" s="1"/>
  <c r="J47" i="5"/>
  <c r="E9" i="5"/>
  <c r="E7" i="5"/>
  <c r="E10" i="5"/>
  <c r="E6" i="5"/>
  <c r="E8" i="5"/>
  <c r="H57" i="5"/>
  <c r="G57" i="5" s="1"/>
  <c r="H60" i="5"/>
  <c r="G60" i="5" s="1"/>
  <c r="J73" i="5"/>
  <c r="H73" i="5" s="1"/>
  <c r="G73" i="5" s="1"/>
  <c r="H80" i="5"/>
  <c r="G80" i="5" s="1"/>
  <c r="J55" i="5"/>
  <c r="H55" i="5" s="1"/>
  <c r="G55" i="5" s="1"/>
  <c r="J52" i="5"/>
  <c r="H75" i="5"/>
  <c r="G75" i="5" s="1"/>
  <c r="H71" i="5"/>
  <c r="G71" i="5" s="1"/>
  <c r="H46" i="5"/>
  <c r="G46" i="5" s="1"/>
  <c r="Y14" i="5"/>
  <c r="Y13" i="5"/>
  <c r="Y17" i="5"/>
  <c r="Y15" i="5"/>
  <c r="Y16" i="5"/>
  <c r="H45" i="5" l="1"/>
  <c r="G45" i="5" s="1"/>
  <c r="H62" i="5"/>
  <c r="G62" i="5" s="1"/>
  <c r="H50" i="5"/>
  <c r="G50" i="5" s="1"/>
  <c r="H53" i="5"/>
  <c r="G53" i="5" s="1"/>
  <c r="H61" i="5"/>
  <c r="G61" i="5" s="1"/>
  <c r="H78" i="5"/>
  <c r="G78" i="5" s="1"/>
  <c r="H66" i="5"/>
  <c r="G66" i="5" s="1"/>
  <c r="H43" i="5"/>
  <c r="G43" i="5" s="1"/>
  <c r="H67" i="5"/>
  <c r="G67" i="5" s="1"/>
  <c r="H81" i="5"/>
  <c r="G81" i="5" s="1"/>
  <c r="H44" i="5"/>
  <c r="G44" i="5" s="1"/>
  <c r="H47" i="5"/>
  <c r="G47" i="5" s="1"/>
  <c r="H87" i="5"/>
  <c r="G87" i="5" s="1"/>
  <c r="H79" i="5"/>
  <c r="G79" i="5" s="1"/>
  <c r="H72" i="5"/>
  <c r="G72" i="5" s="1"/>
  <c r="H85" i="5"/>
  <c r="G85" i="5" s="1"/>
  <c r="H89" i="5"/>
  <c r="G89" i="5" s="1"/>
  <c r="H52" i="5"/>
  <c r="G52" i="5" s="1"/>
  <c r="Z11" i="5" l="1"/>
  <c r="S22" i="5" l="1"/>
  <c r="M16" i="5"/>
  <c r="D41" i="5"/>
  <c r="S23" i="5" l="1"/>
  <c r="N41" i="5" l="1"/>
  <c r="P41" i="5"/>
  <c r="E4" i="5" s="1"/>
  <c r="S24" i="5"/>
  <c r="I15" i="5"/>
  <c r="J15" i="5" s="1"/>
  <c r="R41" i="5"/>
  <c r="AL41" i="5" s="1"/>
  <c r="U41" i="5"/>
  <c r="M41" i="5"/>
  <c r="Q41" i="5"/>
  <c r="F4" i="5" s="1"/>
  <c r="V41" i="5"/>
  <c r="AF41" i="5" s="1"/>
  <c r="AB11" i="5"/>
  <c r="AB21" i="5"/>
  <c r="S25" i="5" s="1"/>
  <c r="O41" i="5"/>
  <c r="S41" i="5"/>
  <c r="AM41" i="5" s="1"/>
  <c r="T41" i="5"/>
  <c r="AD41" i="5" s="1"/>
  <c r="B7" i="5" l="1"/>
  <c r="AG41" i="5"/>
  <c r="C4" i="5"/>
  <c r="AH41" i="5"/>
  <c r="AE41" i="5"/>
  <c r="AO41" i="5"/>
  <c r="D4" i="5"/>
  <c r="AI41" i="5"/>
  <c r="C5" i="5"/>
  <c r="C6" i="5"/>
  <c r="X41" i="5"/>
  <c r="C7" i="5"/>
  <c r="AK41" i="5"/>
  <c r="AJ41" i="5"/>
  <c r="AB41" i="5"/>
  <c r="G6" i="5"/>
  <c r="AA41" i="5"/>
  <c r="B6" i="5"/>
  <c r="Z41" i="5"/>
  <c r="E5" i="5"/>
  <c r="E12" i="5" s="1"/>
  <c r="E13" i="5" s="1"/>
  <c r="H4" i="5"/>
  <c r="H5" i="5"/>
  <c r="I16" i="5"/>
  <c r="J16" i="5" s="1"/>
  <c r="G4" i="5"/>
  <c r="G5" i="5"/>
  <c r="AC41" i="5"/>
  <c r="F5" i="5"/>
  <c r="D6" i="5"/>
  <c r="Z14" i="5"/>
  <c r="V14" i="5"/>
  <c r="W12" i="5"/>
  <c r="W14" i="5"/>
  <c r="AB12" i="5"/>
  <c r="Z12" i="5"/>
  <c r="W13" i="5"/>
  <c r="X12" i="5"/>
  <c r="Z13" i="5"/>
  <c r="AA13" i="5"/>
  <c r="V13" i="5"/>
  <c r="AA12" i="5"/>
  <c r="Y12" i="5"/>
  <c r="V12" i="5"/>
  <c r="X13" i="5"/>
  <c r="B4" i="5"/>
  <c r="B5" i="5"/>
  <c r="AN41" i="5"/>
  <c r="Y41" i="5"/>
  <c r="F6" i="5"/>
  <c r="D5" i="5"/>
  <c r="F7" i="5"/>
  <c r="W41" i="5"/>
  <c r="G12" i="5" l="1"/>
  <c r="H12" i="5"/>
  <c r="H13" i="5" s="1"/>
  <c r="C12" i="5"/>
  <c r="C13" i="5" s="1"/>
  <c r="W18" i="5"/>
  <c r="W19" i="5"/>
  <c r="G13" i="5"/>
  <c r="B12" i="5"/>
  <c r="B13" i="5" s="1"/>
  <c r="Y19" i="5"/>
  <c r="J41" i="5"/>
  <c r="D12" i="5"/>
  <c r="D13" i="5" s="1"/>
  <c r="Y18" i="5"/>
  <c r="Z18" i="5"/>
  <c r="AA19" i="5"/>
  <c r="AA18" i="5"/>
  <c r="AB18" i="5"/>
  <c r="AB19" i="5"/>
  <c r="X19" i="5"/>
  <c r="V18" i="5"/>
  <c r="V19" i="5"/>
  <c r="X18" i="5"/>
  <c r="F12" i="5"/>
  <c r="F13" i="5" s="1"/>
  <c r="Z19" i="5"/>
  <c r="H41" i="5" l="1"/>
  <c r="S19" i="5"/>
  <c r="S18" i="5"/>
  <c r="S15" i="5" s="1"/>
  <c r="I12" i="5"/>
  <c r="I13" i="5"/>
  <c r="I17" i="5" l="1"/>
  <c r="I14" i="5"/>
  <c r="G41" i="5"/>
  <c r="I19" i="5" s="1"/>
  <c r="S16" i="5"/>
  <c r="M14" i="5"/>
  <c r="AQ96" i="5" l="1"/>
  <c r="AR96" i="5" s="1"/>
  <c r="AQ100" i="5"/>
  <c r="AR100" i="5" s="1"/>
  <c r="AQ102" i="5"/>
  <c r="AR102" i="5" s="1"/>
  <c r="AQ98" i="5"/>
  <c r="AR98" i="5" s="1"/>
  <c r="AQ107" i="5"/>
  <c r="AR107" i="5" s="1"/>
  <c r="AQ110" i="5"/>
  <c r="AR110" i="5" s="1"/>
  <c r="AQ103" i="5"/>
  <c r="AR103" i="5" s="1"/>
  <c r="AQ93" i="5"/>
  <c r="AR93" i="5" s="1"/>
  <c r="AQ105" i="5"/>
  <c r="AR105" i="5" s="1"/>
  <c r="AQ94" i="5"/>
  <c r="AR94" i="5" s="1"/>
  <c r="AQ108" i="5"/>
  <c r="AR108" i="5" s="1"/>
  <c r="AQ97" i="5"/>
  <c r="AR97" i="5" s="1"/>
  <c r="AQ111" i="5"/>
  <c r="AR111" i="5" s="1"/>
  <c r="AQ109" i="5"/>
  <c r="AR109" i="5" s="1"/>
  <c r="AQ104" i="5"/>
  <c r="AR104" i="5" s="1"/>
  <c r="AQ106" i="5"/>
  <c r="AR106" i="5" s="1"/>
  <c r="AQ101" i="5"/>
  <c r="AR101" i="5" s="1"/>
  <c r="AQ95" i="5"/>
  <c r="AR95" i="5" s="1"/>
  <c r="AQ99" i="5"/>
  <c r="AR99" i="5" s="1"/>
  <c r="AQ92" i="5"/>
  <c r="AR92" i="5" s="1"/>
  <c r="AQ46" i="5"/>
  <c r="AR46" i="5" s="1"/>
  <c r="AQ62" i="5"/>
  <c r="AR62" i="5" s="1"/>
  <c r="AQ78" i="5"/>
  <c r="AR78" i="5" s="1"/>
  <c r="AQ43" i="5"/>
  <c r="AR43" i="5" s="1"/>
  <c r="AQ59" i="5"/>
  <c r="AR59" i="5" s="1"/>
  <c r="AQ75" i="5"/>
  <c r="AR75" i="5" s="1"/>
  <c r="AQ91" i="5"/>
  <c r="AR91" i="5" s="1"/>
  <c r="AQ56" i="5"/>
  <c r="AR56" i="5" s="1"/>
  <c r="AQ72" i="5"/>
  <c r="AR72" i="5" s="1"/>
  <c r="AQ88" i="5"/>
  <c r="AR88" i="5" s="1"/>
  <c r="AQ57" i="5"/>
  <c r="AR57" i="5" s="1"/>
  <c r="AQ73" i="5"/>
  <c r="AR73" i="5" s="1"/>
  <c r="AQ89" i="5"/>
  <c r="AR89" i="5" s="1"/>
  <c r="AQ50" i="5"/>
  <c r="AR50" i="5" s="1"/>
  <c r="AQ66" i="5"/>
  <c r="AR66" i="5" s="1"/>
  <c r="AQ82" i="5"/>
  <c r="AR82" i="5" s="1"/>
  <c r="AQ47" i="5"/>
  <c r="AR47" i="5" s="1"/>
  <c r="AQ63" i="5"/>
  <c r="AR63" i="5" s="1"/>
  <c r="AQ79" i="5"/>
  <c r="AR79" i="5" s="1"/>
  <c r="AQ44" i="5"/>
  <c r="AR44" i="5" s="1"/>
  <c r="AQ60" i="5"/>
  <c r="AR60" i="5" s="1"/>
  <c r="AQ76" i="5"/>
  <c r="AR76" i="5" s="1"/>
  <c r="AQ45" i="5"/>
  <c r="AR45" i="5" s="1"/>
  <c r="AQ61" i="5"/>
  <c r="AR61" i="5" s="1"/>
  <c r="AQ77" i="5"/>
  <c r="AR77" i="5" s="1"/>
  <c r="AQ54" i="5"/>
  <c r="AR54" i="5" s="1"/>
  <c r="AQ70" i="5"/>
  <c r="AR70" i="5" s="1"/>
  <c r="AQ86" i="5"/>
  <c r="AR86" i="5" s="1"/>
  <c r="AQ51" i="5"/>
  <c r="AR51" i="5" s="1"/>
  <c r="AQ67" i="5"/>
  <c r="AR67" i="5" s="1"/>
  <c r="AQ83" i="5"/>
  <c r="AR83" i="5" s="1"/>
  <c r="AQ48" i="5"/>
  <c r="AR48" i="5" s="1"/>
  <c r="AQ64" i="5"/>
  <c r="AR64" i="5" s="1"/>
  <c r="AQ80" i="5"/>
  <c r="AR80" i="5" s="1"/>
  <c r="AQ49" i="5"/>
  <c r="AR49" i="5" s="1"/>
  <c r="AQ65" i="5"/>
  <c r="AR65" i="5" s="1"/>
  <c r="AQ81" i="5"/>
  <c r="AR81" i="5" s="1"/>
  <c r="AQ42" i="5"/>
  <c r="AR42" i="5" s="1"/>
  <c r="AQ58" i="5"/>
  <c r="AR58" i="5" s="1"/>
  <c r="AQ74" i="5"/>
  <c r="AR74" i="5" s="1"/>
  <c r="AQ90" i="5"/>
  <c r="AR90" i="5" s="1"/>
  <c r="AQ55" i="5"/>
  <c r="AR55" i="5" s="1"/>
  <c r="AQ71" i="5"/>
  <c r="AR71" i="5" s="1"/>
  <c r="AQ87" i="5"/>
  <c r="AR87" i="5" s="1"/>
  <c r="AQ52" i="5"/>
  <c r="AR52" i="5" s="1"/>
  <c r="AQ68" i="5"/>
  <c r="AR68" i="5" s="1"/>
  <c r="AQ84" i="5"/>
  <c r="AR84" i="5" s="1"/>
  <c r="AQ53" i="5"/>
  <c r="AR53" i="5" s="1"/>
  <c r="AQ69" i="5"/>
  <c r="AR69" i="5" s="1"/>
  <c r="AQ85" i="5"/>
  <c r="AR85" i="5" s="1"/>
  <c r="AQ41" i="5"/>
  <c r="AR41" i="5" s="1"/>
  <c r="S20"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Gutz</author>
    <author>Ivano Gebhardt Rolf Gutz</author>
  </authors>
  <commentList>
    <comment ref="Q14" authorId="0" shapeId="0" xr:uid="{00000000-0006-0000-0000-000001000000}">
      <text>
        <r>
          <rPr>
            <b/>
            <sz val="13"/>
            <color indexed="81"/>
            <rFont val="Tahoma"/>
            <family val="2"/>
          </rPr>
          <t xml:space="preserve">End user license agreement
</t>
        </r>
        <r>
          <rPr>
            <sz val="13"/>
            <color indexed="81"/>
            <rFont val="Tahoma"/>
            <family val="2"/>
          </rPr>
          <t xml:space="preserve">
</t>
        </r>
        <r>
          <rPr>
            <sz val="11"/>
            <color indexed="81"/>
            <rFont val="Tahoma"/>
            <family val="2"/>
          </rPr>
          <t>Thank you for your interest in the CurTiPot version 3 freeware, a workbook of spreadsheets for Excel (proprietary software of Microsoft), authored by Dr. Ivano G. R. Gutz, Professor of the Institute of Chemistry of the University of São Paulo, São Paulo, Brazil, now on referred as Author of CurTiPot. Please examine the License Agreement before you start using CurTiPot. 
Personal or Educational Use Only
The Author grants you a non-exclusive and non-transferable freeware license of CurTiPot for your personal or educational use at home, in classroom or in academic laboratories. If you intend to make commercial use of CurTiPot, including but not limited to any profitable non-educational activity or selling or distributing CurTiPot for payment, you must obtain a written permission from the Author in advance. 
Restrictions
You may introduce modifications in the spreadsheets to suit your needs, but you are not allowed to remove the original notices about the intellectual property of the workbook and macros, in special but not only from the front page. You shall not distribute copies of modified versions without approval by the Author of the clearly identified changes. 
Distribution
You may share unmodified copies of CurTiPot with students and colleagues that do not have access to the Internet, if they agree to be bound to these Terms and Conditions and as long as you take all reasonable precautions to avoid exposure of your copy to viruses. To minimize risks, it is highly advisable, to use only updated copies obtained from the Author’s download page. 
Changes to Terms and Conditions
The author reserves the right to update CurTiPot and to modify these Terms and Conditions at its sole discretion, without notice or liability to you. You agree to be bound by these Terms and Conditions, as modified. Please download updated versions of CurTiPot from time to time and review the Terms and Conditions.
Disclaimer of Warranties
The Author disclaims any responsibility for any harm resulting from your use (or use by your colleagues or students) of CurTiPot and third party software used in conjunction with it. CurTiPot is provided "AS IS," with no warranties whatsoever, express, implied, and statutory, including, without limitation, the warranties of merchantability, fitness for a particular purpose, and non-infringement of proprietary rights. The author also disclaims any warranties regarding the security, reliability, accuracy, stability, convergence and performance of CurTiPot. You understand and agree that you download and/or use CurTiPot at your own discretion and risk and that you will be solely responsible for any consequences of incorrect information or results obtained with CurTiPot. This license does not entitle the Licensee to receive from the Author any extra documentation not contained in the program file, support or assistance by any means, or enhancements or updates of CurTiPot other than those made available for download at the Author’s site.
Limitation of Liability
Under no circumstances shall the Author or his employer be liable to any user on account its use or misuse of CurTiPot.
If you accept the terms and conditions given above, you are entitled to use CurTiPot free of charge for unlimited time and number of uses. The Author will enjoy your comments, error reports and suggestions by e-mail.</t>
        </r>
        <r>
          <rPr>
            <sz val="12"/>
            <color indexed="81"/>
            <rFont val="Tahoma"/>
            <family val="2"/>
          </rPr>
          <t xml:space="preserve">
</t>
        </r>
      </text>
    </comment>
    <comment ref="Q34" authorId="1" shapeId="0" xr:uid="{00000000-0006-0000-0000-000002000000}">
      <text>
        <r>
          <rPr>
            <sz val="12"/>
            <color indexed="81"/>
            <rFont val="Tahoma"/>
            <family val="2"/>
          </rPr>
          <t xml:space="preserve">
The acronym </t>
        </r>
        <r>
          <rPr>
            <b/>
            <sz val="12"/>
            <color indexed="81"/>
            <rFont val="Bookman Old Style"/>
            <family val="1"/>
          </rPr>
          <t>CurTiPot</t>
        </r>
        <r>
          <rPr>
            <sz val="12"/>
            <color indexed="81"/>
            <rFont val="Tahoma"/>
            <family val="2"/>
          </rPr>
          <t xml:space="preserve"> means </t>
        </r>
        <r>
          <rPr>
            <b/>
            <sz val="12"/>
            <color indexed="81"/>
            <rFont val="Tahoma"/>
            <family val="2"/>
          </rPr>
          <t>Pot</t>
        </r>
        <r>
          <rPr>
            <sz val="12"/>
            <color indexed="81"/>
            <rFont val="Tahoma"/>
            <family val="2"/>
          </rPr>
          <t xml:space="preserve">entiometric </t>
        </r>
        <r>
          <rPr>
            <b/>
            <sz val="12"/>
            <color indexed="81"/>
            <rFont val="Tahoma"/>
            <family val="2"/>
          </rPr>
          <t>Ti</t>
        </r>
        <r>
          <rPr>
            <sz val="12"/>
            <color indexed="81"/>
            <rFont val="Tahoma"/>
            <family val="2"/>
          </rPr>
          <t xml:space="preserve">tration </t>
        </r>
        <r>
          <rPr>
            <b/>
            <sz val="12"/>
            <color indexed="81"/>
            <rFont val="Tahoma"/>
            <family val="2"/>
          </rPr>
          <t>Cur</t>
        </r>
        <r>
          <rPr>
            <sz val="12"/>
            <color indexed="81"/>
            <rFont val="Tahoma"/>
            <family val="2"/>
          </rPr>
          <t xml:space="preserve">ves (in reversed order). 
Originally written in Turbo Basic (Borland) for DOS (Microsoft) and first demonstrated and distributed during the 15th Annual Meeting of the Brazilian Chemical Society in May 1992, </t>
        </r>
        <r>
          <rPr>
            <b/>
            <sz val="12"/>
            <color indexed="81"/>
            <rFont val="Tahoma"/>
            <family val="2"/>
          </rPr>
          <t>versions 1 and 2</t>
        </r>
        <r>
          <rPr>
            <sz val="12"/>
            <color indexed="81"/>
            <rFont val="Tahoma"/>
            <family val="2"/>
          </rPr>
          <t xml:space="preserve"> of CurTiPot, in </t>
        </r>
        <r>
          <rPr>
            <b/>
            <sz val="12"/>
            <color indexed="81"/>
            <rFont val="Tahoma"/>
            <family val="2"/>
          </rPr>
          <t>Portuguese,</t>
        </r>
        <r>
          <rPr>
            <sz val="12"/>
            <color indexed="81"/>
            <rFont val="Tahoma"/>
            <family val="2"/>
          </rPr>
          <t xml:space="preserve"> became widespread only in Brazil.
</t>
        </r>
        <r>
          <rPr>
            <b/>
            <sz val="12"/>
            <color indexed="81"/>
            <rFont val="Tahoma"/>
            <family val="2"/>
          </rPr>
          <t>Version 3</t>
        </r>
        <r>
          <rPr>
            <sz val="12"/>
            <color indexed="81"/>
            <rFont val="Tahoma"/>
            <family val="2"/>
          </rPr>
          <t xml:space="preserve"> was the first to be translated to </t>
        </r>
        <r>
          <rPr>
            <b/>
            <sz val="12"/>
            <color indexed="81"/>
            <rFont val="Tahoma"/>
            <family val="2"/>
          </rPr>
          <t>English</t>
        </r>
        <r>
          <rPr>
            <sz val="12"/>
            <color indexed="81"/>
            <rFont val="Tahoma"/>
            <family val="2"/>
          </rPr>
          <t xml:space="preserve">. Launched in 2006, it had as main novelties the migration to Microsoft </t>
        </r>
        <r>
          <rPr>
            <b/>
            <sz val="12"/>
            <color indexed="81"/>
            <rFont val="Tahoma"/>
            <family val="2"/>
          </rPr>
          <t>Excel</t>
        </r>
        <r>
          <rPr>
            <sz val="12"/>
            <color indexed="81"/>
            <rFont val="Tahoma"/>
            <family val="2"/>
          </rPr>
          <t>, a separate</t>
        </r>
        <r>
          <rPr>
            <b/>
            <sz val="12"/>
            <color indexed="81"/>
            <rFont val="Tahoma"/>
            <family val="2"/>
          </rPr>
          <t xml:space="preserve"> pH calc</t>
        </r>
        <r>
          <rPr>
            <sz val="12"/>
            <color indexed="81"/>
            <rFont val="Tahoma"/>
            <family val="2"/>
          </rPr>
          <t xml:space="preserve">ulation module and an advanced </t>
        </r>
        <r>
          <rPr>
            <b/>
            <sz val="12"/>
            <color indexed="81"/>
            <rFont val="Tahoma"/>
            <family val="2"/>
          </rPr>
          <t>Regression</t>
        </r>
        <r>
          <rPr>
            <sz val="12"/>
            <color indexed="81"/>
            <rFont val="Tahoma"/>
            <family val="2"/>
          </rPr>
          <t xml:space="preserve"> module for titration data analysis.
From 2006 onwards </t>
        </r>
        <r>
          <rPr>
            <b/>
            <sz val="12"/>
            <color indexed="81"/>
            <rFont val="Bookman Old Style"/>
            <family val="1"/>
          </rPr>
          <t>CurTiPot</t>
        </r>
        <r>
          <rPr>
            <sz val="12"/>
            <color indexed="81"/>
            <rFont val="Tahoma"/>
            <family val="2"/>
          </rPr>
          <t xml:space="preserve"> has reached over </t>
        </r>
        <r>
          <rPr>
            <b/>
            <sz val="12"/>
            <color indexed="81"/>
            <rFont val="Tahoma"/>
            <family val="2"/>
          </rPr>
          <t>one hundred countries</t>
        </r>
        <r>
          <rPr>
            <sz val="12"/>
            <color indexed="81"/>
            <rFont val="Tahoma"/>
            <family val="2"/>
          </rPr>
          <t xml:space="preserve"> at a rate of about </t>
        </r>
        <r>
          <rPr>
            <b/>
            <sz val="12"/>
            <color indexed="81"/>
            <rFont val="Tahoma"/>
            <family val="2"/>
          </rPr>
          <t>one thousand downloads monthly</t>
        </r>
        <r>
          <rPr>
            <sz val="12"/>
            <color indexed="81"/>
            <rFont val="Tahoma"/>
            <family val="2"/>
          </rPr>
          <t xml:space="preserve"> from the author's site http://www2.iq.usp.br/docente/gutz/Curtipot_.html, as tracked by </t>
        </r>
        <r>
          <rPr>
            <u/>
            <sz val="12"/>
            <color indexed="81"/>
            <rFont val="Tahoma"/>
            <family val="2"/>
          </rPr>
          <t>Sitemeter</t>
        </r>
        <r>
          <rPr>
            <sz val="12"/>
            <color indexed="81"/>
            <rFont val="Tahoma"/>
            <family val="2"/>
          </rPr>
          <t xml:space="preserve"> and </t>
        </r>
        <r>
          <rPr>
            <u/>
            <sz val="12"/>
            <color indexed="81"/>
            <rFont val="Tahoma"/>
            <family val="2"/>
          </rPr>
          <t>Google Analytics</t>
        </r>
        <r>
          <rPr>
            <sz val="12"/>
            <color indexed="81"/>
            <rFont val="Tahoma"/>
            <family val="2"/>
          </rPr>
          <t xml:space="preserve">. Many copies were also downloaded from software distribution sites. 
Besides commercial internet service providers and chemical and pharmaceutical industries' own networks, many customers used the networks of over 200 universities for downloads, with Universidade de Barcelona (Spain), Universidade de São Paulo (Brazil) and Massachusetts Institute of Technology (USA) at the top of the rank in 2014. </t>
        </r>
        <r>
          <rPr>
            <sz val="12"/>
            <color indexed="81"/>
            <rFont val="Bookman Old Style"/>
            <family val="1"/>
          </rPr>
          <t>CurTiPot</t>
        </r>
        <r>
          <rPr>
            <sz val="12"/>
            <color indexed="81"/>
            <rFont val="Tahoma"/>
            <family val="2"/>
          </rPr>
          <t xml:space="preserve"> has been also frequently used and cited in papers and thesis: http://scholar.google.com/scholar?hl=en-USR&amp;as_sdt=0,5&amp;q=curtipot
Please email feedback to gutz@iq.usp.br and if you are satisfied with </t>
        </r>
        <r>
          <rPr>
            <b/>
            <sz val="12"/>
            <color indexed="81"/>
            <rFont val="Bookman Old Style"/>
            <family val="1"/>
          </rPr>
          <t>CurTiPot</t>
        </r>
        <r>
          <rPr>
            <sz val="12"/>
            <color indexed="81"/>
            <rFont val="Tahoma"/>
            <family val="2"/>
          </rPr>
          <t>, let others know by linking to http://www2.iq.usp.br/docente/gutz/ Curtipot_.html .</t>
        </r>
        <r>
          <rPr>
            <sz val="14"/>
            <color indexed="81"/>
            <rFont val="Tahoma"/>
            <family val="2"/>
          </rPr>
          <t xml:space="preserve">
</t>
        </r>
        <r>
          <rPr>
            <sz val="12"/>
            <color indexed="81"/>
            <rFont val="Tahoma"/>
            <family val="2"/>
          </rPr>
          <t xml:space="preserve">
                   Ivano G. R. Gutz
                  www2.iq.usp.br/docente/gutz</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Gutz</author>
    <author>GPQAI-51</author>
    <author>gtz</author>
  </authors>
  <commentList>
    <comment ref="A3" authorId="0" shapeId="0" xr:uid="{00000000-0006-0000-0900-000001000000}">
      <text>
        <r>
          <rPr>
            <b/>
            <sz val="8"/>
            <color indexed="81"/>
            <rFont val="Tahoma"/>
            <family val="2"/>
          </rPr>
          <t>Gutz:</t>
        </r>
        <r>
          <rPr>
            <sz val="8"/>
            <color indexed="81"/>
            <rFont val="Tahoma"/>
            <family val="2"/>
          </rPr>
          <t xml:space="preserve">
</t>
        </r>
        <r>
          <rPr>
            <sz val="10"/>
            <color indexed="81"/>
            <rFont val="Tahoma"/>
            <family val="2"/>
          </rPr>
          <t>Gray or red numbers denote knowingly uncertain pKas; the number of decimal places is indicative of precision, but  values may be wrong or inaccurate; for many systems, the "constants" vary from  author to author or depend of the  experimental technique used to study the equilibria. For other systems, no reliable determination is available.</t>
        </r>
      </text>
    </comment>
    <comment ref="A5" authorId="0" shapeId="0" xr:uid="{00000000-0006-0000-0900-000002000000}">
      <text>
        <r>
          <rPr>
            <b/>
            <sz val="8"/>
            <color indexed="81"/>
            <rFont val="Tahoma"/>
            <family val="2"/>
          </rPr>
          <t>Gutz:</t>
        </r>
        <r>
          <rPr>
            <sz val="8"/>
            <color indexed="81"/>
            <rFont val="Tahoma"/>
            <family val="2"/>
          </rPr>
          <t xml:space="preserve">
</t>
        </r>
        <r>
          <rPr>
            <sz val="10"/>
            <color indexed="81"/>
            <rFont val="Tahoma"/>
            <family val="2"/>
          </rPr>
          <t>Some extensive compilations of equilibrium constants present protonation constants (or their logarithms) instead of dissociation constants. The conversion is straightforward as shown in cells M12-M18.</t>
        </r>
      </text>
    </comment>
    <comment ref="H6" authorId="1" shapeId="0" xr:uid="{00000000-0006-0000-0900-000003000000}">
      <text>
        <r>
          <rPr>
            <b/>
            <sz val="8"/>
            <color indexed="81"/>
            <rFont val="Tahoma"/>
            <family val="2"/>
          </rPr>
          <t>Gutz</t>
        </r>
        <r>
          <rPr>
            <sz val="8"/>
            <color indexed="81"/>
            <rFont val="Tahoma"/>
            <family val="2"/>
          </rPr>
          <t xml:space="preserve">
</t>
        </r>
        <r>
          <rPr>
            <sz val="10"/>
            <color indexed="81"/>
            <rFont val="Tahoma"/>
            <family val="2"/>
          </rPr>
          <t xml:space="preserve">A </t>
        </r>
        <r>
          <rPr>
            <u/>
            <sz val="10"/>
            <color indexed="81"/>
            <rFont val="Tahoma"/>
            <family val="2"/>
          </rPr>
          <t>free</t>
        </r>
        <r>
          <rPr>
            <sz val="10"/>
            <color indexed="81"/>
            <rFont val="Tahoma"/>
            <family val="2"/>
          </rPr>
          <t xml:space="preserve"> subset of this Database, MiniSC-Database, with &gt;2900 protonation constants (mostly at 25ºC and I=0.1 mol/L) can be downloaded from the site http://www.acadsoft.co.uk/scdbase/scdbase.htm  
You may use Excel (instead of the software) to open the file Ligef32m.dbf (inside the Minquery folder of SCDBase), search for a base (or acid) by name; if you find it and the column COUNT_H shows a 1, pKas are available; subtract one from the spreadsheet </t>
        </r>
        <r>
          <rPr>
            <u/>
            <sz val="10"/>
            <color indexed="81"/>
            <rFont val="Tahoma"/>
            <family val="2"/>
          </rPr>
          <t>line counter number</t>
        </r>
        <r>
          <rPr>
            <sz val="10"/>
            <color indexed="81"/>
            <rFont val="Tahoma"/>
            <family val="2"/>
          </rPr>
          <t xml:space="preserve"> (leftmost column)  and you have the Ligand ID number (=line counter number - 1). 
Open the data file EXPT32M.DBF with Excel; look for the Ligand ID number in column A (named LIGAND_ID); chose the line with a 0 in column B (named METALNUM); find logKp1 in column F; logKp2 in G; skip H; logKp3 in I, etc. 
To convert logKp into pKa, read cell M12.</t>
        </r>
      </text>
    </comment>
    <comment ref="H7" authorId="1" shapeId="0" xr:uid="{00000000-0006-0000-0900-000004000000}">
      <text>
        <r>
          <rPr>
            <b/>
            <sz val="8"/>
            <color indexed="81"/>
            <rFont val="Tahoma"/>
            <family val="2"/>
          </rPr>
          <t xml:space="preserve">Gutz:
</t>
        </r>
        <r>
          <rPr>
            <sz val="10"/>
            <color indexed="81"/>
            <rFont val="Tahoma"/>
            <family val="2"/>
          </rPr>
          <t>Computer estimates of pKa are an alternative (to be used with caution) when no reliable experimental value is available.
Fill out the name of the acid or base (or the CAS # or SMILES); Click Properties Viewer.
On the results page, click Manage calculations; click pKa. The pKa value(s) will appear together with the structural formula of the molecule (in a box at the right).</t>
        </r>
      </text>
    </comment>
    <comment ref="G9" authorId="1" shapeId="0" xr:uid="{00000000-0006-0000-0900-000005000000}">
      <text>
        <r>
          <rPr>
            <b/>
            <sz val="8"/>
            <color indexed="81"/>
            <rFont val="Tahoma"/>
            <family val="2"/>
          </rPr>
          <t xml:space="preserve">Gutz:
</t>
        </r>
        <r>
          <rPr>
            <sz val="10"/>
            <color indexed="81"/>
            <rFont val="Tahoma"/>
            <family val="2"/>
          </rPr>
          <t>The pKa's output by Chemicalize are obtained by calculation  and may depart from real ones. Check tem against experimentally determined ones whenever available.</t>
        </r>
        <r>
          <rPr>
            <b/>
            <sz val="8"/>
            <color indexed="81"/>
            <rFont val="Tahoma"/>
            <family val="2"/>
          </rPr>
          <t xml:space="preserve">
</t>
        </r>
        <r>
          <rPr>
            <sz val="10"/>
            <color indexed="81"/>
            <rFont val="Tahoma"/>
            <family val="2"/>
          </rPr>
          <t>Fill out the name of the acid or base (or the CAS # or SMILES);Click Properties Viewer.
 On the results page, click Manage calculations; click pKa. The pKa values will appear together with the structural formula of the molecule (in a box at the right).</t>
        </r>
      </text>
    </comment>
    <comment ref="L13" authorId="0" shapeId="0" xr:uid="{00000000-0006-0000-0900-000006000000}">
      <text>
        <r>
          <rPr>
            <b/>
            <sz val="8"/>
            <color indexed="81"/>
            <rFont val="Tahoma"/>
            <family val="2"/>
          </rPr>
          <t>Gutz:</t>
        </r>
        <r>
          <rPr>
            <sz val="8"/>
            <color indexed="81"/>
            <rFont val="Tahoma"/>
            <family val="2"/>
          </rPr>
          <t xml:space="preserve">
</t>
        </r>
        <r>
          <rPr>
            <sz val="10"/>
            <color indexed="81"/>
            <rFont val="Tahoma"/>
            <family val="2"/>
          </rPr>
          <t xml:space="preserve">Protonation constants, Kp, (or global protonation constants, </t>
        </r>
        <r>
          <rPr>
            <sz val="10"/>
            <color indexed="81"/>
            <rFont val="Symbol"/>
            <family val="1"/>
            <charset val="2"/>
          </rPr>
          <t>b</t>
        </r>
        <r>
          <rPr>
            <sz val="10"/>
            <color indexed="81"/>
            <rFont val="Tahoma"/>
            <family val="2"/>
          </rPr>
          <t>p) are preferred in the most extensive compilations of equilibrium constants, e.g., Critical Stability Constants, Vol. 1–4 because the equations become unified with those used for metal-ligand-proton equilibria, based on formation (instead of dissociation) constants.
Note that pKa = logKp for a monoprotic acid (because Kp = 1/Kd or pKd = 1/logKd ) and, for multiprotic systems, the first logKp is the last pKa.
The index n in Kpn  is the maximum number protons accepted by the most deprotonated form of a (conjugated) base.</t>
        </r>
      </text>
    </comment>
    <comment ref="E16" authorId="2" shapeId="0" xr:uid="{00000000-0006-0000-0900-000007000000}">
      <text>
        <r>
          <rPr>
            <b/>
            <sz val="9"/>
            <color indexed="81"/>
            <rFont val="Tahoma"/>
            <family val="2"/>
          </rPr>
          <t>Gutz:</t>
        </r>
        <r>
          <rPr>
            <sz val="9"/>
            <color indexed="81"/>
            <rFont val="Tahoma"/>
            <family val="2"/>
          </rPr>
          <t xml:space="preserve">
</t>
        </r>
        <r>
          <rPr>
            <sz val="10"/>
            <color indexed="81"/>
            <rFont val="Tahoma"/>
            <family val="2"/>
          </rPr>
          <t>There are a few examples of visual indicators in this database, starting at line 255, for use with the Titration module. 
More examples:
http://en.wikipedia.org/wiki/PH_indicator
http://antoine.frostburg.edu/chem/senese/101/acidbase/indicators.shtml
Books:
I. M. Kolthoff, Acid Base Indicators, MacMillan, NY, 1937 
https://archive.org/details/acidbaseindicato030701mbp free download:
https://ia600508.us.archive.org/3/items/acidbaseindicato030701mbp/acidbaseindicato030701mbp.pdf
R . W . Sabnis, Handbook of Acid-Base Indicators
CRC Press 2007Print ISBN: 978-0-8493-8218-5; eBook ISBN: 978-0-8493-8219-2
http://www.crcnetbase.com/isbn/9780849382185</t>
        </r>
      </text>
    </comment>
    <comment ref="E17" authorId="1" shapeId="0" xr:uid="{00000000-0006-0000-0900-000008000000}">
      <text>
        <r>
          <rPr>
            <b/>
            <sz val="8"/>
            <color indexed="81"/>
            <rFont val="Tahoma"/>
            <family val="2"/>
          </rPr>
          <t>Gutz:</t>
        </r>
        <r>
          <rPr>
            <sz val="8"/>
            <color indexed="81"/>
            <rFont val="Tahoma"/>
            <family val="2"/>
          </rPr>
          <t xml:space="preserve">
</t>
        </r>
        <r>
          <rPr>
            <sz val="10"/>
            <color indexed="81"/>
            <rFont val="Tahoma"/>
            <family val="2"/>
          </rPr>
          <t>Activity coefficient estimation: an appreciation of 20 equations:  Ionic St_effects.pdf in the package: http://www.iupac.org/projects/2000/Aq_Solutions.zip</t>
        </r>
      </text>
    </comment>
    <comment ref="D19" authorId="0" shapeId="0" xr:uid="{00000000-0006-0000-0900-000009000000}">
      <text>
        <r>
          <rPr>
            <b/>
            <sz val="8"/>
            <color indexed="81"/>
            <rFont val="Tahoma"/>
            <family val="2"/>
          </rPr>
          <t>Gutz:</t>
        </r>
        <r>
          <rPr>
            <sz val="8"/>
            <color indexed="81"/>
            <rFont val="Tahoma"/>
            <family val="2"/>
          </rPr>
          <t xml:space="preserve">
</t>
        </r>
        <r>
          <rPr>
            <sz val="10"/>
            <color indexed="81"/>
            <rFont val="Tahoma"/>
            <family val="2"/>
          </rPr>
          <t>Charge of the most deprotonated (dissociated) form of the (conjugated) base considered in the equilibria of an acid-base system for the constants given.</t>
        </r>
      </text>
    </comment>
    <comment ref="N19" authorId="0" shapeId="0" xr:uid="{00000000-0006-0000-0900-00000A000000}">
      <text>
        <r>
          <rPr>
            <b/>
            <sz val="8"/>
            <color indexed="81"/>
            <rFont val="Tahoma"/>
            <family val="2"/>
          </rPr>
          <t>Gutz:</t>
        </r>
        <r>
          <rPr>
            <sz val="8"/>
            <color indexed="81"/>
            <rFont val="Tahoma"/>
            <family val="2"/>
          </rPr>
          <t xml:space="preserve">
</t>
        </r>
        <r>
          <rPr>
            <sz val="10"/>
            <color indexed="81"/>
            <rFont val="Tahoma"/>
            <family val="2"/>
          </rPr>
          <t>Molecular weight calculator Java Applet:
http://www.ch.cam.ac.uk/magnus/MolWeight.html</t>
        </r>
      </text>
    </comment>
    <comment ref="E20" authorId="0" shapeId="0" xr:uid="{00000000-0006-0000-0900-00000B000000}">
      <text>
        <r>
          <rPr>
            <b/>
            <sz val="8"/>
            <color indexed="81"/>
            <rFont val="Tahoma"/>
            <family val="2"/>
          </rPr>
          <t>Gutz:</t>
        </r>
        <r>
          <rPr>
            <sz val="8"/>
            <color indexed="81"/>
            <rFont val="Tahoma"/>
            <family val="2"/>
          </rPr>
          <t xml:space="preserve">
</t>
        </r>
        <r>
          <rPr>
            <sz val="10"/>
            <color indexed="81"/>
            <rFont val="Tahoma"/>
            <family val="2"/>
          </rPr>
          <t>Uncertain pKa values are displayed in gray; 
very uncertain values, in red.</t>
        </r>
      </text>
    </comment>
    <comment ref="M20" authorId="0" shapeId="0" xr:uid="{00000000-0006-0000-0900-00000C000000}">
      <text>
        <r>
          <rPr>
            <b/>
            <sz val="8"/>
            <color indexed="81"/>
            <rFont val="Tahoma"/>
            <family val="2"/>
          </rPr>
          <t>Gutz:</t>
        </r>
        <r>
          <rPr>
            <sz val="8"/>
            <color indexed="81"/>
            <rFont val="Tahoma"/>
            <family val="2"/>
          </rPr>
          <t xml:space="preserve">
</t>
        </r>
        <r>
          <rPr>
            <sz val="10"/>
            <color indexed="81"/>
            <rFont val="Tahoma"/>
            <family val="2"/>
          </rPr>
          <t xml:space="preserve">The structural formula of most of the acids and bases listed here can be found in the Wikipedia,
</t>
        </r>
        <r>
          <rPr>
            <sz val="10"/>
            <color indexed="12"/>
            <rFont val="Tahoma"/>
            <family val="2"/>
          </rPr>
          <t>en.wikipedia.org</t>
        </r>
      </text>
    </comment>
    <comment ref="C24" authorId="0" shapeId="0" xr:uid="{00000000-0006-0000-0900-00000D000000}">
      <text>
        <r>
          <rPr>
            <b/>
            <sz val="8"/>
            <color indexed="81"/>
            <rFont val="Tahoma"/>
            <family val="2"/>
          </rPr>
          <t>Gutz:</t>
        </r>
        <r>
          <rPr>
            <sz val="8"/>
            <color indexed="81"/>
            <rFont val="Tahoma"/>
            <family val="2"/>
          </rPr>
          <t xml:space="preserve">
</t>
        </r>
        <r>
          <rPr>
            <sz val="10"/>
            <color indexed="81"/>
            <rFont val="Tahoma"/>
            <family val="2"/>
          </rPr>
          <t>Aqueous solutions exposed to air or stored in (gas permeable) plastic flasks are always contaminated with CO</t>
        </r>
        <r>
          <rPr>
            <vertAlign val="subscript"/>
            <sz val="12"/>
            <color indexed="81"/>
            <rFont val="Tahoma"/>
            <family val="2"/>
          </rPr>
          <t>2</t>
        </r>
        <r>
          <rPr>
            <sz val="10"/>
            <color indexed="81"/>
            <rFont val="Tahoma"/>
            <family val="2"/>
          </rPr>
          <t>. Thus, it is advisable to include the carbonic acid system in simulations and regressions.
The pKa</t>
        </r>
        <r>
          <rPr>
            <vertAlign val="subscript"/>
            <sz val="12"/>
            <color indexed="81"/>
            <rFont val="Tahoma"/>
            <family val="2"/>
          </rPr>
          <t>1</t>
        </r>
        <r>
          <rPr>
            <sz val="10"/>
            <color indexed="81"/>
            <rFont val="Tahoma"/>
            <family val="2"/>
          </rPr>
          <t xml:space="preserve"> for H</t>
        </r>
        <r>
          <rPr>
            <vertAlign val="subscript"/>
            <sz val="12"/>
            <color indexed="81"/>
            <rFont val="Tahoma"/>
            <family val="2"/>
          </rPr>
          <t>2</t>
        </r>
        <r>
          <rPr>
            <sz val="10"/>
            <color indexed="81"/>
            <rFont val="Tahoma"/>
            <family val="2"/>
          </rPr>
          <t>CO</t>
        </r>
        <r>
          <rPr>
            <vertAlign val="subscript"/>
            <sz val="12"/>
            <color indexed="81"/>
            <rFont val="Tahoma"/>
            <family val="2"/>
          </rPr>
          <t>3</t>
        </r>
        <r>
          <rPr>
            <sz val="10"/>
            <color indexed="81"/>
            <rFont val="Tahoma"/>
            <family val="2"/>
          </rPr>
          <t xml:space="preserve"> is apparent. By considering the fraction of dissolved CO</t>
        </r>
        <r>
          <rPr>
            <vertAlign val="subscript"/>
            <sz val="12"/>
            <color indexed="81"/>
            <rFont val="Tahoma"/>
            <family val="2"/>
          </rPr>
          <t>2</t>
        </r>
        <r>
          <rPr>
            <sz val="10"/>
            <color indexed="81"/>
            <rFont val="Tahoma"/>
            <family val="2"/>
          </rPr>
          <t xml:space="preserve">  converted in H</t>
        </r>
        <r>
          <rPr>
            <vertAlign val="subscript"/>
            <sz val="12"/>
            <color indexed="81"/>
            <rFont val="Tahoma"/>
            <family val="2"/>
          </rPr>
          <t>2</t>
        </r>
        <r>
          <rPr>
            <sz val="10"/>
            <color indexed="81"/>
            <rFont val="Tahoma"/>
            <family val="2"/>
          </rPr>
          <t>CO</t>
        </r>
        <r>
          <rPr>
            <vertAlign val="subscript"/>
            <sz val="12"/>
            <color indexed="81"/>
            <rFont val="Tahoma"/>
            <family val="2"/>
          </rPr>
          <t>3</t>
        </r>
        <r>
          <rPr>
            <sz val="10"/>
            <color indexed="81"/>
            <rFont val="Tahoma"/>
            <family val="2"/>
          </rPr>
          <t xml:space="preserve"> (most of it remains as CO</t>
        </r>
        <r>
          <rPr>
            <vertAlign val="subscript"/>
            <sz val="12"/>
            <color indexed="81"/>
            <rFont val="Tahoma"/>
            <family val="2"/>
          </rPr>
          <t>2</t>
        </r>
        <r>
          <rPr>
            <sz val="10"/>
            <color indexed="81"/>
            <rFont val="Tahoma"/>
            <family val="2"/>
          </rPr>
          <t>(aq)) a "true" pKa of 3.58 is found.</t>
        </r>
      </text>
    </comment>
    <comment ref="E24" authorId="0" shapeId="0" xr:uid="{00000000-0006-0000-0900-00000E000000}">
      <text>
        <r>
          <rPr>
            <b/>
            <sz val="8"/>
            <color indexed="81"/>
            <rFont val="Tahoma"/>
            <family val="2"/>
          </rPr>
          <t>Gutz:</t>
        </r>
        <r>
          <rPr>
            <sz val="8"/>
            <color indexed="81"/>
            <rFont val="Tahoma"/>
            <family val="2"/>
          </rPr>
          <t xml:space="preserve">
</t>
        </r>
        <r>
          <rPr>
            <sz val="10"/>
            <color indexed="81"/>
            <rFont val="Tahoma"/>
            <family val="2"/>
          </rPr>
          <t>This is the apparent pKa. By considering that only a part of the dissolved CO2 is converted in H2CO3 and part remains as CO2(aq), the "true" pKa would be 3.58</t>
        </r>
      </text>
    </comment>
    <comment ref="E26" authorId="2" shapeId="0" xr:uid="{00000000-0006-0000-0900-00000F000000}">
      <text>
        <r>
          <rPr>
            <b/>
            <sz val="9"/>
            <color indexed="81"/>
            <rFont val="Tahoma"/>
            <family val="2"/>
          </rPr>
          <t>Gutz:</t>
        </r>
        <r>
          <rPr>
            <sz val="9"/>
            <color indexed="81"/>
            <rFont val="Tahoma"/>
            <family val="2"/>
          </rPr>
          <t xml:space="preserve">
</t>
        </r>
        <r>
          <rPr>
            <sz val="10"/>
            <color indexed="81"/>
            <rFont val="Tahoma"/>
            <family val="2"/>
          </rPr>
          <t>pKa values converted from I=0,1 mol/L to I=0 by using the Davies equation.</t>
        </r>
      </text>
    </comment>
    <comment ref="L26" authorId="2" shapeId="0" xr:uid="{00000000-0006-0000-0900-000010000000}">
      <text>
        <r>
          <rPr>
            <b/>
            <sz val="9"/>
            <color indexed="81"/>
            <rFont val="Tahoma"/>
            <family val="2"/>
          </rPr>
          <t>Gutz:</t>
        </r>
        <r>
          <rPr>
            <sz val="9"/>
            <color indexed="81"/>
            <rFont val="Tahoma"/>
            <family val="2"/>
          </rPr>
          <t xml:space="preserve">
</t>
        </r>
        <r>
          <rPr>
            <sz val="10"/>
            <color indexed="81"/>
            <rFont val="Tahoma"/>
            <family val="2"/>
          </rPr>
          <t>pKa values converted from I=0,1 mol/L to I=0 by using the Davies equation.</t>
        </r>
      </text>
    </comment>
    <comment ref="E27" authorId="0" shapeId="0" xr:uid="{00000000-0006-0000-0900-000011000000}">
      <text>
        <r>
          <rPr>
            <b/>
            <sz val="8"/>
            <color indexed="81"/>
            <rFont val="Tahoma"/>
            <family val="2"/>
          </rPr>
          <t>Gutz:</t>
        </r>
        <r>
          <rPr>
            <sz val="8"/>
            <color indexed="81"/>
            <rFont val="Tahoma"/>
            <family val="2"/>
          </rPr>
          <t xml:space="preserve">
</t>
        </r>
        <r>
          <rPr>
            <sz val="10"/>
            <color indexed="81"/>
            <rFont val="Tahoma"/>
            <family val="2"/>
          </rPr>
          <t>Very uncertain pKa value, but still so low that it does not impair that accuracy of calculations in the usual pH range.</t>
        </r>
      </text>
    </comment>
    <comment ref="B28" authorId="0" shapeId="0" xr:uid="{00000000-0006-0000-0900-000012000000}">
      <text>
        <r>
          <rPr>
            <b/>
            <sz val="8"/>
            <color indexed="81"/>
            <rFont val="Tahoma"/>
            <family val="2"/>
          </rPr>
          <t>Gutz:</t>
        </r>
        <r>
          <rPr>
            <sz val="8"/>
            <color indexed="81"/>
            <rFont val="Tahoma"/>
            <family val="2"/>
          </rPr>
          <t xml:space="preserve">
</t>
        </r>
        <r>
          <rPr>
            <sz val="10"/>
            <color indexed="81"/>
            <rFont val="Tahoma"/>
            <family val="2"/>
          </rPr>
          <t>This is the aparent pKa. By considering that only a part of the dissolved CO2 is converted in H2CO3 and part remains as CO2(aq), the "true" pKa would be 3.58</t>
        </r>
      </text>
    </comment>
    <comment ref="L53" authorId="2" shapeId="0" xr:uid="{00000000-0006-0000-0900-000013000000}">
      <text>
        <r>
          <rPr>
            <b/>
            <sz val="9"/>
            <color indexed="81"/>
            <rFont val="Tahoma"/>
            <family val="2"/>
          </rPr>
          <t>Gutz:</t>
        </r>
        <r>
          <rPr>
            <sz val="9"/>
            <color indexed="81"/>
            <rFont val="Tahoma"/>
            <family val="2"/>
          </rPr>
          <t xml:space="preserve">
</t>
        </r>
        <r>
          <rPr>
            <sz val="10"/>
            <color indexed="81"/>
            <rFont val="Tahoma"/>
            <family val="2"/>
          </rPr>
          <t>pKa values converted from I=0,1 mol/L to I=0 by using the Davies equation.</t>
        </r>
      </text>
    </comment>
    <comment ref="C69" authorId="0" shapeId="0" xr:uid="{00000000-0006-0000-0900-000014000000}">
      <text>
        <r>
          <rPr>
            <b/>
            <sz val="8"/>
            <color indexed="81"/>
            <rFont val="Tahoma"/>
            <family val="2"/>
          </rPr>
          <t>Gutz:</t>
        </r>
        <r>
          <rPr>
            <sz val="8"/>
            <color indexed="81"/>
            <rFont val="Tahoma"/>
            <family val="2"/>
          </rPr>
          <t xml:space="preserve">
</t>
        </r>
        <r>
          <rPr>
            <sz val="10"/>
            <color indexed="81"/>
            <rFont val="Tahoma"/>
            <family val="2"/>
          </rPr>
          <t>Aqueous solutions exposed to air or stored in (gas permeable) plastic flasks are always contaminated with CO</t>
        </r>
        <r>
          <rPr>
            <vertAlign val="subscript"/>
            <sz val="12"/>
            <color indexed="81"/>
            <rFont val="Tahoma"/>
            <family val="2"/>
          </rPr>
          <t>2</t>
        </r>
        <r>
          <rPr>
            <sz val="10"/>
            <color indexed="81"/>
            <rFont val="Tahoma"/>
            <family val="2"/>
          </rPr>
          <t>. Thus, it is advisable to include the carbonic acid system in simulations and regressions.
The pKa</t>
        </r>
        <r>
          <rPr>
            <vertAlign val="subscript"/>
            <sz val="12"/>
            <color indexed="81"/>
            <rFont val="Tahoma"/>
            <family val="2"/>
          </rPr>
          <t>1</t>
        </r>
        <r>
          <rPr>
            <sz val="10"/>
            <color indexed="81"/>
            <rFont val="Tahoma"/>
            <family val="2"/>
          </rPr>
          <t xml:space="preserve"> for H</t>
        </r>
        <r>
          <rPr>
            <vertAlign val="subscript"/>
            <sz val="12"/>
            <color indexed="81"/>
            <rFont val="Tahoma"/>
            <family val="2"/>
          </rPr>
          <t>2</t>
        </r>
        <r>
          <rPr>
            <sz val="10"/>
            <color indexed="81"/>
            <rFont val="Tahoma"/>
            <family val="2"/>
          </rPr>
          <t>CO</t>
        </r>
        <r>
          <rPr>
            <vertAlign val="subscript"/>
            <sz val="12"/>
            <color indexed="81"/>
            <rFont val="Tahoma"/>
            <family val="2"/>
          </rPr>
          <t>3</t>
        </r>
        <r>
          <rPr>
            <sz val="10"/>
            <color indexed="81"/>
            <rFont val="Tahoma"/>
            <family val="2"/>
          </rPr>
          <t xml:space="preserve"> is apparent. By considering the fraction of dissolved CO</t>
        </r>
        <r>
          <rPr>
            <vertAlign val="subscript"/>
            <sz val="12"/>
            <color indexed="81"/>
            <rFont val="Tahoma"/>
            <family val="2"/>
          </rPr>
          <t>2</t>
        </r>
        <r>
          <rPr>
            <sz val="10"/>
            <color indexed="81"/>
            <rFont val="Tahoma"/>
            <family val="2"/>
          </rPr>
          <t xml:space="preserve">  converted in H</t>
        </r>
        <r>
          <rPr>
            <vertAlign val="subscript"/>
            <sz val="12"/>
            <color indexed="81"/>
            <rFont val="Tahoma"/>
            <family val="2"/>
          </rPr>
          <t>2</t>
        </r>
        <r>
          <rPr>
            <sz val="10"/>
            <color indexed="81"/>
            <rFont val="Tahoma"/>
            <family val="2"/>
          </rPr>
          <t>CO</t>
        </r>
        <r>
          <rPr>
            <vertAlign val="subscript"/>
            <sz val="12"/>
            <color indexed="81"/>
            <rFont val="Tahoma"/>
            <family val="2"/>
          </rPr>
          <t>3</t>
        </r>
        <r>
          <rPr>
            <sz val="10"/>
            <color indexed="81"/>
            <rFont val="Tahoma"/>
            <family val="2"/>
          </rPr>
          <t xml:space="preserve"> (most of it remains as CO</t>
        </r>
        <r>
          <rPr>
            <vertAlign val="subscript"/>
            <sz val="12"/>
            <color indexed="81"/>
            <rFont val="Tahoma"/>
            <family val="2"/>
          </rPr>
          <t>2</t>
        </r>
        <r>
          <rPr>
            <sz val="10"/>
            <color indexed="81"/>
            <rFont val="Tahoma"/>
            <family val="2"/>
          </rPr>
          <t>(aq)) a "true" pKa of 3.58 is found.</t>
        </r>
      </text>
    </comment>
    <comment ref="E69" authorId="0" shapeId="0" xr:uid="{00000000-0006-0000-0900-000015000000}">
      <text>
        <r>
          <rPr>
            <b/>
            <sz val="8"/>
            <color indexed="81"/>
            <rFont val="Tahoma"/>
            <family val="2"/>
          </rPr>
          <t>Gutz:</t>
        </r>
        <r>
          <rPr>
            <sz val="8"/>
            <color indexed="81"/>
            <rFont val="Tahoma"/>
            <family val="2"/>
          </rPr>
          <t xml:space="preserve">
</t>
        </r>
        <r>
          <rPr>
            <sz val="10"/>
            <color indexed="81"/>
            <rFont val="Tahoma"/>
            <family val="2"/>
          </rPr>
          <t>This is the aparent pKa. By considering that only a part of the dissolved CO2 is converted in H2CO3 and part remains as CO2(aq), the "true" pKa would be 3.58</t>
        </r>
      </text>
    </comment>
    <comment ref="L89" authorId="2" shapeId="0" xr:uid="{00000000-0006-0000-0900-000016000000}">
      <text>
        <r>
          <rPr>
            <b/>
            <sz val="9"/>
            <color indexed="81"/>
            <rFont val="Tahoma"/>
            <family val="2"/>
          </rPr>
          <t>Gutz:</t>
        </r>
        <r>
          <rPr>
            <sz val="9"/>
            <color indexed="81"/>
            <rFont val="Tahoma"/>
            <family val="2"/>
          </rPr>
          <t xml:space="preserve">
</t>
        </r>
        <r>
          <rPr>
            <sz val="10"/>
            <color indexed="81"/>
            <rFont val="Tahoma"/>
            <family val="2"/>
          </rPr>
          <t>pKa values converted from I=0,1 mol/L to I=0 by using the Davies equation.</t>
        </r>
      </text>
    </comment>
    <comment ref="E114" authorId="2" shapeId="0" xr:uid="{00000000-0006-0000-0900-000017000000}">
      <text>
        <r>
          <rPr>
            <b/>
            <sz val="9"/>
            <color indexed="81"/>
            <rFont val="Tahoma"/>
            <family val="2"/>
          </rPr>
          <t>Gutz:</t>
        </r>
        <r>
          <rPr>
            <sz val="9"/>
            <color indexed="81"/>
            <rFont val="Tahoma"/>
            <family val="2"/>
          </rPr>
          <t xml:space="preserve">
</t>
        </r>
        <r>
          <rPr>
            <sz val="10"/>
            <color indexed="81"/>
            <rFont val="Tahoma"/>
            <family val="2"/>
          </rPr>
          <t>pKa values converted from I=0,1 mol/L to I=0 by using the Davies equation.</t>
        </r>
      </text>
    </comment>
    <comment ref="L114" authorId="2" shapeId="0" xr:uid="{00000000-0006-0000-0900-000018000000}">
      <text>
        <r>
          <rPr>
            <b/>
            <sz val="9"/>
            <color indexed="81"/>
            <rFont val="Tahoma"/>
            <family val="2"/>
          </rPr>
          <t>Gutz:</t>
        </r>
        <r>
          <rPr>
            <sz val="9"/>
            <color indexed="81"/>
            <rFont val="Tahoma"/>
            <family val="2"/>
          </rPr>
          <t xml:space="preserve">
</t>
        </r>
        <r>
          <rPr>
            <sz val="10"/>
            <color indexed="81"/>
            <rFont val="Tahoma"/>
            <family val="2"/>
          </rPr>
          <t>pKa values converted from I=0,1 mol/L to I=0 by using the Davies equation.</t>
        </r>
      </text>
    </comment>
    <comment ref="L134" authorId="2" shapeId="0" xr:uid="{00000000-0006-0000-0900-000019000000}">
      <text>
        <r>
          <rPr>
            <b/>
            <sz val="9"/>
            <color indexed="81"/>
            <rFont val="Tahoma"/>
            <family val="2"/>
          </rPr>
          <t>Gutz:</t>
        </r>
        <r>
          <rPr>
            <sz val="9"/>
            <color indexed="81"/>
            <rFont val="Tahoma"/>
            <family val="2"/>
          </rPr>
          <t xml:space="preserve">
</t>
        </r>
        <r>
          <rPr>
            <sz val="10"/>
            <color indexed="81"/>
            <rFont val="Tahoma"/>
            <family val="2"/>
          </rPr>
          <t>pKa values converted from I=0,1 mol/L to I=0 by using the Davies equation.</t>
        </r>
      </text>
    </comment>
    <comment ref="E137" authorId="0" shapeId="0" xr:uid="{00000000-0006-0000-0900-00001A000000}">
      <text>
        <r>
          <rPr>
            <b/>
            <sz val="8"/>
            <color indexed="81"/>
            <rFont val="Tahoma"/>
            <family val="2"/>
          </rPr>
          <t>Gutz:</t>
        </r>
        <r>
          <rPr>
            <sz val="8"/>
            <color indexed="81"/>
            <rFont val="Tahoma"/>
            <family val="2"/>
          </rPr>
          <t xml:space="preserve">
</t>
        </r>
        <r>
          <rPr>
            <sz val="10"/>
            <color indexed="81"/>
            <rFont val="Tahoma"/>
            <family val="2"/>
          </rPr>
          <t>Very uncertain pKa value, but still so low that it does not impair that accuracy of calculations in the usual pH range.</t>
        </r>
      </text>
    </comment>
    <comment ref="E138" authorId="0" shapeId="0" xr:uid="{00000000-0006-0000-0900-00001B000000}">
      <text>
        <r>
          <rPr>
            <b/>
            <sz val="8"/>
            <color indexed="81"/>
            <rFont val="Tahoma"/>
            <family val="2"/>
          </rPr>
          <t>Gutz:</t>
        </r>
        <r>
          <rPr>
            <sz val="8"/>
            <color indexed="81"/>
            <rFont val="Tahoma"/>
            <family val="2"/>
          </rPr>
          <t xml:space="preserve">
</t>
        </r>
        <r>
          <rPr>
            <sz val="10"/>
            <color indexed="81"/>
            <rFont val="Tahoma"/>
            <family val="2"/>
          </rPr>
          <t>Very uncertain pKa value, but still so low that it does not impair that accuracy of calculations in the usual pH range.</t>
        </r>
      </text>
    </comment>
    <comment ref="L162" authorId="2" shapeId="0" xr:uid="{00000000-0006-0000-0900-00001C000000}">
      <text>
        <r>
          <rPr>
            <b/>
            <sz val="9"/>
            <color indexed="81"/>
            <rFont val="Tahoma"/>
            <family val="2"/>
          </rPr>
          <t>Gutz:</t>
        </r>
        <r>
          <rPr>
            <sz val="9"/>
            <color indexed="81"/>
            <rFont val="Tahoma"/>
            <family val="2"/>
          </rPr>
          <t xml:space="preserve">
</t>
        </r>
        <r>
          <rPr>
            <sz val="10"/>
            <color indexed="81"/>
            <rFont val="Tahoma"/>
            <family val="2"/>
          </rPr>
          <t>pKa values converted from I=0,1 mol/L to I=0 by using the Davies equation.</t>
        </r>
      </text>
    </comment>
    <comment ref="E207" authorId="0" shapeId="0" xr:uid="{00000000-0006-0000-0900-00001D000000}">
      <text>
        <r>
          <rPr>
            <b/>
            <sz val="8"/>
            <color indexed="81"/>
            <rFont val="Tahoma"/>
            <family val="2"/>
          </rPr>
          <t>Gutz:</t>
        </r>
        <r>
          <rPr>
            <sz val="8"/>
            <color indexed="81"/>
            <rFont val="Tahoma"/>
            <family val="2"/>
          </rPr>
          <t xml:space="preserve">
</t>
        </r>
        <r>
          <rPr>
            <sz val="10"/>
            <color indexed="81"/>
            <rFont val="Tahoma"/>
            <family val="2"/>
          </rPr>
          <t>Very uncertain pKa value, but still so low that it does not impair that accuracy of calculations in the usual pH range.</t>
        </r>
      </text>
    </comment>
    <comment ref="L263" authorId="2" shapeId="0" xr:uid="{00000000-0006-0000-0900-00001E000000}">
      <text>
        <r>
          <rPr>
            <b/>
            <sz val="9"/>
            <color indexed="81"/>
            <rFont val="Tahoma"/>
            <family val="2"/>
          </rPr>
          <t>Gutz:</t>
        </r>
        <r>
          <rPr>
            <sz val="9"/>
            <color indexed="81"/>
            <rFont val="Tahoma"/>
            <family val="2"/>
          </rPr>
          <t xml:space="preserve">
</t>
        </r>
        <r>
          <rPr>
            <sz val="10"/>
            <color indexed="81"/>
            <rFont val="Tahoma"/>
            <family val="2"/>
          </rPr>
          <t>pKa values converted from I=0,1 mol/L to I=0 by using the Davies equation.</t>
        </r>
      </text>
    </comment>
    <comment ref="L269" authorId="2" shapeId="0" xr:uid="{00000000-0006-0000-0900-00001F000000}">
      <text>
        <r>
          <rPr>
            <b/>
            <sz val="9"/>
            <color indexed="81"/>
            <rFont val="Tahoma"/>
            <family val="2"/>
          </rPr>
          <t>Gutz:</t>
        </r>
        <r>
          <rPr>
            <sz val="9"/>
            <color indexed="81"/>
            <rFont val="Tahoma"/>
            <family val="2"/>
          </rPr>
          <t xml:space="preserve">
</t>
        </r>
        <r>
          <rPr>
            <sz val="10"/>
            <color indexed="81"/>
            <rFont val="Tahoma"/>
            <family val="2"/>
          </rPr>
          <t>pKa values converted from I=0,1 mol/L to I=0 by using the Davies equation.</t>
        </r>
      </text>
    </comment>
    <comment ref="D275" authorId="1" shapeId="0" xr:uid="{00000000-0006-0000-0900-000020000000}">
      <text>
        <r>
          <rPr>
            <b/>
            <sz val="8"/>
            <color indexed="81"/>
            <rFont val="Tahoma"/>
            <family val="2"/>
          </rPr>
          <t>Gutz</t>
        </r>
        <r>
          <rPr>
            <sz val="8"/>
            <color indexed="81"/>
            <rFont val="Tahoma"/>
            <family val="2"/>
          </rPr>
          <t xml:space="preserve">
</t>
        </r>
        <r>
          <rPr>
            <sz val="10"/>
            <color indexed="81"/>
            <rFont val="Tahoma"/>
            <family val="2"/>
          </rPr>
          <t>More examples of indicators:
http://en.wikipedia.org/wiki/PH_indicator
http://antoine.frostburg.edu/chem/senese/101/acidbase/indicators.shtml</t>
        </r>
      </text>
    </comment>
    <comment ref="W275" authorId="2" shapeId="0" xr:uid="{00000000-0006-0000-0900-000021000000}">
      <text>
        <r>
          <rPr>
            <b/>
            <sz val="9"/>
            <color indexed="81"/>
            <rFont val="Tahoma"/>
            <family val="2"/>
          </rPr>
          <t>Gutz:</t>
        </r>
        <r>
          <rPr>
            <sz val="9"/>
            <color indexed="81"/>
            <rFont val="Tahoma"/>
            <family val="2"/>
          </rPr>
          <t xml:space="preserve">
</t>
        </r>
        <r>
          <rPr>
            <sz val="10"/>
            <color indexed="81"/>
            <rFont val="Tahoma"/>
            <family val="2"/>
          </rPr>
          <t>Some more colors to experiment, by replacing numbers in columns P, Q or R. 
Color number = R*G*B</t>
        </r>
      </text>
    </comment>
    <comment ref="E283" authorId="1" shapeId="0" xr:uid="{00000000-0006-0000-0900-000022000000}">
      <text>
        <r>
          <rPr>
            <b/>
            <sz val="8"/>
            <color indexed="81"/>
            <rFont val="Tahoma"/>
            <family val="2"/>
          </rPr>
          <t>Gutz:</t>
        </r>
        <r>
          <rPr>
            <sz val="8"/>
            <color indexed="81"/>
            <rFont val="Tahoma"/>
            <family val="2"/>
          </rPr>
          <t xml:space="preserve">
</t>
        </r>
        <r>
          <rPr>
            <sz val="10"/>
            <color indexed="81"/>
            <rFont val="Tahoma"/>
            <family val="2"/>
          </rPr>
          <t>K1 =1,5 10-10; K2=2,82 10-10 
L. Rosenstein: J. Am. Chem. Soc., 34, 1117 (1912). (structure of the dianion appears in Wikipedia)</t>
        </r>
      </text>
    </comment>
    <comment ref="C302" authorId="1" shapeId="0" xr:uid="{00000000-0006-0000-0900-000023000000}">
      <text>
        <r>
          <rPr>
            <b/>
            <sz val="8"/>
            <color indexed="81"/>
            <rFont val="Tahoma"/>
            <family val="2"/>
          </rPr>
          <t>Gutz:</t>
        </r>
        <r>
          <rPr>
            <sz val="8"/>
            <color indexed="81"/>
            <rFont val="Tahoma"/>
            <family val="2"/>
          </rPr>
          <t xml:space="preserve">
</t>
        </r>
        <r>
          <rPr>
            <sz val="10"/>
            <color indexed="81"/>
            <rFont val="Tahoma"/>
            <family val="2"/>
          </rPr>
          <t>The author can provide a copy with more lines loadable in the other modules.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Gutz</author>
    <author>Ivano Gebhardt Rolf Gutz</author>
    <author>Ivano G. R. Gutz</author>
  </authors>
  <commentList>
    <comment ref="G1" authorId="0" shapeId="0" xr:uid="{00000000-0006-0000-0100-000001000000}">
      <text>
        <r>
          <rPr>
            <b/>
            <sz val="10"/>
            <color indexed="81"/>
            <rFont val="Tahoma"/>
            <family val="2"/>
          </rPr>
          <t>pH Calculator - Fast start</t>
        </r>
        <r>
          <rPr>
            <sz val="10"/>
            <color indexed="81"/>
            <rFont val="Tahoma"/>
            <family val="2"/>
          </rPr>
          <t xml:space="preserve">:
Always use the most recent version available at the author’s site http://www.iq.usp.br/gutz/Curtipot_.html, choosing between CurTiPot and CurTiPot option I – the same full program plus balloons with first steps for beginners.
This module calculates the pH of simple or complex mixtures of aqueous solutions of acids and bases, taking in account exclusively acid-base equilibrium with correction for ionic strength effect  based on the Davies equation. 
- Cell </t>
        </r>
        <r>
          <rPr>
            <b/>
            <sz val="10"/>
            <color indexed="81"/>
            <rFont val="Tahoma"/>
            <family val="2"/>
          </rPr>
          <t>B23</t>
        </r>
        <r>
          <rPr>
            <sz val="10"/>
            <color indexed="81"/>
            <rFont val="Tahoma"/>
            <family val="2"/>
          </rPr>
          <t xml:space="preserve"> presents the result of the default acid-base chemical equilibrium problem: a buffer mixture of NaH</t>
        </r>
        <r>
          <rPr>
            <vertAlign val="subscript"/>
            <sz val="12"/>
            <color indexed="81"/>
            <rFont val="Tahoma"/>
            <family val="2"/>
          </rPr>
          <t>2</t>
        </r>
        <r>
          <rPr>
            <sz val="10"/>
            <color indexed="81"/>
            <rFont val="Tahoma"/>
            <family val="2"/>
          </rPr>
          <t>PO</t>
        </r>
        <r>
          <rPr>
            <vertAlign val="subscript"/>
            <sz val="12"/>
            <color indexed="81"/>
            <rFont val="Tahoma"/>
            <family val="2"/>
          </rPr>
          <t>4</t>
        </r>
        <r>
          <rPr>
            <sz val="10"/>
            <color indexed="81"/>
            <rFont val="Tahoma"/>
            <family val="2"/>
          </rPr>
          <t xml:space="preserve"> and Na</t>
        </r>
        <r>
          <rPr>
            <vertAlign val="subscript"/>
            <sz val="12"/>
            <color indexed="81"/>
            <rFont val="Tahoma"/>
            <family val="2"/>
          </rPr>
          <t>2</t>
        </r>
        <r>
          <rPr>
            <sz val="10"/>
            <color indexed="81"/>
            <rFont val="Tahoma"/>
            <family val="2"/>
          </rPr>
          <t>HPO</t>
        </r>
        <r>
          <rPr>
            <vertAlign val="subscript"/>
            <sz val="12"/>
            <color indexed="81"/>
            <rFont val="Tahoma"/>
            <family val="2"/>
          </rPr>
          <t>4</t>
        </r>
        <r>
          <rPr>
            <sz val="10"/>
            <color indexed="81"/>
            <rFont val="Tahoma"/>
            <family val="2"/>
          </rPr>
          <t xml:space="preserve"> (cells </t>
        </r>
        <r>
          <rPr>
            <b/>
            <sz val="10"/>
            <color indexed="81"/>
            <rFont val="Tahoma"/>
            <family val="2"/>
          </rPr>
          <t>B5</t>
        </r>
        <r>
          <rPr>
            <sz val="10"/>
            <color indexed="81"/>
            <rFont val="Tahoma"/>
            <family val="2"/>
          </rPr>
          <t xml:space="preserve"> and </t>
        </r>
        <r>
          <rPr>
            <b/>
            <sz val="10"/>
            <color indexed="81"/>
            <rFont val="Tahoma"/>
            <family val="2"/>
          </rPr>
          <t>B6).</t>
        </r>
        <r>
          <rPr>
            <sz val="10"/>
            <color indexed="81"/>
            <rFont val="Tahoma"/>
            <family val="2"/>
          </rPr>
          <t xml:space="preserve"> Click </t>
        </r>
        <r>
          <rPr>
            <b/>
            <sz val="10"/>
            <color indexed="81"/>
            <rFont val="Tahoma"/>
            <family val="2"/>
          </rPr>
          <t>Calculate pH</t>
        </r>
        <r>
          <rPr>
            <sz val="10"/>
            <color indexed="81"/>
            <rFont val="Tahoma"/>
            <family val="2"/>
          </rPr>
          <t xml:space="preserve"> (cell </t>
        </r>
        <r>
          <rPr>
            <b/>
            <sz val="10"/>
            <color indexed="81"/>
            <rFont val="Tahoma"/>
            <family val="2"/>
          </rPr>
          <t>B19</t>
        </r>
        <r>
          <rPr>
            <sz val="10"/>
            <color indexed="81"/>
            <rFont val="Tahoma"/>
            <family val="2"/>
          </rPr>
          <t xml:space="preserve">) to see if the macro works. If not, habilitate macros first following instructions at cell </t>
        </r>
        <r>
          <rPr>
            <b/>
            <sz val="10"/>
            <color indexed="81"/>
            <rFont val="Tahoma"/>
            <family val="2"/>
          </rPr>
          <t>A22.</t>
        </r>
        <r>
          <rPr>
            <sz val="10"/>
            <color indexed="81"/>
            <rFont val="Tahoma"/>
            <family val="2"/>
          </rPr>
          <t xml:space="preserve">
- Change the default concentrations in cells </t>
        </r>
        <r>
          <rPr>
            <b/>
            <sz val="10"/>
            <color indexed="81"/>
            <rFont val="Tahoma"/>
            <family val="2"/>
          </rPr>
          <t>B5</t>
        </r>
        <r>
          <rPr>
            <sz val="10"/>
            <color indexed="81"/>
            <rFont val="Tahoma"/>
            <family val="2"/>
          </rPr>
          <t xml:space="preserve"> and </t>
        </r>
        <r>
          <rPr>
            <b/>
            <sz val="10"/>
            <color indexed="81"/>
            <rFont val="Tahoma"/>
            <family val="2"/>
          </rPr>
          <t>B6;</t>
        </r>
        <r>
          <rPr>
            <sz val="10"/>
            <color indexed="81"/>
            <rFont val="Tahoma"/>
            <family val="2"/>
          </rPr>
          <t xml:space="preserve"> press </t>
        </r>
        <r>
          <rPr>
            <b/>
            <sz val="10"/>
            <color indexed="81"/>
            <rFont val="Tahoma"/>
            <family val="2"/>
          </rPr>
          <t>Enter</t>
        </r>
        <r>
          <rPr>
            <sz val="10"/>
            <color indexed="81"/>
            <rFont val="Tahoma"/>
            <family val="2"/>
          </rPr>
          <t xml:space="preserve">; click </t>
        </r>
        <r>
          <rPr>
            <b/>
            <sz val="10"/>
            <color indexed="81"/>
            <rFont val="Tahoma"/>
            <family val="2"/>
          </rPr>
          <t>Calculate pH</t>
        </r>
        <r>
          <rPr>
            <sz val="10"/>
            <color indexed="81"/>
            <rFont val="Tahoma"/>
            <family val="2"/>
          </rPr>
          <t>.</t>
        </r>
        <r>
          <rPr>
            <b/>
            <sz val="10"/>
            <color indexed="81"/>
            <rFont val="Tahoma"/>
            <family val="2"/>
          </rPr>
          <t xml:space="preserve">
</t>
        </r>
        <r>
          <rPr>
            <sz val="10"/>
            <color indexed="81"/>
            <rFont val="Tahoma"/>
            <family val="2"/>
          </rPr>
          <t>- Try a mixture of H</t>
        </r>
        <r>
          <rPr>
            <vertAlign val="subscript"/>
            <sz val="11"/>
            <color indexed="81"/>
            <rFont val="Tahoma"/>
            <family val="2"/>
          </rPr>
          <t>3</t>
        </r>
        <r>
          <rPr>
            <sz val="10"/>
            <color indexed="81"/>
            <rFont val="Tahoma"/>
            <family val="2"/>
          </rPr>
          <t>PO</t>
        </r>
        <r>
          <rPr>
            <vertAlign val="subscript"/>
            <sz val="11"/>
            <color indexed="81"/>
            <rFont val="Tahoma"/>
            <family val="2"/>
          </rPr>
          <t>4</t>
        </r>
        <r>
          <rPr>
            <sz val="10"/>
            <color indexed="81"/>
            <rFont val="Tahoma"/>
            <family val="2"/>
          </rPr>
          <t xml:space="preserve"> 0.05 mol/L (cell </t>
        </r>
        <r>
          <rPr>
            <b/>
            <sz val="10"/>
            <color indexed="81"/>
            <rFont val="Tahoma"/>
            <family val="2"/>
          </rPr>
          <t>B7</t>
        </r>
        <r>
          <rPr>
            <sz val="10"/>
            <color indexed="81"/>
            <rFont val="Tahoma"/>
            <family val="2"/>
          </rPr>
          <t>) and NaH</t>
        </r>
        <r>
          <rPr>
            <vertAlign val="subscript"/>
            <sz val="11"/>
            <color indexed="81"/>
            <rFont val="Tahoma"/>
            <family val="2"/>
          </rPr>
          <t>2</t>
        </r>
        <r>
          <rPr>
            <sz val="10"/>
            <color indexed="81"/>
            <rFont val="Tahoma"/>
            <family val="2"/>
          </rPr>
          <t>PO</t>
        </r>
        <r>
          <rPr>
            <vertAlign val="subscript"/>
            <sz val="11"/>
            <color indexed="81"/>
            <rFont val="Tahoma"/>
            <family val="2"/>
          </rPr>
          <t>4</t>
        </r>
        <r>
          <rPr>
            <sz val="10"/>
            <color indexed="81"/>
            <rFont val="Tahoma"/>
            <family val="2"/>
          </rPr>
          <t xml:space="preserve"> 0.05 mol/L (cell </t>
        </r>
        <r>
          <rPr>
            <b/>
            <sz val="10"/>
            <color indexed="81"/>
            <rFont val="Tahoma"/>
            <family val="2"/>
          </rPr>
          <t>B6</t>
        </r>
        <r>
          <rPr>
            <sz val="10"/>
            <color indexed="81"/>
            <rFont val="Tahoma"/>
            <family val="2"/>
          </rPr>
          <t xml:space="preserve"> for H</t>
        </r>
        <r>
          <rPr>
            <vertAlign val="subscript"/>
            <sz val="11"/>
            <color indexed="81"/>
            <rFont val="Tahoma"/>
            <family val="2"/>
          </rPr>
          <t>2</t>
        </r>
        <r>
          <rPr>
            <sz val="10"/>
            <color indexed="81"/>
            <rFont val="Tahoma"/>
            <family val="2"/>
          </rPr>
          <t xml:space="preserve">B- and </t>
        </r>
        <r>
          <rPr>
            <b/>
            <sz val="10"/>
            <color indexed="81"/>
            <rFont val="Tahoma"/>
            <family val="2"/>
          </rPr>
          <t>B15</t>
        </r>
        <r>
          <rPr>
            <sz val="10"/>
            <color indexed="81"/>
            <rFont val="Tahoma"/>
            <family val="2"/>
          </rPr>
          <t xml:space="preserve"> for Na+); clear cell </t>
        </r>
        <r>
          <rPr>
            <b/>
            <sz val="10"/>
            <color indexed="81"/>
            <rFont val="Tahoma"/>
            <family val="2"/>
          </rPr>
          <t>B5;</t>
        </r>
        <r>
          <rPr>
            <sz val="10"/>
            <color indexed="81"/>
            <rFont val="Tahoma"/>
            <family val="2"/>
          </rPr>
          <t xml:space="preserve"> Enter; Calculate pH. 
- Change pKa1 (</t>
        </r>
        <r>
          <rPr>
            <b/>
            <sz val="10"/>
            <color indexed="81"/>
            <rFont val="Tahoma"/>
            <family val="2"/>
          </rPr>
          <t>K6</t>
        </r>
        <r>
          <rPr>
            <sz val="10"/>
            <color indexed="81"/>
            <rFont val="Tahoma"/>
            <family val="2"/>
          </rPr>
          <t xml:space="preserve">), e.g. 2.15 to 3.0 or 4.0; </t>
        </r>
        <r>
          <rPr>
            <b/>
            <sz val="10"/>
            <color indexed="81"/>
            <rFont val="Tahoma"/>
            <family val="2"/>
          </rPr>
          <t>Enter</t>
        </r>
        <r>
          <rPr>
            <sz val="10"/>
            <color indexed="81"/>
            <rFont val="Tahoma"/>
            <family val="2"/>
          </rPr>
          <t xml:space="preserve">; </t>
        </r>
        <r>
          <rPr>
            <b/>
            <sz val="10"/>
            <color indexed="81"/>
            <rFont val="Tahoma"/>
            <family val="2"/>
          </rPr>
          <t>Calculate pH</t>
        </r>
        <r>
          <rPr>
            <sz val="10"/>
            <color indexed="81"/>
            <rFont val="Tahoma"/>
            <family val="2"/>
          </rPr>
          <t xml:space="preserve">.
 </t>
        </r>
        <r>
          <rPr>
            <i/>
            <sz val="10"/>
            <color indexed="81"/>
            <rFont val="Tahoma"/>
            <family val="2"/>
          </rPr>
          <t xml:space="preserve"> If you haven't learned what acid-base dissociation constants are, perhaps you should have a look in a textbook or at least read http://en.wikipedia.org/wiki/Acid_dissociation_constant</t>
        </r>
        <r>
          <rPr>
            <sz val="10"/>
            <color indexed="81"/>
            <rFont val="Tahoma"/>
            <family val="2"/>
          </rPr>
          <t xml:space="preserve">
- Compare the values of </t>
        </r>
        <r>
          <rPr>
            <b/>
            <sz val="10"/>
            <color indexed="81"/>
            <rFont val="Tahoma"/>
            <family val="2"/>
          </rPr>
          <t>pH,</t>
        </r>
        <r>
          <rPr>
            <sz val="10"/>
            <color indexed="81"/>
            <rFont val="Tahoma"/>
            <family val="2"/>
          </rPr>
          <t xml:space="preserve">  </t>
        </r>
        <r>
          <rPr>
            <b/>
            <sz val="10"/>
            <color indexed="81"/>
            <rFont val="Tahoma"/>
            <family val="2"/>
          </rPr>
          <t>p[H]</t>
        </r>
        <r>
          <rPr>
            <sz val="10"/>
            <color indexed="81"/>
            <rFont val="Tahoma"/>
            <family val="2"/>
          </rPr>
          <t xml:space="preserve"> and </t>
        </r>
        <r>
          <rPr>
            <b/>
            <sz val="10"/>
            <color indexed="81"/>
            <rFont val="Tahoma"/>
            <family val="2"/>
          </rPr>
          <t>"pH"</t>
        </r>
        <r>
          <rPr>
            <sz val="10"/>
            <color indexed="81"/>
            <rFont val="Tahoma"/>
            <family val="2"/>
          </rPr>
          <t xml:space="preserve"> in </t>
        </r>
        <r>
          <rPr>
            <b/>
            <sz val="10"/>
            <color indexed="81"/>
            <rFont val="Tahoma"/>
            <family val="2"/>
          </rPr>
          <t>A23,</t>
        </r>
        <r>
          <rPr>
            <sz val="10"/>
            <color indexed="81"/>
            <rFont val="Tahoma"/>
            <family val="2"/>
          </rPr>
          <t xml:space="preserve"> </t>
        </r>
        <r>
          <rPr>
            <b/>
            <sz val="10"/>
            <color indexed="81"/>
            <rFont val="Tahoma"/>
            <family val="2"/>
          </rPr>
          <t>A24</t>
        </r>
        <r>
          <rPr>
            <sz val="10"/>
            <color indexed="81"/>
            <rFont val="Tahoma"/>
            <family val="2"/>
          </rPr>
          <t xml:space="preserve"> and </t>
        </r>
        <r>
          <rPr>
            <b/>
            <sz val="10"/>
            <color indexed="81"/>
            <rFont val="Tahoma"/>
            <family val="2"/>
          </rPr>
          <t>A25</t>
        </r>
        <r>
          <rPr>
            <sz val="10"/>
            <color indexed="81"/>
            <rFont val="Tahoma"/>
            <family val="2"/>
          </rPr>
          <t xml:space="preserve"> and read the corresponding comments; have a look at other results in lines 21 to 57 (</t>
        </r>
        <r>
          <rPr>
            <i/>
            <sz val="10"/>
            <color indexed="81"/>
            <rFont val="Tahoma"/>
            <family val="2"/>
          </rPr>
          <t>high school students are not expected to understand many of these figures - some are for advanced users</t>
        </r>
        <r>
          <rPr>
            <sz val="10"/>
            <color indexed="81"/>
            <rFont val="Tahoma"/>
            <family val="2"/>
          </rPr>
          <t xml:space="preserve">).
- Check the pH of pure water at 25ºC: clear </t>
        </r>
        <r>
          <rPr>
            <b/>
            <sz val="10"/>
            <color indexed="81"/>
            <rFont val="Tahoma"/>
            <family val="2"/>
          </rPr>
          <t>B5,</t>
        </r>
        <r>
          <rPr>
            <sz val="10"/>
            <color indexed="81"/>
            <rFont val="Tahoma"/>
            <family val="2"/>
          </rPr>
          <t xml:space="preserve"> </t>
        </r>
        <r>
          <rPr>
            <b/>
            <sz val="10"/>
            <color indexed="81"/>
            <rFont val="Tahoma"/>
            <family val="2"/>
          </rPr>
          <t>B6,</t>
        </r>
        <r>
          <rPr>
            <sz val="10"/>
            <color indexed="81"/>
            <rFont val="Tahoma"/>
            <family val="2"/>
          </rPr>
          <t xml:space="preserve"> </t>
        </r>
        <r>
          <rPr>
            <b/>
            <sz val="10"/>
            <color indexed="81"/>
            <rFont val="Tahoma"/>
            <family val="2"/>
          </rPr>
          <t xml:space="preserve">B15 </t>
        </r>
        <r>
          <rPr>
            <sz val="10"/>
            <color indexed="81"/>
            <rFont val="Tahoma"/>
            <family val="2"/>
          </rPr>
          <t>and any other concentration you may have filled out</t>
        </r>
        <r>
          <rPr>
            <b/>
            <sz val="10"/>
            <color indexed="81"/>
            <rFont val="Tahoma"/>
            <family val="2"/>
          </rPr>
          <t>;</t>
        </r>
        <r>
          <rPr>
            <sz val="10"/>
            <color indexed="81"/>
            <rFont val="Tahoma"/>
            <family val="2"/>
          </rPr>
          <t xml:space="preserve"> </t>
        </r>
        <r>
          <rPr>
            <b/>
            <sz val="10"/>
            <color indexed="81"/>
            <rFont val="Tahoma"/>
            <family val="2"/>
          </rPr>
          <t>Calculate pH</t>
        </r>
        <r>
          <rPr>
            <sz val="10"/>
            <color indexed="81"/>
            <rFont val="Tahoma"/>
            <family val="2"/>
          </rPr>
          <t xml:space="preserve">
- formulate multicomponent mixtures and solve them instantly.
- load other acid/base systems clicking on </t>
        </r>
        <r>
          <rPr>
            <b/>
            <sz val="10"/>
            <color indexed="81"/>
            <rFont val="Tahoma"/>
            <family val="2"/>
          </rPr>
          <t>K2</t>
        </r>
        <r>
          <rPr>
            <sz val="10"/>
            <color indexed="81"/>
            <rFont val="Tahoma"/>
            <family val="2"/>
          </rPr>
          <t xml:space="preserve"> to</t>
        </r>
        <r>
          <rPr>
            <b/>
            <sz val="10"/>
            <color indexed="81"/>
            <rFont val="Tahoma"/>
            <family val="2"/>
          </rPr>
          <t xml:space="preserve"> Q2</t>
        </r>
        <r>
          <rPr>
            <sz val="10"/>
            <color indexed="81"/>
            <rFont val="Tahoma"/>
            <family val="2"/>
          </rPr>
          <t xml:space="preserve">, selecting another acid and clicking on </t>
        </r>
        <r>
          <rPr>
            <b/>
            <sz val="10"/>
            <color indexed="81"/>
            <rFont val="Tahoma"/>
            <family val="2"/>
          </rPr>
          <t>J2</t>
        </r>
        <r>
          <rPr>
            <sz val="10"/>
            <color indexed="81"/>
            <rFont val="Tahoma"/>
            <family val="2"/>
          </rPr>
          <t xml:space="preserve">.
This acid-base </t>
        </r>
        <r>
          <rPr>
            <b/>
            <sz val="10"/>
            <color indexed="81"/>
            <rFont val="Tahoma"/>
            <family val="2"/>
          </rPr>
          <t>pH calculator</t>
        </r>
        <r>
          <rPr>
            <sz val="10"/>
            <color indexed="81"/>
            <rFont val="Tahoma"/>
            <family val="2"/>
          </rPr>
          <t xml:space="preserve"> module first appeared in 2006 in the 3.2 Excel version of CurTiPot, an evolution of the 1.0 Turbo Basic version launched in 1992.
                 Prof. Dr.  Ivano G. R. Gutz
                  www2.iq.usp.br/docente/gutz
</t>
        </r>
      </text>
    </comment>
    <comment ref="M1" authorId="0" shapeId="0" xr:uid="{00000000-0006-0000-0100-000002000000}">
      <text>
        <r>
          <rPr>
            <b/>
            <sz val="8"/>
            <color indexed="81"/>
            <rFont val="Tahoma"/>
            <family val="2"/>
          </rPr>
          <t>Gutz:</t>
        </r>
        <r>
          <rPr>
            <sz val="8"/>
            <color indexed="81"/>
            <rFont val="Tahoma"/>
            <family val="2"/>
          </rPr>
          <t xml:space="preserve">
</t>
        </r>
        <r>
          <rPr>
            <sz val="10"/>
            <color indexed="81"/>
            <rFont val="Tahoma"/>
            <family val="2"/>
          </rPr>
          <t xml:space="preserve">Selecting/editing names, charges and pKas. Options:
a) Write directly in the cells K3 to Q10; 
b) Click on names in line 2, slide along the list, click on another name; finally, click on J2 to load the constants from the </t>
        </r>
        <r>
          <rPr>
            <b/>
            <sz val="10"/>
            <color indexed="81"/>
            <rFont val="Tahoma"/>
            <family val="2"/>
          </rPr>
          <t>Database</t>
        </r>
        <r>
          <rPr>
            <sz val="10"/>
            <color indexed="81"/>
            <rFont val="Tahoma"/>
            <family val="2"/>
          </rPr>
          <t>.
Frequently used acids/bases missing in the Database can be added to it for further use.</t>
        </r>
      </text>
    </comment>
    <comment ref="Z2" authorId="0" shapeId="0" xr:uid="{00000000-0006-0000-0100-000003000000}">
      <text>
        <r>
          <rPr>
            <b/>
            <sz val="8"/>
            <color indexed="81"/>
            <rFont val="Tahoma"/>
            <family val="2"/>
          </rPr>
          <t xml:space="preserve">Gutz: 
</t>
        </r>
        <r>
          <rPr>
            <sz val="10"/>
            <color indexed="81"/>
            <rFont val="Tahoma"/>
            <family val="2"/>
          </rPr>
          <t>The pKas shown here are copied automatically from the Database by changing K2 to Q2. 
See R5 to understand why 
pKa1 = -logKpn</t>
        </r>
      </text>
    </comment>
    <comment ref="A3" authorId="1" shapeId="0" xr:uid="{00000000-0006-0000-0100-000004000000}">
      <text>
        <r>
          <rPr>
            <b/>
            <sz val="8"/>
            <color indexed="81"/>
            <rFont val="Tahoma"/>
            <family val="2"/>
          </rPr>
          <t>Gutz:</t>
        </r>
        <r>
          <rPr>
            <sz val="8"/>
            <color indexed="81"/>
            <rFont val="Tahoma"/>
            <family val="2"/>
          </rPr>
          <t xml:space="preserve">
</t>
        </r>
        <r>
          <rPr>
            <sz val="10"/>
            <color indexed="81"/>
            <rFont val="Tahoma"/>
            <family val="2"/>
          </rPr>
          <t>Name of the acid or base (of the conjugated acid).
To change it, write in cell K3 or load a different system from the Database</t>
        </r>
      </text>
    </comment>
    <comment ref="B3" authorId="0" shapeId="0" xr:uid="{00000000-0006-0000-0100-000005000000}">
      <text>
        <r>
          <rPr>
            <b/>
            <sz val="8"/>
            <color indexed="81"/>
            <rFont val="Tahoma"/>
            <family val="2"/>
          </rPr>
          <t>Gutz:</t>
        </r>
        <r>
          <rPr>
            <sz val="10"/>
            <color indexed="81"/>
            <rFont val="Tahoma"/>
            <family val="2"/>
          </rPr>
          <t xml:space="preserve">
See comment in cell M1 on how to change acids and bases.
Fill in (or leave blank) the concentrations in mol/L. The green underline identifies the cell of the base protonated to neutrality (e.g. H</t>
        </r>
        <r>
          <rPr>
            <vertAlign val="subscript"/>
            <sz val="12"/>
            <color indexed="81"/>
            <rFont val="Tahoma"/>
            <family val="2"/>
          </rPr>
          <t>3</t>
        </r>
        <r>
          <rPr>
            <sz val="10"/>
            <color indexed="81"/>
            <rFont val="Tahoma"/>
            <family val="2"/>
          </rPr>
          <t>PO</t>
        </r>
        <r>
          <rPr>
            <vertAlign val="subscript"/>
            <sz val="12"/>
            <color indexed="81"/>
            <rFont val="Tahoma"/>
            <family val="2"/>
          </rPr>
          <t>4</t>
        </r>
        <r>
          <rPr>
            <sz val="10"/>
            <color indexed="81"/>
            <rFont val="Tahoma"/>
            <family val="2"/>
          </rPr>
          <t xml:space="preserve"> for phosphate).</t>
        </r>
      </text>
    </comment>
    <comment ref="A4" authorId="0" shapeId="0" xr:uid="{00000000-0006-0000-0100-000006000000}">
      <text>
        <r>
          <rPr>
            <b/>
            <sz val="8"/>
            <color indexed="81"/>
            <rFont val="Tahoma"/>
            <family val="2"/>
          </rPr>
          <t xml:space="preserve">Gutz: 
</t>
        </r>
        <r>
          <rPr>
            <sz val="10"/>
            <color indexed="81"/>
            <rFont val="Tahoma"/>
            <family val="2"/>
          </rPr>
          <t>Leave blank/fill out with the concentration (mol/L) of fully deprotonated base (of a conjugated acid) added to the solution, e.g.: [Na</t>
        </r>
        <r>
          <rPr>
            <vertAlign val="subscript"/>
            <sz val="10"/>
            <color indexed="81"/>
            <rFont val="Tahoma"/>
            <family val="2"/>
          </rPr>
          <t>2</t>
        </r>
        <r>
          <rPr>
            <sz val="10"/>
            <color indexed="81"/>
            <rFont val="Tahoma"/>
            <family val="2"/>
          </rPr>
          <t>CO</t>
        </r>
        <r>
          <rPr>
            <vertAlign val="subscript"/>
            <sz val="10"/>
            <color indexed="81"/>
            <rFont val="Tahoma"/>
            <family val="2"/>
          </rPr>
          <t>3</t>
        </r>
        <r>
          <rPr>
            <sz val="10"/>
            <color indexed="81"/>
            <rFont val="Tahoma"/>
            <family val="2"/>
          </rPr>
          <t>], [Na</t>
        </r>
        <r>
          <rPr>
            <vertAlign val="subscript"/>
            <sz val="10"/>
            <color indexed="81"/>
            <rFont val="Tahoma"/>
            <family val="2"/>
          </rPr>
          <t>3</t>
        </r>
        <r>
          <rPr>
            <sz val="10"/>
            <color indexed="81"/>
            <rFont val="Tahoma"/>
            <family val="2"/>
          </rPr>
          <t>PO</t>
        </r>
        <r>
          <rPr>
            <vertAlign val="subscript"/>
            <sz val="10"/>
            <color indexed="81"/>
            <rFont val="Tahoma"/>
            <family val="2"/>
          </rPr>
          <t>4</t>
        </r>
        <r>
          <rPr>
            <sz val="10"/>
            <color indexed="81"/>
            <rFont val="Tahoma"/>
            <family val="2"/>
          </rPr>
          <t>], [NH</t>
        </r>
        <r>
          <rPr>
            <vertAlign val="subscript"/>
            <sz val="10"/>
            <color indexed="81"/>
            <rFont val="Tahoma"/>
            <family val="2"/>
          </rPr>
          <t>4</t>
        </r>
        <r>
          <rPr>
            <sz val="10"/>
            <color indexed="81"/>
            <rFont val="Tahoma"/>
            <family val="2"/>
          </rPr>
          <t>OH], [pyridine] or [Na</t>
        </r>
        <r>
          <rPr>
            <vertAlign val="subscript"/>
            <sz val="10"/>
            <color indexed="81"/>
            <rFont val="Tahoma"/>
            <family val="2"/>
          </rPr>
          <t>4</t>
        </r>
        <r>
          <rPr>
            <sz val="10"/>
            <color indexed="81"/>
            <rFont val="Tahoma"/>
            <family val="2"/>
          </rPr>
          <t>EDTA].
The green underline indicates the cell of the base protonated to neutrality.</t>
        </r>
      </text>
    </comment>
    <comment ref="J4" authorId="0" shapeId="0" xr:uid="{00000000-0006-0000-0100-000007000000}">
      <text>
        <r>
          <rPr>
            <b/>
            <sz val="8"/>
            <color indexed="81"/>
            <rFont val="Tahoma"/>
            <family val="2"/>
          </rPr>
          <t xml:space="preserve">Gutz: 
</t>
        </r>
        <r>
          <rPr>
            <sz val="10"/>
            <color indexed="81"/>
            <rFont val="Tahoma"/>
            <family val="2"/>
          </rPr>
          <t>Charge of the most deprotonated species of an acid or base in accordance with the highest pKa for the system, e.g., 
 0 for NH3 or pyridine
-1 for acetate/acetic acid
-2 for carbonate//carbonic acid
-3 for phosphate///phosphoric acid 
-4 for EDTA</t>
        </r>
      </text>
    </comment>
    <comment ref="A5" authorId="0" shapeId="0" xr:uid="{00000000-0006-0000-0100-000008000000}">
      <text>
        <r>
          <rPr>
            <b/>
            <sz val="8"/>
            <color indexed="81"/>
            <rFont val="Tahoma"/>
            <family val="2"/>
          </rPr>
          <t>Gutz:</t>
        </r>
        <r>
          <rPr>
            <sz val="8"/>
            <color indexed="81"/>
            <rFont val="Tahoma"/>
            <family val="2"/>
          </rPr>
          <t xml:space="preserve">
</t>
        </r>
        <r>
          <rPr>
            <sz val="10"/>
            <color indexed="81"/>
            <rFont val="Tahoma"/>
            <family val="2"/>
          </rPr>
          <t>Leave blank</t>
        </r>
        <r>
          <rPr>
            <b/>
            <sz val="10"/>
            <color indexed="81"/>
            <rFont val="Tahoma"/>
            <family val="2"/>
          </rPr>
          <t>/</t>
        </r>
        <r>
          <rPr>
            <sz val="10"/>
            <color indexed="81"/>
            <rFont val="Tahoma"/>
            <family val="2"/>
          </rPr>
          <t>fill out with the concentration (mol/L) of monoprotonated base (or acid, HB) added to the solution, e.g.: [Acetic acid], [NH</t>
        </r>
        <r>
          <rPr>
            <vertAlign val="subscript"/>
            <sz val="10"/>
            <color indexed="81"/>
            <rFont val="Tahoma"/>
            <family val="2"/>
          </rPr>
          <t>4</t>
        </r>
        <r>
          <rPr>
            <vertAlign val="superscript"/>
            <sz val="10"/>
            <color indexed="81"/>
            <rFont val="Tahoma"/>
            <family val="2"/>
          </rPr>
          <t>+</t>
        </r>
        <r>
          <rPr>
            <sz val="10"/>
            <color indexed="81"/>
            <rFont val="Tahoma"/>
            <family val="2"/>
          </rPr>
          <t>], [pyridonium], [NaHCO</t>
        </r>
        <r>
          <rPr>
            <vertAlign val="subscript"/>
            <sz val="10"/>
            <color indexed="81"/>
            <rFont val="Tahoma"/>
            <family val="2"/>
          </rPr>
          <t>3</t>
        </r>
        <r>
          <rPr>
            <sz val="10"/>
            <color indexed="81"/>
            <rFont val="Tahoma"/>
            <family val="2"/>
          </rPr>
          <t>] or [Na</t>
        </r>
        <r>
          <rPr>
            <vertAlign val="subscript"/>
            <sz val="10"/>
            <color indexed="81"/>
            <rFont val="Tahoma"/>
            <family val="2"/>
          </rPr>
          <t>2</t>
        </r>
        <r>
          <rPr>
            <sz val="10"/>
            <color indexed="81"/>
            <rFont val="Tahoma"/>
            <family val="2"/>
          </rPr>
          <t>HPO</t>
        </r>
        <r>
          <rPr>
            <vertAlign val="subscript"/>
            <sz val="10"/>
            <color indexed="81"/>
            <rFont val="Tahoma"/>
            <family val="2"/>
          </rPr>
          <t>4</t>
        </r>
        <r>
          <rPr>
            <sz val="10"/>
            <color indexed="81"/>
            <rFont val="Tahoma"/>
            <family val="2"/>
          </rPr>
          <t>]</t>
        </r>
      </text>
    </comment>
    <comment ref="J5" authorId="0" shapeId="0" xr:uid="{00000000-0006-0000-0100-000009000000}">
      <text>
        <r>
          <rPr>
            <b/>
            <sz val="8"/>
            <color indexed="81"/>
            <rFont val="Tahoma"/>
            <family val="2"/>
          </rPr>
          <t xml:space="preserve">Gutz: 
</t>
        </r>
        <r>
          <rPr>
            <sz val="10"/>
            <color indexed="81"/>
            <rFont val="Tahoma"/>
            <family val="2"/>
          </rPr>
          <t>Options:
a) pKa</t>
        </r>
        <r>
          <rPr>
            <vertAlign val="subscript"/>
            <sz val="12"/>
            <color indexed="81"/>
            <rFont val="Tahoma"/>
            <family val="2"/>
          </rPr>
          <t>1</t>
        </r>
        <r>
          <rPr>
            <sz val="10"/>
            <color indexed="81"/>
            <rFont val="Tahoma"/>
            <family val="2"/>
          </rPr>
          <t xml:space="preserve"> , -logarithm of the dissociation constant of a monoprotic acid or first constant for a polyprotic system.
b) logKp</t>
        </r>
        <r>
          <rPr>
            <vertAlign val="subscript"/>
            <sz val="12"/>
            <color indexed="81"/>
            <rFont val="Tahoma"/>
            <family val="2"/>
          </rPr>
          <t>i,</t>
        </r>
        <r>
          <rPr>
            <sz val="10"/>
            <color indexed="81"/>
            <rFont val="Tahoma"/>
            <family val="2"/>
          </rPr>
          <t xml:space="preserve"> logarithm of the protonation constant of a (conjugated) base, with i=1 for a monoprotonable base and i= n (most deprotonated species) for polyprotic systems (more about at U5);
c) pK</t>
        </r>
        <r>
          <rPr>
            <vertAlign val="subscript"/>
            <sz val="12"/>
            <color indexed="81"/>
            <rFont val="Tahoma"/>
            <family val="2"/>
          </rPr>
          <t>w</t>
        </r>
        <r>
          <rPr>
            <sz val="10"/>
            <color indexed="81"/>
            <rFont val="Tahoma"/>
            <family val="2"/>
          </rPr>
          <t xml:space="preserve"> - pKb</t>
        </r>
        <r>
          <rPr>
            <vertAlign val="subscript"/>
            <sz val="12"/>
            <color indexed="81"/>
            <rFont val="Tahoma"/>
            <family val="2"/>
          </rPr>
          <t>i</t>
        </r>
        <r>
          <rPr>
            <sz val="10"/>
            <color indexed="81"/>
            <rFont val="Tahoma"/>
            <family val="2"/>
          </rPr>
          <t>, for -log of the dissociation constant  of a base, with i=1 for a monoprotonable base and i= n (most deprotonated species) for polyprotonable base.
Numerically, values of a, b e c are taken as similar.</t>
        </r>
      </text>
    </comment>
    <comment ref="R5" authorId="0" shapeId="0" xr:uid="{00000000-0006-0000-0100-00000A000000}">
      <text>
        <r>
          <rPr>
            <b/>
            <sz val="8"/>
            <color indexed="81"/>
            <rFont val="Tahoma"/>
            <family val="2"/>
          </rPr>
          <t>Gutz:</t>
        </r>
        <r>
          <rPr>
            <sz val="8"/>
            <color indexed="81"/>
            <rFont val="Tahoma"/>
            <family val="2"/>
          </rPr>
          <t xml:space="preserve">
</t>
        </r>
        <r>
          <rPr>
            <sz val="10"/>
            <color indexed="81"/>
            <rFont val="Tahoma"/>
            <family val="2"/>
          </rPr>
          <t>The betas are cumulative (or global) protonation constants, obtained by multiplying the protonation constants Kp from 1 to i, with i stepping up to n, the maximum number of protons accepted by a (conjugated) base (same as the maximum number of dissociable protons of an acid, but in reversed order).
Note that pKa = logKp for a monoprotic acid (because Kp = 1/Kd or pKd = 1/logKd ) and, for polyprotic systems, the first logKp is the last pKa.
Protonation constants, Kp, and betas are preferred here in agreement with the most extensive compilations of equilibrium constants, e.g., Critical Stability Constants, Vol. 1–4 (complete references in the Database), and because the equations become unified with those used for metal-ligand-proton equilibria, based on formation (instead of dissociation) constants.</t>
        </r>
      </text>
    </comment>
    <comment ref="Z5" authorId="0" shapeId="0" xr:uid="{00000000-0006-0000-0100-00000B000000}">
      <text>
        <r>
          <rPr>
            <b/>
            <sz val="8"/>
            <color indexed="81"/>
            <rFont val="Tahoma"/>
            <family val="2"/>
          </rPr>
          <t>Gutz:</t>
        </r>
        <r>
          <rPr>
            <sz val="8"/>
            <color indexed="81"/>
            <rFont val="Tahoma"/>
            <family val="2"/>
          </rPr>
          <t xml:space="preserve">
</t>
        </r>
        <r>
          <rPr>
            <sz val="10"/>
            <color indexed="81"/>
            <rFont val="Tahoma"/>
            <family val="2"/>
          </rPr>
          <t>See R5 to understand the conversion of pKa in logKp</t>
        </r>
      </text>
    </comment>
    <comment ref="A6" authorId="0" shapeId="0" xr:uid="{00000000-0006-0000-0100-00000C000000}">
      <text>
        <r>
          <rPr>
            <b/>
            <sz val="8"/>
            <color indexed="81"/>
            <rFont val="Tahoma"/>
            <family val="2"/>
          </rPr>
          <t xml:space="preserve">Gutz: 
</t>
        </r>
        <r>
          <rPr>
            <sz val="10"/>
            <color indexed="81"/>
            <rFont val="Tahoma"/>
            <family val="2"/>
          </rPr>
          <t>Leave blank</t>
        </r>
        <r>
          <rPr>
            <b/>
            <sz val="10"/>
            <color indexed="81"/>
            <rFont val="Tahoma"/>
            <family val="2"/>
          </rPr>
          <t>/</t>
        </r>
        <r>
          <rPr>
            <sz val="10"/>
            <color indexed="81"/>
            <rFont val="Tahoma"/>
            <family val="2"/>
          </rPr>
          <t>fill out with the concentration (mol/L) of biprotonated base (H</t>
        </r>
        <r>
          <rPr>
            <vertAlign val="subscript"/>
            <sz val="10"/>
            <color indexed="81"/>
            <rFont val="Tahoma"/>
            <family val="2"/>
          </rPr>
          <t>2</t>
        </r>
        <r>
          <rPr>
            <sz val="10"/>
            <color indexed="81"/>
            <rFont val="Tahoma"/>
            <family val="2"/>
          </rPr>
          <t>B) added to the solution, e.g.:  [H</t>
        </r>
        <r>
          <rPr>
            <vertAlign val="subscript"/>
            <sz val="10"/>
            <color indexed="81"/>
            <rFont val="Tahoma"/>
            <family val="2"/>
          </rPr>
          <t>2</t>
        </r>
        <r>
          <rPr>
            <sz val="10"/>
            <color indexed="81"/>
            <rFont val="Tahoma"/>
            <family val="2"/>
          </rPr>
          <t>CO</t>
        </r>
        <r>
          <rPr>
            <vertAlign val="subscript"/>
            <sz val="10"/>
            <color indexed="81"/>
            <rFont val="Tahoma"/>
            <family val="2"/>
          </rPr>
          <t>3</t>
        </r>
        <r>
          <rPr>
            <sz val="10"/>
            <color indexed="81"/>
            <rFont val="Tahoma"/>
            <family val="2"/>
          </rPr>
          <t>],  [H</t>
        </r>
        <r>
          <rPr>
            <vertAlign val="subscript"/>
            <sz val="10"/>
            <color indexed="81"/>
            <rFont val="Tahoma"/>
            <family val="2"/>
          </rPr>
          <t>2</t>
        </r>
        <r>
          <rPr>
            <sz val="10"/>
            <color indexed="81"/>
            <rFont val="Tahoma"/>
            <family val="2"/>
          </rPr>
          <t>Na</t>
        </r>
        <r>
          <rPr>
            <vertAlign val="subscript"/>
            <sz val="10"/>
            <color indexed="81"/>
            <rFont val="Tahoma"/>
            <family val="2"/>
          </rPr>
          <t>2</t>
        </r>
        <r>
          <rPr>
            <sz val="10"/>
            <color indexed="81"/>
            <rFont val="Tahoma"/>
            <family val="2"/>
          </rPr>
          <t>EDTA] or [NaH</t>
        </r>
        <r>
          <rPr>
            <vertAlign val="subscript"/>
            <sz val="10"/>
            <color indexed="81"/>
            <rFont val="Tahoma"/>
            <family val="2"/>
          </rPr>
          <t>2</t>
        </r>
        <r>
          <rPr>
            <sz val="10"/>
            <color indexed="81"/>
            <rFont val="Tahoma"/>
            <family val="2"/>
          </rPr>
          <t>PO</t>
        </r>
        <r>
          <rPr>
            <vertAlign val="subscript"/>
            <sz val="10"/>
            <color indexed="81"/>
            <rFont val="Tahoma"/>
            <family val="2"/>
          </rPr>
          <t>4</t>
        </r>
        <r>
          <rPr>
            <sz val="10"/>
            <color indexed="81"/>
            <rFont val="Tahoma"/>
            <family val="2"/>
          </rPr>
          <t>]</t>
        </r>
      </text>
    </comment>
    <comment ref="J6" authorId="0" shapeId="0" xr:uid="{00000000-0006-0000-0100-00000D000000}">
      <text>
        <r>
          <rPr>
            <b/>
            <sz val="8"/>
            <color indexed="81"/>
            <rFont val="Tahoma"/>
            <family val="2"/>
          </rPr>
          <t xml:space="preserve">Gutz: 
</t>
        </r>
        <r>
          <rPr>
            <sz val="10"/>
            <color indexed="81"/>
            <rFont val="Tahoma"/>
            <family val="2"/>
          </rPr>
          <t>Options:
a) pKa</t>
        </r>
        <r>
          <rPr>
            <vertAlign val="subscript"/>
            <sz val="12"/>
            <color indexed="81"/>
            <rFont val="Tahoma"/>
            <family val="2"/>
          </rPr>
          <t>2</t>
        </r>
        <r>
          <rPr>
            <sz val="10"/>
            <color indexed="81"/>
            <rFont val="Tahoma"/>
            <family val="2"/>
          </rPr>
          <t xml:space="preserve"> , -log of the 2</t>
        </r>
        <r>
          <rPr>
            <vertAlign val="superscript"/>
            <sz val="12"/>
            <color indexed="81"/>
            <rFont val="Tahoma"/>
            <family val="2"/>
          </rPr>
          <t>nd</t>
        </r>
        <r>
          <rPr>
            <sz val="10"/>
            <color indexed="81"/>
            <rFont val="Tahoma"/>
            <family val="2"/>
          </rPr>
          <t xml:space="preserve"> dissociation constant of a diprotic or polyprotic acid; 
b) logKp</t>
        </r>
        <r>
          <rPr>
            <vertAlign val="subscript"/>
            <sz val="12"/>
            <color indexed="81"/>
            <rFont val="Tahoma"/>
            <family val="2"/>
          </rPr>
          <t>i,</t>
        </r>
        <r>
          <rPr>
            <sz val="10"/>
            <color indexed="81"/>
            <rFont val="Tahoma"/>
            <family val="2"/>
          </rPr>
          <t xml:space="preserve"> log of the first protonation constant of a diprotonable (conjugated) base or i=n-1 for a system with n protonations;
c) pK</t>
        </r>
        <r>
          <rPr>
            <vertAlign val="subscript"/>
            <sz val="12"/>
            <color indexed="81"/>
            <rFont val="Tahoma"/>
            <family val="2"/>
          </rPr>
          <t>w</t>
        </r>
        <r>
          <rPr>
            <sz val="10"/>
            <color indexed="81"/>
            <rFont val="Tahoma"/>
            <family val="2"/>
          </rPr>
          <t xml:space="preserve"> - pKb</t>
        </r>
        <r>
          <rPr>
            <vertAlign val="subscript"/>
            <sz val="12"/>
            <color indexed="81"/>
            <rFont val="Tahoma"/>
            <family val="2"/>
          </rPr>
          <t>i</t>
        </r>
        <r>
          <rPr>
            <sz val="10"/>
            <color indexed="81"/>
            <rFont val="Tahoma"/>
            <family val="2"/>
          </rPr>
          <t xml:space="preserve"> with i=1 for a diprotonable base or i=n-1 for a base with n protonations; for a monoprotonable base, leave blank.</t>
        </r>
      </text>
    </comment>
    <comment ref="A7" authorId="0" shapeId="0" xr:uid="{00000000-0006-0000-0100-00000E000000}">
      <text>
        <r>
          <rPr>
            <b/>
            <sz val="8"/>
            <color indexed="81"/>
            <rFont val="Tahoma"/>
            <family val="2"/>
          </rPr>
          <t>Gutz:</t>
        </r>
        <r>
          <rPr>
            <sz val="8"/>
            <color indexed="81"/>
            <rFont val="Tahoma"/>
            <family val="2"/>
          </rPr>
          <t xml:space="preserve">
</t>
        </r>
        <r>
          <rPr>
            <sz val="10"/>
            <color indexed="81"/>
            <rFont val="Tahoma"/>
            <family val="2"/>
          </rPr>
          <t>Leave blank</t>
        </r>
        <r>
          <rPr>
            <b/>
            <sz val="10"/>
            <color indexed="81"/>
            <rFont val="Tahoma"/>
            <family val="2"/>
          </rPr>
          <t>/</t>
        </r>
        <r>
          <rPr>
            <sz val="10"/>
            <color indexed="81"/>
            <rFont val="Tahoma"/>
            <family val="2"/>
          </rPr>
          <t>fill out with the concentration (mol/L) of  triprotonated base (H</t>
        </r>
        <r>
          <rPr>
            <vertAlign val="subscript"/>
            <sz val="12"/>
            <color indexed="81"/>
            <rFont val="Tahoma"/>
            <family val="2"/>
          </rPr>
          <t>3</t>
        </r>
        <r>
          <rPr>
            <sz val="10"/>
            <color indexed="81"/>
            <rFont val="Tahoma"/>
            <family val="2"/>
          </rPr>
          <t>B) added to the solution, e.g.:  [H</t>
        </r>
        <r>
          <rPr>
            <vertAlign val="subscript"/>
            <sz val="12"/>
            <color indexed="81"/>
            <rFont val="Tahoma"/>
            <family val="2"/>
          </rPr>
          <t>3</t>
        </r>
        <r>
          <rPr>
            <sz val="10"/>
            <color indexed="81"/>
            <rFont val="Tahoma"/>
            <family val="2"/>
          </rPr>
          <t>PO</t>
        </r>
        <r>
          <rPr>
            <vertAlign val="subscript"/>
            <sz val="12"/>
            <color indexed="81"/>
            <rFont val="Tahoma"/>
            <family val="2"/>
          </rPr>
          <t>4</t>
        </r>
        <r>
          <rPr>
            <sz val="10"/>
            <color indexed="81"/>
            <rFont val="Tahoma"/>
            <family val="2"/>
          </rPr>
          <t>] (green underlined because it is the neutral form).</t>
        </r>
      </text>
    </comment>
    <comment ref="A11" authorId="0" shapeId="0" xr:uid="{00000000-0006-0000-0100-00000F000000}">
      <text>
        <r>
          <rPr>
            <b/>
            <sz val="8"/>
            <color indexed="81"/>
            <rFont val="Tahoma"/>
            <family val="2"/>
          </rPr>
          <t>Gutz:</t>
        </r>
        <r>
          <rPr>
            <sz val="8"/>
            <color indexed="81"/>
            <rFont val="Tahoma"/>
            <family val="2"/>
          </rPr>
          <t xml:space="preserve">
</t>
        </r>
        <r>
          <rPr>
            <sz val="10"/>
            <color indexed="81"/>
            <rFont val="Tahoma"/>
            <family val="2"/>
          </rPr>
          <t>Sum of concentrations of all forms of the base B introduced in the solution: [HB] + [H</t>
        </r>
        <r>
          <rPr>
            <vertAlign val="subscript"/>
            <sz val="10"/>
            <color indexed="81"/>
            <rFont val="Tahoma"/>
            <family val="2"/>
          </rPr>
          <t>2</t>
        </r>
        <r>
          <rPr>
            <sz val="10"/>
            <color indexed="81"/>
            <rFont val="Tahoma"/>
            <family val="2"/>
          </rPr>
          <t>B] + [H</t>
        </r>
        <r>
          <rPr>
            <vertAlign val="subscript"/>
            <sz val="10"/>
            <color indexed="81"/>
            <rFont val="Tahoma"/>
            <family val="2"/>
          </rPr>
          <t>3</t>
        </r>
        <r>
          <rPr>
            <sz val="10"/>
            <color indexed="81"/>
            <rFont val="Tahoma"/>
            <family val="2"/>
          </rPr>
          <t xml:space="preserve">B] + ... </t>
        </r>
      </text>
    </comment>
    <comment ref="B11" authorId="1" shapeId="0" xr:uid="{00000000-0006-0000-0100-000010000000}">
      <text>
        <r>
          <rPr>
            <b/>
            <sz val="8"/>
            <color indexed="81"/>
            <rFont val="Tahoma"/>
            <family val="2"/>
          </rPr>
          <t>Gutz</t>
        </r>
        <r>
          <rPr>
            <b/>
            <sz val="8"/>
            <color indexed="81"/>
            <rFont val="Tahoma"/>
            <family val="2"/>
          </rPr>
          <t>:</t>
        </r>
        <r>
          <rPr>
            <sz val="8"/>
            <color indexed="81"/>
            <rFont val="Tahoma"/>
            <family val="2"/>
          </rPr>
          <t xml:space="preserve">
</t>
        </r>
        <r>
          <rPr>
            <sz val="10"/>
            <color indexed="81"/>
            <rFont val="Tahoma"/>
            <family val="2"/>
          </rPr>
          <t>Do NOT write in this cell or any other one of the same color, not to corrupt  the equations.</t>
        </r>
      </text>
    </comment>
    <comment ref="I11" authorId="0" shapeId="0" xr:uid="{00000000-0006-0000-0100-000011000000}">
      <text>
        <r>
          <rPr>
            <b/>
            <sz val="8"/>
            <color indexed="81"/>
            <rFont val="Tahoma"/>
            <family val="2"/>
          </rPr>
          <t>Gutz:</t>
        </r>
        <r>
          <rPr>
            <sz val="8"/>
            <color indexed="81"/>
            <rFont val="Tahoma"/>
            <family val="2"/>
          </rPr>
          <t xml:space="preserve">
</t>
        </r>
        <r>
          <rPr>
            <sz val="10"/>
            <color indexed="81"/>
            <rFont val="Tahoma"/>
            <family val="2"/>
          </rPr>
          <t>Total concentration of each base (regardless of the protonation level of the added component) in columns B to H; grand total in column I.</t>
        </r>
      </text>
    </comment>
    <comment ref="J11" authorId="0" shapeId="0" xr:uid="{00000000-0006-0000-0100-000012000000}">
      <text>
        <r>
          <rPr>
            <b/>
            <sz val="8"/>
            <color indexed="81"/>
            <rFont val="Tahoma"/>
            <family val="2"/>
          </rPr>
          <t xml:space="preserve">Gutz: 
</t>
        </r>
        <r>
          <rPr>
            <sz val="10"/>
            <color indexed="81"/>
            <rFont val="Tahoma"/>
            <family val="2"/>
          </rPr>
          <t xml:space="preserve">Write the name (or formula) of ions of strong electrolytes (not involved in protonation equilibria), like counter-ions of salts of weak acids. 
This is required for ionic strength calculation and activity coefficient estimation.
</t>
        </r>
      </text>
    </comment>
    <comment ref="A12" authorId="0" shapeId="0" xr:uid="{00000000-0006-0000-0100-000013000000}">
      <text>
        <r>
          <rPr>
            <b/>
            <sz val="8"/>
            <color indexed="81"/>
            <rFont val="Tahoma"/>
            <family val="2"/>
          </rPr>
          <t>Gutz:</t>
        </r>
        <r>
          <rPr>
            <sz val="8"/>
            <color indexed="81"/>
            <rFont val="Tahoma"/>
            <family val="2"/>
          </rPr>
          <t xml:space="preserve">
</t>
        </r>
        <r>
          <rPr>
            <sz val="10"/>
            <color indexed="81"/>
            <rFont val="Tahoma"/>
            <family val="2"/>
          </rPr>
          <t>Maximum H</t>
        </r>
        <r>
          <rPr>
            <vertAlign val="superscript"/>
            <sz val="10"/>
            <color indexed="81"/>
            <rFont val="Tahoma"/>
            <family val="2"/>
          </rPr>
          <t>+</t>
        </r>
        <r>
          <rPr>
            <sz val="10"/>
            <color indexed="81"/>
            <rFont val="Tahoma"/>
            <family val="2"/>
          </rPr>
          <t xml:space="preserve"> concentration available from the full deprotonation of all forms of H</t>
        </r>
        <r>
          <rPr>
            <vertAlign val="subscript"/>
            <sz val="10"/>
            <color indexed="81"/>
            <rFont val="Tahoma"/>
            <family val="2"/>
          </rPr>
          <t>i</t>
        </r>
        <r>
          <rPr>
            <sz val="10"/>
            <color indexed="81"/>
            <rFont val="Tahoma"/>
            <family val="2"/>
          </rPr>
          <t>B used in the formulation of the solution: [HB] + 2[H</t>
        </r>
        <r>
          <rPr>
            <vertAlign val="subscript"/>
            <sz val="10"/>
            <color indexed="81"/>
            <rFont val="Tahoma"/>
            <family val="2"/>
          </rPr>
          <t>2</t>
        </r>
        <r>
          <rPr>
            <sz val="10"/>
            <color indexed="81"/>
            <rFont val="Tahoma"/>
            <family val="2"/>
          </rPr>
          <t>B] + 3[H</t>
        </r>
        <r>
          <rPr>
            <vertAlign val="subscript"/>
            <sz val="10"/>
            <color indexed="81"/>
            <rFont val="Tahoma"/>
            <family val="2"/>
          </rPr>
          <t>3</t>
        </r>
        <r>
          <rPr>
            <sz val="10"/>
            <color indexed="81"/>
            <rFont val="Tahoma"/>
            <family val="2"/>
          </rPr>
          <t>B] + ...</t>
        </r>
      </text>
    </comment>
    <comment ref="I12" authorId="0" shapeId="0" xr:uid="{00000000-0006-0000-0100-000014000000}">
      <text>
        <r>
          <rPr>
            <b/>
            <sz val="8"/>
            <color indexed="81"/>
            <rFont val="Tahoma"/>
            <family val="2"/>
          </rPr>
          <t>Gutz:</t>
        </r>
        <r>
          <rPr>
            <sz val="8"/>
            <color indexed="81"/>
            <rFont val="Tahoma"/>
            <family val="2"/>
          </rPr>
          <t xml:space="preserve">
</t>
        </r>
        <r>
          <rPr>
            <sz val="10"/>
            <color indexed="81"/>
            <rFont val="Tahoma"/>
            <family val="2"/>
          </rPr>
          <t>Maximum concentration of  H</t>
        </r>
        <r>
          <rPr>
            <vertAlign val="superscript"/>
            <sz val="10"/>
            <color indexed="81"/>
            <rFont val="Tahoma"/>
            <family val="2"/>
          </rPr>
          <t>+</t>
        </r>
        <r>
          <rPr>
            <sz val="10"/>
            <color indexed="81"/>
            <rFont val="Tahoma"/>
            <family val="2"/>
          </rPr>
          <t xml:space="preserve"> that could possibly be dissociated from all the components added to the solution.</t>
        </r>
      </text>
    </comment>
    <comment ref="J12" authorId="0" shapeId="0" xr:uid="{00000000-0006-0000-0100-000015000000}">
      <text>
        <r>
          <rPr>
            <b/>
            <sz val="8"/>
            <color indexed="81"/>
            <rFont val="Tahoma"/>
            <family val="2"/>
          </rPr>
          <t>Gutz:</t>
        </r>
        <r>
          <rPr>
            <sz val="8"/>
            <color indexed="81"/>
            <rFont val="Tahoma"/>
            <family val="2"/>
          </rPr>
          <t xml:space="preserve">
</t>
        </r>
        <r>
          <rPr>
            <sz val="10"/>
            <color indexed="81"/>
            <rFont val="Tahoma"/>
            <family val="2"/>
          </rPr>
          <t>Fill out with the charge of the ion.</t>
        </r>
      </text>
    </comment>
    <comment ref="A13" authorId="0" shapeId="0" xr:uid="{00000000-0006-0000-0100-000016000000}">
      <text>
        <r>
          <rPr>
            <b/>
            <sz val="8"/>
            <color indexed="81"/>
            <rFont val="Tahoma"/>
            <family val="2"/>
          </rPr>
          <t>Gutz:</t>
        </r>
        <r>
          <rPr>
            <sz val="8"/>
            <color indexed="81"/>
            <rFont val="Tahoma"/>
            <family val="2"/>
          </rPr>
          <t xml:space="preserve">
</t>
        </r>
        <r>
          <rPr>
            <sz val="10"/>
            <color indexed="81"/>
            <rFont val="Tahoma"/>
            <family val="2"/>
          </rPr>
          <t>C</t>
        </r>
        <r>
          <rPr>
            <vertAlign val="subscript"/>
            <sz val="12"/>
            <color indexed="81"/>
            <rFont val="Tahoma"/>
            <family val="2"/>
          </rPr>
          <t>i</t>
        </r>
        <r>
          <rPr>
            <sz val="10"/>
            <color indexed="81"/>
            <rFont val="Tahoma"/>
            <family val="2"/>
          </rPr>
          <t>z</t>
        </r>
        <r>
          <rPr>
            <vertAlign val="subscript"/>
            <sz val="12"/>
            <color indexed="81"/>
            <rFont val="Tahoma"/>
            <family val="2"/>
          </rPr>
          <t>i</t>
        </r>
        <r>
          <rPr>
            <sz val="10"/>
            <color indexed="81"/>
            <rFont val="Tahoma"/>
            <family val="2"/>
          </rPr>
          <t xml:space="preserve"> = ion concentration times charge of the ion (e.g., 2[Ca</t>
        </r>
        <r>
          <rPr>
            <vertAlign val="superscript"/>
            <sz val="12"/>
            <color indexed="81"/>
            <rFont val="Tahoma"/>
            <family val="2"/>
          </rPr>
          <t>2+</t>
        </r>
        <r>
          <rPr>
            <sz val="10"/>
            <color indexed="81"/>
            <rFont val="Tahoma"/>
            <family val="2"/>
          </rPr>
          <t>]).</t>
        </r>
      </text>
    </comment>
    <comment ref="I13" authorId="0" shapeId="0" xr:uid="{00000000-0006-0000-0100-000017000000}">
      <text>
        <r>
          <rPr>
            <b/>
            <sz val="8"/>
            <color indexed="81"/>
            <rFont val="Tahoma"/>
            <family val="2"/>
          </rPr>
          <t>Gutz:</t>
        </r>
        <r>
          <rPr>
            <sz val="8"/>
            <color indexed="81"/>
            <rFont val="Tahoma"/>
            <family val="2"/>
          </rPr>
          <t xml:space="preserve">
</t>
        </r>
        <r>
          <rPr>
            <sz val="10"/>
            <color indexed="81"/>
            <rFont val="Tahoma"/>
            <family val="2"/>
          </rPr>
          <t>Summation of C</t>
        </r>
        <r>
          <rPr>
            <vertAlign val="subscript"/>
            <sz val="10"/>
            <color indexed="81"/>
            <rFont val="Tahoma"/>
            <family val="2"/>
          </rPr>
          <t>i</t>
        </r>
        <r>
          <rPr>
            <sz val="10"/>
            <color indexed="81"/>
            <rFont val="Tahoma"/>
            <family val="2"/>
          </rPr>
          <t>z</t>
        </r>
        <r>
          <rPr>
            <vertAlign val="subscript"/>
            <sz val="10"/>
            <color indexed="81"/>
            <rFont val="Tahoma"/>
            <family val="2"/>
          </rPr>
          <t>i</t>
        </r>
        <r>
          <rPr>
            <sz val="10"/>
            <color indexed="81"/>
            <rFont val="Tahoma"/>
            <family val="2"/>
          </rPr>
          <t xml:space="preserve"> of all acidic and basic ingredients; if not zero, it should be neutralized by counterions in the electrolyte.</t>
        </r>
      </text>
    </comment>
    <comment ref="J13" authorId="0" shapeId="0" xr:uid="{00000000-0006-0000-0100-000018000000}">
      <text>
        <r>
          <rPr>
            <b/>
            <sz val="8"/>
            <color indexed="81"/>
            <rFont val="Tahoma"/>
            <family val="2"/>
          </rPr>
          <t>Gutz:</t>
        </r>
        <r>
          <rPr>
            <sz val="8"/>
            <color indexed="81"/>
            <rFont val="Tahoma"/>
            <family val="2"/>
          </rPr>
          <t xml:space="preserve">
</t>
        </r>
        <r>
          <rPr>
            <sz val="10"/>
            <color indexed="81"/>
            <rFont val="Tahoma"/>
            <family val="2"/>
          </rPr>
          <t>The ionic dissociation product of water changes with temperature and ionic strength, I. For pure water at 25ºC, the accepted value is 13.997 (or 14.00). The program corrects for I variation using the Davies eq. and displays the resulting value in K31.
Values of pKw at various temperatures: http://www.chemguide.co.uk/physical/acidbaseeqia/kw.html#top</t>
        </r>
      </text>
    </comment>
    <comment ref="A14" authorId="0" shapeId="0" xr:uid="{00000000-0006-0000-0100-000019000000}">
      <text>
        <r>
          <rPr>
            <b/>
            <sz val="8"/>
            <color indexed="81"/>
            <rFont val="Tahoma"/>
            <family val="2"/>
          </rPr>
          <t>Gutz:</t>
        </r>
        <r>
          <rPr>
            <sz val="8"/>
            <color indexed="81"/>
            <rFont val="Tahoma"/>
            <family val="2"/>
          </rPr>
          <t xml:space="preserve">
</t>
        </r>
        <r>
          <rPr>
            <sz val="10"/>
            <color indexed="81"/>
            <rFont val="Tahoma"/>
            <family val="2"/>
          </rPr>
          <t xml:space="preserve">Fill out with the concentration of counter-ions of the salts of acids and bases, as well as other electrolytes added to the solution (e.g., to adjust ionic strength). 
This data is not essential but it will reduce the uncertainty of the estimation of activity coefficients and pH.
Note: </t>
        </r>
        <r>
          <rPr>
            <sz val="8"/>
            <color indexed="81"/>
            <rFont val="Tahoma"/>
            <family val="2"/>
          </rPr>
          <t>sulfate, a common divalent anion, is only fully dissociated a pH&gt;4 because of its first protonation constant of 100 (= pKa</t>
        </r>
        <r>
          <rPr>
            <vertAlign val="subscript"/>
            <sz val="8"/>
            <color indexed="81"/>
            <rFont val="Tahoma"/>
            <family val="2"/>
          </rPr>
          <t xml:space="preserve">2 </t>
        </r>
        <r>
          <rPr>
            <sz val="8"/>
            <color indexed="81"/>
            <rFont val="Tahoma"/>
            <family val="2"/>
          </rPr>
          <t xml:space="preserve">2 of sulfuric acid). To deal more accurately with this acid/base system, load sulfuric acid from the Database (instead of defining it as electrolyte). </t>
        </r>
      </text>
    </comment>
    <comment ref="B14" authorId="0" shapeId="0" xr:uid="{00000000-0006-0000-0100-00001A000000}">
      <text>
        <r>
          <rPr>
            <b/>
            <sz val="8"/>
            <color indexed="81"/>
            <rFont val="Tahoma"/>
            <family val="2"/>
          </rPr>
          <t>Gutz:</t>
        </r>
        <r>
          <rPr>
            <sz val="8"/>
            <color indexed="81"/>
            <rFont val="Tahoma"/>
            <family val="2"/>
          </rPr>
          <t xml:space="preserve">
</t>
        </r>
        <r>
          <rPr>
            <sz val="10"/>
            <color indexed="81"/>
            <rFont val="Tahoma"/>
            <family val="2"/>
          </rPr>
          <t>Name of the ion (strong electrolyte). To change it, write in cell K11.</t>
        </r>
      </text>
    </comment>
    <comment ref="A15" authorId="0" shapeId="0" xr:uid="{00000000-0006-0000-0100-00001B000000}">
      <text>
        <r>
          <rPr>
            <b/>
            <sz val="8"/>
            <color indexed="81"/>
            <rFont val="Tahoma"/>
            <family val="2"/>
          </rPr>
          <t>Gutz:</t>
        </r>
        <r>
          <rPr>
            <sz val="8"/>
            <color indexed="81"/>
            <rFont val="Tahoma"/>
            <family val="2"/>
          </rPr>
          <t xml:space="preserve">
</t>
        </r>
        <r>
          <rPr>
            <sz val="10"/>
            <color indexed="81"/>
            <rFont val="Tahoma"/>
            <family val="2"/>
          </rPr>
          <t>To add, e.g., 0.1 mol/L NH</t>
        </r>
        <r>
          <rPr>
            <vertAlign val="subscript"/>
            <sz val="12"/>
            <color indexed="81"/>
            <rFont val="Tahoma"/>
            <family val="2"/>
          </rPr>
          <t>4</t>
        </r>
        <r>
          <rPr>
            <sz val="10"/>
            <color indexed="81"/>
            <rFont val="Tahoma"/>
            <family val="2"/>
          </rPr>
          <t>Cl  to the solution, write 0.1 in the Cl</t>
        </r>
        <r>
          <rPr>
            <vertAlign val="superscript"/>
            <sz val="10"/>
            <color indexed="81"/>
            <rFont val="Tahoma"/>
            <family val="2"/>
          </rPr>
          <t xml:space="preserve">- </t>
        </r>
        <r>
          <rPr>
            <sz val="10"/>
            <color indexed="81"/>
            <rFont val="Tahoma"/>
            <family val="2"/>
          </rPr>
          <t>column of this line and 0.1 in line 5 of the column loaded with ammonia.
For 0.1 mol/L CaCl</t>
        </r>
        <r>
          <rPr>
            <vertAlign val="subscript"/>
            <sz val="12"/>
            <color indexed="81"/>
            <rFont val="Tahoma"/>
            <family val="2"/>
          </rPr>
          <t>2</t>
        </r>
        <r>
          <rPr>
            <sz val="10"/>
            <color indexed="81"/>
            <rFont val="Tahoma"/>
            <family val="2"/>
          </rPr>
          <t xml:space="preserve"> , write 0.1 under Ca</t>
        </r>
        <r>
          <rPr>
            <vertAlign val="superscript"/>
            <sz val="10"/>
            <color indexed="81"/>
            <rFont val="Tahoma"/>
            <family val="2"/>
          </rPr>
          <t>++</t>
        </r>
        <r>
          <rPr>
            <sz val="10"/>
            <color indexed="81"/>
            <rFont val="Tahoma"/>
            <family val="2"/>
          </rPr>
          <t xml:space="preserve"> and 0.2 under Cl</t>
        </r>
        <r>
          <rPr>
            <vertAlign val="superscript"/>
            <sz val="10"/>
            <color indexed="81"/>
            <rFont val="Tahoma"/>
            <family val="2"/>
          </rPr>
          <t>-</t>
        </r>
        <r>
          <rPr>
            <sz val="10"/>
            <color indexed="81"/>
            <rFont val="Tahoma"/>
            <family val="2"/>
          </rPr>
          <t>.</t>
        </r>
      </text>
    </comment>
    <comment ref="K15" authorId="1" shapeId="0" xr:uid="{00000000-0006-0000-0100-00001C000000}">
      <text>
        <r>
          <rPr>
            <b/>
            <sz val="8"/>
            <color indexed="81"/>
            <rFont val="Tahoma"/>
            <family val="2"/>
          </rPr>
          <t>Gutz:</t>
        </r>
        <r>
          <rPr>
            <sz val="8"/>
            <color indexed="81"/>
            <rFont val="Tahoma"/>
            <family val="2"/>
          </rPr>
          <t xml:space="preserve">
</t>
        </r>
        <r>
          <rPr>
            <sz val="10"/>
            <color indexed="81"/>
            <rFont val="Tahoma"/>
            <family val="2"/>
          </rPr>
          <t>CurTiPot recalculates apparent equilibrium constants at the ionic strength, I, of the solution  from thermodynamic constants (I=0) by estimating activity coefficients  with help of the Davies equation. The accuracy is good for I&lt;0.05, acceptable for I&lt;0.2 and poor for higher values of I.
There is no rigorous means to calculate activity coefficients of individual ions, although there are many equations pursuing the reduction of the uncertainty of the estimates by taking in account individual effective ion size parameters and specific ion-ion interactions and/or introducing empirical coefficients fitted to real data. Such parameters are readily available only for the most common inorganic and organic ions, limiting their application range in comparison with the simple and general Davies eq. 
A compilation of over twenty equations with references to original work is available in the file Ionic St_effects.pdf contained in the package http://www.iupac.org/projects/2000/Aq_Solutions.zip
For calculations involving seawater (e.g. ionic strength at different salinities), see:   http://ioc.unesco.org/oceanteacher/oceanteacher2/02_InfTchSciCmm/01_CmpTch/05_ocsoft/01_toolbox/OcCalc/OcCalc.htm</t>
        </r>
      </text>
    </comment>
    <comment ref="A16" authorId="0" shapeId="0" xr:uid="{00000000-0006-0000-0100-00001D000000}">
      <text>
        <r>
          <rPr>
            <b/>
            <sz val="8"/>
            <color indexed="81"/>
            <rFont val="Tahoma"/>
            <family val="2"/>
          </rPr>
          <t>Gutz:</t>
        </r>
        <r>
          <rPr>
            <sz val="8"/>
            <color indexed="81"/>
            <rFont val="Tahoma"/>
            <family val="2"/>
          </rPr>
          <t xml:space="preserve">
</t>
        </r>
        <r>
          <rPr>
            <sz val="10"/>
            <color indexed="81"/>
            <rFont val="Tahoma"/>
            <family val="2"/>
          </rPr>
          <t>C</t>
        </r>
        <r>
          <rPr>
            <vertAlign val="subscript"/>
            <sz val="12"/>
            <color indexed="81"/>
            <rFont val="Tahoma"/>
            <family val="2"/>
          </rPr>
          <t>i</t>
        </r>
        <r>
          <rPr>
            <sz val="10"/>
            <color indexed="81"/>
            <rFont val="Tahoma"/>
            <family val="2"/>
          </rPr>
          <t>z</t>
        </r>
        <r>
          <rPr>
            <vertAlign val="subscript"/>
            <sz val="12"/>
            <color indexed="81"/>
            <rFont val="Tahoma"/>
            <family val="2"/>
          </rPr>
          <t>i</t>
        </r>
        <r>
          <rPr>
            <sz val="10"/>
            <color indexed="81"/>
            <rFont val="Tahoma"/>
            <family val="2"/>
          </rPr>
          <t xml:space="preserve"> = ion concentration times charge of the ion (e.g., 2[Ca</t>
        </r>
        <r>
          <rPr>
            <vertAlign val="superscript"/>
            <sz val="12"/>
            <color indexed="81"/>
            <rFont val="Tahoma"/>
            <family val="2"/>
          </rPr>
          <t>2+</t>
        </r>
        <r>
          <rPr>
            <sz val="10"/>
            <color indexed="81"/>
            <rFont val="Tahoma"/>
            <family val="2"/>
          </rPr>
          <t>]).</t>
        </r>
      </text>
    </comment>
    <comment ref="I16" authorId="0" shapeId="0" xr:uid="{00000000-0006-0000-0100-00001E000000}">
      <text>
        <r>
          <rPr>
            <b/>
            <sz val="8"/>
            <color indexed="81"/>
            <rFont val="Tahoma"/>
            <family val="2"/>
          </rPr>
          <t>Gutz:</t>
        </r>
        <r>
          <rPr>
            <sz val="8"/>
            <color indexed="81"/>
            <rFont val="Tahoma"/>
            <family val="2"/>
          </rPr>
          <t xml:space="preserve">
</t>
        </r>
        <r>
          <rPr>
            <sz val="10"/>
            <color indexed="81"/>
            <rFont val="Tahoma"/>
            <family val="2"/>
          </rPr>
          <t>Summation of C</t>
        </r>
        <r>
          <rPr>
            <vertAlign val="subscript"/>
            <sz val="10"/>
            <color indexed="81"/>
            <rFont val="Tahoma"/>
            <family val="2"/>
          </rPr>
          <t>i</t>
        </r>
        <r>
          <rPr>
            <sz val="10"/>
            <color indexed="81"/>
            <rFont val="Tahoma"/>
            <family val="2"/>
          </rPr>
          <t>z</t>
        </r>
        <r>
          <rPr>
            <vertAlign val="subscript"/>
            <sz val="10"/>
            <color indexed="81"/>
            <rFont val="Tahoma"/>
            <family val="2"/>
          </rPr>
          <t>i</t>
        </r>
        <r>
          <rPr>
            <sz val="10"/>
            <color indexed="81"/>
            <rFont val="Tahoma"/>
            <family val="2"/>
          </rPr>
          <t xml:space="preserve"> of all electrolytes</t>
        </r>
      </text>
    </comment>
    <comment ref="J16" authorId="0" shapeId="0" xr:uid="{00000000-0006-0000-0100-00001F000000}">
      <text>
        <r>
          <rPr>
            <b/>
            <sz val="8"/>
            <color indexed="81"/>
            <rFont val="Tahoma"/>
            <family val="2"/>
          </rPr>
          <t>Gutz:</t>
        </r>
        <r>
          <rPr>
            <sz val="8"/>
            <color indexed="81"/>
            <rFont val="Tahoma"/>
            <family val="2"/>
          </rPr>
          <t xml:space="preserve">
</t>
        </r>
        <r>
          <rPr>
            <sz val="10"/>
            <color indexed="81"/>
            <rFont val="Tahoma"/>
            <family val="2"/>
          </rPr>
          <t xml:space="preserve">A and b are parameters of the Davies equation, used for activity coefficient estimation. They depend on temperature, dielectric constant, electrolyte, etc. 
The recommended values for water at 25ºC are: A=0.509; b=0.300.
The Davies eq. does not require the size of different hydrated ions but, to some degree, the A and b parameters may be empirically adjusted to more closely describe a given electrolyte.
For example: For NaCl + HCl solutions, A=0.43 and b=0.49 conducts to </t>
        </r>
        <r>
          <rPr>
            <sz val="14"/>
            <color indexed="81"/>
            <rFont val="Symbol"/>
            <family val="1"/>
            <charset val="2"/>
          </rPr>
          <t>g</t>
        </r>
        <r>
          <rPr>
            <sz val="10"/>
            <color indexed="81"/>
            <rFont val="Tahoma"/>
            <family val="2"/>
          </rPr>
          <t>H</t>
        </r>
        <r>
          <rPr>
            <vertAlign val="superscript"/>
            <sz val="12"/>
            <color indexed="81"/>
            <rFont val="Tahoma"/>
            <family val="2"/>
          </rPr>
          <t>+</t>
        </r>
        <r>
          <rPr>
            <sz val="10"/>
            <color indexed="81"/>
            <rFont val="Tahoma"/>
            <family val="2"/>
          </rPr>
          <t xml:space="preserve"> values in excellent agreement with those provided (up to 0.5 mol/kg) in http://www.iupac.org/projects/2000/Aq_Solutions.zip
on base of more complete equations fitted to experimental data. 
For phosphate solutions, A=0.51 and b=0.20 seems appropriate at pHs above neutrality.
</t>
        </r>
      </text>
    </comment>
    <comment ref="A17" authorId="0" shapeId="0" xr:uid="{00000000-0006-0000-0100-000020000000}">
      <text>
        <r>
          <rPr>
            <b/>
            <sz val="8"/>
            <color indexed="81"/>
            <rFont val="Tahoma"/>
            <family val="2"/>
          </rPr>
          <t>Gutz:</t>
        </r>
        <r>
          <rPr>
            <sz val="8"/>
            <color indexed="81"/>
            <rFont val="Tahoma"/>
            <family val="2"/>
          </rPr>
          <t xml:space="preserve">
</t>
        </r>
        <r>
          <rPr>
            <sz val="10"/>
            <color indexed="81"/>
            <rFont val="Tahoma"/>
            <family val="2"/>
          </rPr>
          <t>Electroneutrality is not a must to calculate the pH (by clicking B18). However, there will be some extra uncertainty in the results due to incorrect ionic strength calculation.</t>
        </r>
      </text>
    </comment>
    <comment ref="I17" authorId="0" shapeId="0" xr:uid="{00000000-0006-0000-0100-000021000000}">
      <text>
        <r>
          <rPr>
            <b/>
            <sz val="8"/>
            <color indexed="81"/>
            <rFont val="Tahoma"/>
            <family val="2"/>
          </rPr>
          <t>Gutz:</t>
        </r>
        <r>
          <rPr>
            <sz val="8"/>
            <color indexed="81"/>
            <rFont val="Tahoma"/>
            <family val="2"/>
          </rPr>
          <t xml:space="preserve">
</t>
        </r>
        <r>
          <rPr>
            <sz val="10"/>
            <color indexed="81"/>
            <rFont val="Tahoma"/>
            <family val="2"/>
          </rPr>
          <t>Charge Balance of all C</t>
        </r>
        <r>
          <rPr>
            <vertAlign val="subscript"/>
            <sz val="10"/>
            <color indexed="81"/>
            <rFont val="Tahoma"/>
            <family val="2"/>
          </rPr>
          <t>i</t>
        </r>
        <r>
          <rPr>
            <sz val="10"/>
            <color indexed="81"/>
            <rFont val="Tahoma"/>
            <family val="2"/>
          </rPr>
          <t>z</t>
        </r>
        <r>
          <rPr>
            <vertAlign val="subscript"/>
            <sz val="10"/>
            <color indexed="81"/>
            <rFont val="Tahoma"/>
            <family val="2"/>
          </rPr>
          <t>i</t>
        </r>
        <r>
          <rPr>
            <sz val="10"/>
            <color indexed="81"/>
            <rFont val="Tahoma"/>
            <family val="2"/>
          </rPr>
          <t xml:space="preserve"> of ingredients added (before equilibrium); if not zero, it should be neutralized by adding counterions.</t>
        </r>
      </text>
    </comment>
    <comment ref="J17" authorId="0" shapeId="0" xr:uid="{00000000-0006-0000-0100-000022000000}">
      <text>
        <r>
          <rPr>
            <b/>
            <sz val="8"/>
            <color indexed="81"/>
            <rFont val="Tahoma"/>
            <family val="2"/>
          </rPr>
          <t>Gutz:</t>
        </r>
        <r>
          <rPr>
            <sz val="8"/>
            <color indexed="81"/>
            <rFont val="Tahoma"/>
            <family val="2"/>
          </rPr>
          <t xml:space="preserve">
</t>
        </r>
        <r>
          <rPr>
            <sz val="10"/>
            <color indexed="81"/>
            <rFont val="Tahoma"/>
            <family val="2"/>
          </rPr>
          <t>Read comment  in cell J6 (above) and K15.</t>
        </r>
      </text>
    </comment>
    <comment ref="A23" authorId="0" shapeId="0" xr:uid="{00000000-0006-0000-0100-000023000000}">
      <text>
        <r>
          <rPr>
            <b/>
            <sz val="8"/>
            <color indexed="81"/>
            <rFont val="Tahoma"/>
            <family val="2"/>
          </rPr>
          <t>Gutz:</t>
        </r>
        <r>
          <rPr>
            <sz val="8"/>
            <color indexed="81"/>
            <rFont val="Tahoma"/>
            <family val="2"/>
          </rPr>
          <t xml:space="preserve">
</t>
        </r>
        <r>
          <rPr>
            <sz val="10"/>
            <color indexed="81"/>
            <rFont val="Tahoma"/>
            <family val="2"/>
          </rPr>
          <t>This is an estimate of the pH = -logarithm of activity of  H</t>
        </r>
        <r>
          <rPr>
            <vertAlign val="superscript"/>
            <sz val="12"/>
            <color indexed="81"/>
            <rFont val="Tahoma"/>
            <family val="2"/>
          </rPr>
          <t>+</t>
        </r>
        <r>
          <rPr>
            <sz val="10"/>
            <color indexed="81"/>
            <rFont val="Tahoma"/>
            <family val="2"/>
          </rPr>
          <t xml:space="preserve"> ions or hydronium (see definition in http://www.iupac.org/goldbook/P04524.pdf ) that would be measured by a pH meter for a solution with the given composition, at 25ºC (or another temperature specified for the pKw and pKa values). The potential of potentiometric sensors (like the glass electrode or the H</t>
        </r>
        <r>
          <rPr>
            <vertAlign val="superscript"/>
            <sz val="12"/>
            <color indexed="81"/>
            <rFont val="Tahoma"/>
            <family val="2"/>
          </rPr>
          <t>+</t>
        </r>
        <r>
          <rPr>
            <sz val="10"/>
            <color indexed="81"/>
            <rFont val="Tahoma"/>
            <family val="2"/>
          </rPr>
          <t>/H</t>
        </r>
        <r>
          <rPr>
            <vertAlign val="subscript"/>
            <sz val="12"/>
            <color indexed="81"/>
            <rFont val="Tahoma"/>
            <family val="2"/>
          </rPr>
          <t xml:space="preserve">2 </t>
        </r>
        <r>
          <rPr>
            <sz val="10"/>
            <color indexed="81"/>
            <rFont val="Tahoma"/>
            <family val="2"/>
          </rPr>
          <t xml:space="preserve">electrode) changes linearly with the inverse of the logarithm of the </t>
        </r>
        <r>
          <rPr>
            <b/>
            <sz val="10"/>
            <color indexed="81"/>
            <rFont val="Tahoma"/>
            <family val="2"/>
          </rPr>
          <t>activity</t>
        </r>
        <r>
          <rPr>
            <sz val="10"/>
            <color indexed="81"/>
            <rFont val="Tahoma"/>
            <family val="2"/>
          </rPr>
          <t xml:space="preserve"> of hydrated H</t>
        </r>
        <r>
          <rPr>
            <vertAlign val="superscript"/>
            <sz val="10"/>
            <color indexed="81"/>
            <rFont val="Tahoma"/>
            <family val="2"/>
          </rPr>
          <t>+</t>
        </r>
        <r>
          <rPr>
            <sz val="10"/>
            <color indexed="81"/>
            <rFont val="Tahoma"/>
            <family val="2"/>
          </rPr>
          <t xml:space="preserve"> ions, </t>
        </r>
        <r>
          <rPr>
            <b/>
            <sz val="10"/>
            <color indexed="81"/>
            <rFont val="Tahoma"/>
            <family val="2"/>
          </rPr>
          <t>not</t>
        </r>
        <r>
          <rPr>
            <sz val="10"/>
            <color indexed="81"/>
            <rFont val="Tahoma"/>
            <family val="2"/>
          </rPr>
          <t xml:space="preserve"> the </t>
        </r>
        <r>
          <rPr>
            <b/>
            <sz val="10"/>
            <color indexed="81"/>
            <rFont val="Tahoma"/>
            <family val="2"/>
          </rPr>
          <t>concentration</t>
        </r>
        <r>
          <rPr>
            <sz val="10"/>
            <color indexed="81"/>
            <rFont val="Tahoma"/>
            <family val="2"/>
          </rPr>
          <t xml:space="preserve"> (expressed as p[H] in cell B24).  
pH = -log aH+ = -log([H</t>
        </r>
        <r>
          <rPr>
            <vertAlign val="superscript"/>
            <sz val="12"/>
            <color indexed="81"/>
            <rFont val="Tahoma"/>
            <family val="2"/>
          </rPr>
          <t>+</t>
        </r>
        <r>
          <rPr>
            <sz val="10"/>
            <color indexed="81"/>
            <rFont val="Tahoma"/>
            <family val="2"/>
          </rPr>
          <t>] x</t>
        </r>
        <r>
          <rPr>
            <sz val="10"/>
            <color indexed="81"/>
            <rFont val="Symbol"/>
            <family val="1"/>
            <charset val="2"/>
          </rPr>
          <t xml:space="preserve"> </t>
        </r>
        <r>
          <rPr>
            <sz val="12"/>
            <color indexed="81"/>
            <rFont val="Symbol"/>
            <family val="1"/>
            <charset val="2"/>
          </rPr>
          <t>g</t>
        </r>
        <r>
          <rPr>
            <vertAlign val="subscript"/>
            <sz val="12"/>
            <color indexed="81"/>
            <rFont val="Tahoma"/>
            <family val="2"/>
          </rPr>
          <t>H+</t>
        </r>
        <r>
          <rPr>
            <sz val="10"/>
            <color indexed="81"/>
            <rFont val="Tahoma"/>
            <family val="2"/>
          </rPr>
          <t xml:space="preserve">) , </t>
        </r>
        <r>
          <rPr>
            <sz val="12"/>
            <color indexed="81"/>
            <rFont val="Symbol"/>
            <family val="1"/>
            <charset val="2"/>
          </rPr>
          <t>g</t>
        </r>
        <r>
          <rPr>
            <vertAlign val="subscript"/>
            <sz val="12"/>
            <color indexed="81"/>
            <rFont val="Tahoma"/>
            <family val="2"/>
          </rPr>
          <t xml:space="preserve">H+ </t>
        </r>
        <r>
          <rPr>
            <sz val="10"/>
            <color indexed="81"/>
            <rFont val="Tahoma"/>
            <family val="2"/>
          </rPr>
          <t>is shown in the B26
The uncertainty of estimated pH values is never lower than the uncertainty of the pKa values in use, and it grows with the ionic strength, I, due to deficiencies of the Davies equation (more about in cells D26 and  K15). It can exceed 0.1 pH unit for I&gt;0.05, specially in solutions with highly charged ions (like PO</t>
        </r>
        <r>
          <rPr>
            <vertAlign val="subscript"/>
            <sz val="12"/>
            <color indexed="81"/>
            <rFont val="Tahoma"/>
            <family val="2"/>
          </rPr>
          <t>4</t>
        </r>
        <r>
          <rPr>
            <vertAlign val="superscript"/>
            <sz val="12"/>
            <color indexed="81"/>
            <rFont val="Tahoma"/>
            <family val="2"/>
          </rPr>
          <t>3--</t>
        </r>
        <r>
          <rPr>
            <sz val="10"/>
            <color indexed="81"/>
            <rFont val="Tahoma"/>
            <family val="2"/>
          </rPr>
          <t>).</t>
        </r>
      </text>
    </comment>
    <comment ref="C23" authorId="0" shapeId="0" xr:uid="{00000000-0006-0000-0100-000024000000}">
      <text>
        <r>
          <rPr>
            <b/>
            <sz val="8"/>
            <color indexed="81"/>
            <rFont val="Tahoma"/>
            <family val="2"/>
          </rPr>
          <t>Gutz:</t>
        </r>
        <r>
          <rPr>
            <sz val="8"/>
            <color indexed="81"/>
            <rFont val="Tahoma"/>
            <family val="2"/>
          </rPr>
          <t xml:space="preserve">
</t>
        </r>
        <r>
          <rPr>
            <sz val="10"/>
            <color indexed="81"/>
            <rFont val="Tahoma"/>
            <family val="2"/>
          </rPr>
          <t>This and other activity results are based on (uncertain) estimates of activity coefficient made with the Davies equation. Read more in cells A23, D26 and  K15.</t>
        </r>
      </text>
    </comment>
    <comment ref="A24" authorId="0" shapeId="0" xr:uid="{00000000-0006-0000-0100-000025000000}">
      <text>
        <r>
          <rPr>
            <b/>
            <sz val="8"/>
            <color indexed="81"/>
            <rFont val="Tahoma"/>
            <family val="2"/>
          </rPr>
          <t>Gutz:</t>
        </r>
        <r>
          <rPr>
            <sz val="8"/>
            <color indexed="81"/>
            <rFont val="Tahoma"/>
            <family val="2"/>
          </rPr>
          <t xml:space="preserve">
</t>
        </r>
        <r>
          <rPr>
            <sz val="10"/>
            <color indexed="81"/>
            <rFont val="Tahoma"/>
            <family val="2"/>
          </rPr>
          <t>p[H] = -log[H</t>
        </r>
        <r>
          <rPr>
            <vertAlign val="superscript"/>
            <sz val="10"/>
            <color indexed="81"/>
            <rFont val="Tahoma"/>
            <family val="2"/>
          </rPr>
          <t>+</t>
        </r>
        <r>
          <rPr>
            <sz val="10"/>
            <color indexed="81"/>
            <rFont val="Tahoma"/>
            <family val="2"/>
          </rPr>
          <t>], calculated with the apparent pKas (cells K25 to Q30), while "pH" (cell B25) is obtained with the thermodynamic pKas, valid only for I=0 (see comment in cell K15), and pH (cell B23) uses estimated activities to come closer to the measurable pH.  
Although potentiometric sensors respond to activity of species (see comment in B23), it is possible – but not usual – to calibrate a pH meter (a high impedance voltmeter) with H</t>
        </r>
        <r>
          <rPr>
            <vertAlign val="superscript"/>
            <sz val="10"/>
            <color indexed="81"/>
            <rFont val="Tahoma"/>
            <family val="2"/>
          </rPr>
          <t>+</t>
        </r>
        <r>
          <rPr>
            <sz val="10"/>
            <color indexed="81"/>
            <rFont val="Tahoma"/>
            <family val="2"/>
          </rPr>
          <t xml:space="preserve"> concentration standards at a given value of  I (to keep the activity coefficients constant) and measure free hydrated proton concentrations directly at this I. 
Some other techniques like spectrophotometry present a concentration response and may be used to indirectly measure p[H] (e.g., optodes).</t>
        </r>
      </text>
    </comment>
    <comment ref="A25" authorId="0" shapeId="0" xr:uid="{00000000-0006-0000-0100-000026000000}">
      <text>
        <r>
          <rPr>
            <b/>
            <sz val="8"/>
            <color indexed="81"/>
            <rFont val="Tahoma"/>
            <family val="2"/>
          </rPr>
          <t>Gutz:</t>
        </r>
        <r>
          <rPr>
            <sz val="8"/>
            <color indexed="81"/>
            <rFont val="Tahoma"/>
            <family val="2"/>
          </rPr>
          <t xml:space="preserve">
</t>
        </r>
        <r>
          <rPr>
            <sz val="10"/>
            <color indexed="81"/>
            <rFont val="Tahoma"/>
            <family val="2"/>
          </rPr>
          <t>"pH" is the value found in calculations where concentrations are used in the law of mass action expressions supplied with thermodynamic equilibrium constants – as usual in high school or introductory general chemistry classes and textbooks. 
Comparison with pH (cell B23) and p[H] (cell B24) reveals that errors are small only for diluted solutions, where ion-ion interactions are less significant and activities depart less from concentrations (see comments in cells A23, D26 and  K15).</t>
        </r>
      </text>
    </comment>
    <comment ref="A26" authorId="0" shapeId="0" xr:uid="{00000000-0006-0000-0100-000027000000}">
      <text>
        <r>
          <rPr>
            <b/>
            <sz val="8"/>
            <color indexed="81"/>
            <rFont val="Tahoma"/>
            <family val="2"/>
          </rPr>
          <t>Gutz:</t>
        </r>
        <r>
          <rPr>
            <sz val="8"/>
            <color indexed="81"/>
            <rFont val="Tahoma"/>
            <family val="2"/>
          </rPr>
          <t xml:space="preserve">
</t>
        </r>
        <r>
          <rPr>
            <sz val="10"/>
            <color indexed="81"/>
            <rFont val="Tahoma"/>
            <family val="2"/>
          </rPr>
          <t>This and other activity coefficients are (uncertain) estimates made with the Davies equation. Read more in cells A23, D26 and  K15.</t>
        </r>
      </text>
    </comment>
    <comment ref="D26" authorId="0" shapeId="0" xr:uid="{00000000-0006-0000-0100-000028000000}">
      <text>
        <r>
          <rPr>
            <b/>
            <sz val="8"/>
            <color indexed="81"/>
            <rFont val="Tahoma"/>
            <family val="2"/>
          </rPr>
          <t>Gutz:</t>
        </r>
        <r>
          <rPr>
            <sz val="8"/>
            <color indexed="81"/>
            <rFont val="Tahoma"/>
            <family val="2"/>
          </rPr>
          <t xml:space="preserve">
</t>
        </r>
        <r>
          <rPr>
            <sz val="10"/>
            <color indexed="81"/>
            <rFont val="Tahoma"/>
            <family val="2"/>
          </rPr>
          <t>The amount of electrostatic interaction between ions in solution is related to the ionic strength, I, a parameter used in the Debye Hückel equation for estimation of activity coefficients and extended versions of this equation, suitable for work at I&gt;0.01 mol/L, where the effective hydrated ion size of the species also becomes relevant. 
As a general trend, the activity coefficient decreases with the increase of I (due to ion-ion interactions like the formation of ion pairs) down to a minimum in the region of I = 0.3 to 0.7 mol/L. At such high values of I, the association constants of each with all other major ions need to be feed to the equations or empirically fitted, to reduce uncertainty in estimates. The Davies equation, based on the average behavior of the ions and used here to deal with in complex mixtures for witch such constants are not readily available, renders estimates with greater uncertainty. Read also A23 and  K15.</t>
        </r>
        <r>
          <rPr>
            <sz val="8"/>
            <color indexed="81"/>
            <rFont val="Tahoma"/>
            <family val="2"/>
          </rPr>
          <t xml:space="preserve">
</t>
        </r>
      </text>
    </comment>
    <comment ref="C27" authorId="2" shapeId="0" xr:uid="{00000000-0006-0000-0100-000029000000}">
      <text>
        <r>
          <rPr>
            <b/>
            <sz val="8"/>
            <color indexed="81"/>
            <rFont val="Tahoma"/>
            <family val="2"/>
          </rPr>
          <t xml:space="preserve">Gutz:
</t>
        </r>
        <r>
          <rPr>
            <sz val="10"/>
            <color indexed="81"/>
            <rFont val="Tahoma"/>
            <family val="2"/>
          </rPr>
          <t xml:space="preserve">The Buffer Capacity, BC, (or Buffer Index, BI) can be understood as the concentration of (strong) acid or sodium hydroxide that, when added to the solution under consideration, would shift the pH by one unit, in a hypothetical pH region of constant BC. Since BC can change  rapidly with pH (as shown in Figures 3 and 7 in "Distribution"), estimates of the resistance against acid or base addition are reasonably accurate only for 0.1 </t>
        </r>
        <r>
          <rPr>
            <sz val="10"/>
            <color indexed="81"/>
            <rFont val="Symbol"/>
            <family val="1"/>
            <charset val="2"/>
          </rPr>
          <t>D</t>
        </r>
        <r>
          <rPr>
            <sz val="10"/>
            <color indexed="81"/>
            <rFont val="Tahoma"/>
            <family val="2"/>
          </rPr>
          <t>pH or less.
For example, a buffer solution of pH 7.001 prepared with 0.0200 mol/L NaH</t>
        </r>
        <r>
          <rPr>
            <vertAlign val="subscript"/>
            <sz val="12"/>
            <color indexed="81"/>
            <rFont val="Tahoma"/>
            <family val="2"/>
          </rPr>
          <t>2</t>
        </r>
        <r>
          <rPr>
            <sz val="10"/>
            <color indexed="81"/>
            <rFont val="Tahoma"/>
            <family val="2"/>
          </rPr>
          <t>PO</t>
        </r>
        <r>
          <rPr>
            <vertAlign val="subscript"/>
            <sz val="12"/>
            <color indexed="81"/>
            <rFont val="Tahoma"/>
            <family val="2"/>
          </rPr>
          <t>4</t>
        </r>
        <r>
          <rPr>
            <sz val="10"/>
            <color indexed="81"/>
            <rFont val="Tahoma"/>
            <family val="2"/>
          </rPr>
          <t xml:space="preserve">  and 0.0265 mol/L Na</t>
        </r>
        <r>
          <rPr>
            <vertAlign val="subscript"/>
            <sz val="12"/>
            <color indexed="81"/>
            <rFont val="Tahoma"/>
            <family val="2"/>
          </rPr>
          <t>2</t>
        </r>
        <r>
          <rPr>
            <sz val="10"/>
            <color indexed="81"/>
            <rFont val="Tahoma"/>
            <family val="2"/>
          </rPr>
          <t>HPO</t>
        </r>
        <r>
          <rPr>
            <vertAlign val="subscript"/>
            <sz val="12"/>
            <color indexed="81"/>
            <rFont val="Tahoma"/>
            <family val="2"/>
          </rPr>
          <t>4</t>
        </r>
        <r>
          <rPr>
            <sz val="10"/>
            <color indexed="81"/>
            <rFont val="Tahoma"/>
            <family val="2"/>
          </rPr>
          <t xml:space="preserve"> presents a BC= 0.02625. 
i) The addition of acid or base in a BC/10 concentration, aiming a </t>
        </r>
        <r>
          <rPr>
            <sz val="10"/>
            <color indexed="81"/>
            <rFont val="Symbol"/>
            <family val="1"/>
            <charset val="2"/>
          </rPr>
          <t>D</t>
        </r>
        <r>
          <rPr>
            <sz val="10"/>
            <color indexed="81"/>
            <rFont val="Tahoma"/>
            <family val="2"/>
          </rPr>
          <t xml:space="preserve">pH of 0.1, renders an accurate result. Calculation of the pH of the described buffer plus 0.002625 mol/L HCl shows a pH to  6.904, close to the expected 6.901; a similar concentration of NaOH increases the pH to 7.098, practically 7.101.
ii) The addition of a concentration equal to BC of strong acid or base produces a </t>
        </r>
        <r>
          <rPr>
            <sz val="10"/>
            <color indexed="81"/>
            <rFont val="Symbol"/>
            <family val="1"/>
            <charset val="2"/>
          </rPr>
          <t>D</t>
        </r>
        <r>
          <rPr>
            <sz val="10"/>
            <color indexed="81"/>
            <rFont val="Tahoma"/>
            <family val="2"/>
          </rPr>
          <t>pH larger than the aimed one unit, because, for the example under consideration, BC presents a maximum at pH 6.87 (see Distribution). Addition of [HCl]=0.02625 mol/L renders a pH of 4.79 instead of 6.00 while addition of [NaOH]=0.02625 mol/L raises the pH to 10.86 (an overshot of 2.9 units, worse than in the acidic side because there is more HPO</t>
        </r>
        <r>
          <rPr>
            <vertAlign val="subscript"/>
            <sz val="12"/>
            <color indexed="81"/>
            <rFont val="Tahoma"/>
            <family val="2"/>
          </rPr>
          <t>4</t>
        </r>
        <r>
          <rPr>
            <vertAlign val="superscript"/>
            <sz val="12"/>
            <color indexed="81"/>
            <rFont val="Tahoma"/>
            <family val="2"/>
          </rPr>
          <t>2-</t>
        </r>
        <r>
          <rPr>
            <sz val="10"/>
            <color indexed="81"/>
            <rFont val="Tahoma"/>
            <family val="2"/>
          </rPr>
          <t xml:space="preserve"> than H</t>
        </r>
        <r>
          <rPr>
            <vertAlign val="subscript"/>
            <sz val="12"/>
            <color indexed="81"/>
            <rFont val="Tahoma"/>
            <family val="2"/>
          </rPr>
          <t>2</t>
        </r>
        <r>
          <rPr>
            <sz val="10"/>
            <color indexed="81"/>
            <rFont val="Tahoma"/>
            <family val="2"/>
          </rPr>
          <t>PO</t>
        </r>
        <r>
          <rPr>
            <vertAlign val="subscript"/>
            <sz val="12"/>
            <color indexed="81"/>
            <rFont val="Tahoma"/>
            <family val="2"/>
          </rPr>
          <t>4</t>
        </r>
        <r>
          <rPr>
            <vertAlign val="superscript"/>
            <sz val="12"/>
            <color indexed="81"/>
            <rFont val="Tahoma"/>
            <family val="2"/>
          </rPr>
          <t>-</t>
        </r>
        <r>
          <rPr>
            <sz val="10"/>
            <color indexed="81"/>
            <rFont val="Tahoma"/>
            <family val="2"/>
          </rPr>
          <t xml:space="preserve"> in the buffer). 
More about, e.g.: Understanding, Deriving, and Computing Buffer Capacity, by Edward T. Urbansky and Michael R. Schock, Journal of Chemical Education,  2000, Vol. 77, 1640-44 and references cited therein.</t>
        </r>
      </text>
    </comment>
    <comment ref="G27" authorId="2" shapeId="0" xr:uid="{00000000-0006-0000-0100-00002A000000}">
      <text>
        <r>
          <rPr>
            <b/>
            <sz val="8"/>
            <color indexed="81"/>
            <rFont val="Tahoma"/>
            <family val="2"/>
          </rPr>
          <t>Gutz:</t>
        </r>
        <r>
          <rPr>
            <sz val="10"/>
            <color indexed="81"/>
            <rFont val="Tahoma"/>
            <family val="2"/>
          </rPr>
          <t xml:space="preserve">
Buffer Capacity=Buffer Strength x ln(10),  where ln(10) ~ 2.303
For a monoprotic acid, e.g., Acetic Acid written in column C, the Buffer Strength is evaluated by the expression: C11 x (C44/100) x (C45/100) + D24+F24
</t>
        </r>
      </text>
    </comment>
    <comment ref="A30" authorId="1" shapeId="0" xr:uid="{00000000-0006-0000-0100-00002B000000}">
      <text>
        <r>
          <rPr>
            <b/>
            <sz val="8"/>
            <color indexed="81"/>
            <rFont val="Tahoma"/>
            <family val="2"/>
          </rPr>
          <t>Gutz:</t>
        </r>
        <r>
          <rPr>
            <sz val="8"/>
            <color indexed="81"/>
            <rFont val="Tahoma"/>
            <family val="2"/>
          </rPr>
          <t xml:space="preserve">
</t>
        </r>
        <r>
          <rPr>
            <sz val="10"/>
            <color indexed="81"/>
            <rFont val="Tahoma"/>
            <family val="2"/>
          </rPr>
          <t xml:space="preserve">The mean or average charge of a conjugate acid/base system </t>
        </r>
        <r>
          <rPr>
            <b/>
            <sz val="10"/>
            <color indexed="81"/>
            <rFont val="Tahoma"/>
            <family val="2"/>
          </rPr>
          <t>H</t>
        </r>
        <r>
          <rPr>
            <b/>
            <vertAlign val="subscript"/>
            <sz val="12"/>
            <color indexed="81"/>
            <rFont val="Tahoma"/>
            <family val="2"/>
          </rPr>
          <t>i</t>
        </r>
        <r>
          <rPr>
            <b/>
            <sz val="10"/>
            <color indexed="81"/>
            <rFont val="Tahoma"/>
            <family val="2"/>
          </rPr>
          <t>B</t>
        </r>
        <r>
          <rPr>
            <sz val="10"/>
            <color indexed="81"/>
            <rFont val="Tahoma"/>
            <family val="2"/>
          </rPr>
          <t xml:space="preserve"> at a given pH is calculated by the equation z</t>
        </r>
        <r>
          <rPr>
            <vertAlign val="subscript"/>
            <sz val="12"/>
            <color indexed="81"/>
            <rFont val="Tahoma"/>
            <family val="2"/>
          </rPr>
          <t>m</t>
        </r>
        <r>
          <rPr>
            <sz val="10"/>
            <color indexed="81"/>
            <rFont val="Tahoma"/>
            <family val="2"/>
          </rPr>
          <t xml:space="preserve"> = z +  h</t>
        </r>
        <r>
          <rPr>
            <vertAlign val="subscript"/>
            <sz val="12"/>
            <color indexed="81"/>
            <rFont val="Tahoma"/>
            <family val="2"/>
          </rPr>
          <t>m</t>
        </r>
        <r>
          <rPr>
            <sz val="10"/>
            <color indexed="81"/>
            <rFont val="Tahoma"/>
            <family val="2"/>
          </rPr>
          <t xml:space="preserve"> where  z is the charge of the base B (cells K4 to Q4) and h</t>
        </r>
        <r>
          <rPr>
            <vertAlign val="subscript"/>
            <sz val="12"/>
            <color indexed="81"/>
            <rFont val="Tahoma"/>
            <family val="2"/>
          </rPr>
          <t>m</t>
        </r>
        <r>
          <rPr>
            <sz val="10"/>
            <color indexed="81"/>
            <rFont val="Tahoma"/>
            <family val="2"/>
          </rPr>
          <t xml:space="preserve"> is the mean number of protons bound to the base, taking in account the fractional contribution of all species in equilibrium. 
Refer to the </t>
        </r>
        <r>
          <rPr>
            <b/>
            <sz val="10"/>
            <color indexed="81"/>
            <rFont val="Tahoma"/>
            <family val="2"/>
          </rPr>
          <t>Distribution</t>
        </r>
        <r>
          <rPr>
            <sz val="10"/>
            <color indexed="81"/>
            <rFont val="Tahoma"/>
            <family val="2"/>
          </rPr>
          <t xml:space="preserve"> module to generate complete curves of mean charge versus pH or titrant volume.
The </t>
        </r>
        <r>
          <rPr>
            <b/>
            <sz val="10"/>
            <color indexed="81"/>
            <rFont val="Tahoma"/>
            <family val="2"/>
          </rPr>
          <t>isoelectric point</t>
        </r>
        <r>
          <rPr>
            <sz val="10"/>
            <color indexed="81"/>
            <rFont val="Tahoma"/>
            <family val="2"/>
          </rPr>
          <t xml:space="preserve"> (pI or PIE) corresponds to the pH value where polyfunctional species  (zwitterions) like amino acids, in average, present no unbalance of positive and negative charges in the molecules, so that the mean charge, z</t>
        </r>
        <r>
          <rPr>
            <vertAlign val="subscript"/>
            <sz val="12"/>
            <color indexed="81"/>
            <rFont val="Tahoma"/>
            <family val="2"/>
          </rPr>
          <t>m</t>
        </r>
        <r>
          <rPr>
            <sz val="10"/>
            <color indexed="81"/>
            <rFont val="Tahoma"/>
            <family val="2"/>
          </rPr>
          <t xml:space="preserve"> = 0.</t>
        </r>
      </text>
    </comment>
    <comment ref="A31" authorId="1" shapeId="0" xr:uid="{00000000-0006-0000-0100-00002C000000}">
      <text>
        <r>
          <rPr>
            <b/>
            <sz val="8"/>
            <color indexed="81"/>
            <rFont val="Tahoma"/>
            <family val="2"/>
          </rPr>
          <t>Gutz:</t>
        </r>
        <r>
          <rPr>
            <sz val="8"/>
            <color indexed="81"/>
            <rFont val="Tahoma"/>
            <family val="2"/>
          </rPr>
          <t xml:space="preserve">
</t>
        </r>
        <r>
          <rPr>
            <sz val="10"/>
            <color indexed="81"/>
            <rFont val="Tahoma"/>
            <family val="2"/>
          </rPr>
          <t>h</t>
        </r>
        <r>
          <rPr>
            <vertAlign val="subscript"/>
            <sz val="12"/>
            <color indexed="81"/>
            <rFont val="Tahoma"/>
            <family val="2"/>
          </rPr>
          <t>m</t>
        </r>
        <r>
          <rPr>
            <sz val="10"/>
            <color indexed="81"/>
            <rFont val="Tahoma"/>
            <family val="2"/>
          </rPr>
          <t xml:space="preserve"> or </t>
        </r>
        <r>
          <rPr>
            <strike/>
            <sz val="10"/>
            <color indexed="81"/>
            <rFont val="Tahoma"/>
            <family val="2"/>
          </rPr>
          <t>h</t>
        </r>
        <r>
          <rPr>
            <sz val="10"/>
            <color indexed="81"/>
            <rFont val="Tahoma"/>
            <family val="2"/>
          </rPr>
          <t>,  is the mean number of protons bound with a  base B at given pH. 
For H</t>
        </r>
        <r>
          <rPr>
            <vertAlign val="subscript"/>
            <sz val="14"/>
            <color indexed="81"/>
            <rFont val="Tahoma"/>
            <family val="2"/>
          </rPr>
          <t>i</t>
        </r>
        <r>
          <rPr>
            <sz val="10"/>
            <color indexed="81"/>
            <rFont val="Tahoma"/>
            <family val="2"/>
          </rPr>
          <t xml:space="preserve">B species with stepwise number of protons </t>
        </r>
        <r>
          <rPr>
            <b/>
            <sz val="10"/>
            <color indexed="81"/>
            <rFont val="Tahoma"/>
            <family val="2"/>
          </rPr>
          <t>i</t>
        </r>
        <r>
          <rPr>
            <sz val="10"/>
            <color indexed="81"/>
            <rFont val="Tahoma"/>
            <family val="2"/>
          </rPr>
          <t xml:space="preserve">  coexisting at a given pH, </t>
        </r>
        <r>
          <rPr>
            <strike/>
            <sz val="10"/>
            <color indexed="81"/>
            <rFont val="Tahoma"/>
            <family val="2"/>
          </rPr>
          <t>h</t>
        </r>
        <r>
          <rPr>
            <sz val="10"/>
            <color indexed="81"/>
            <rFont val="Tahoma"/>
            <family val="2"/>
          </rPr>
          <t xml:space="preserve"> is the sum of their molar fractions (cells in lines 44 to 50) times the</t>
        </r>
        <r>
          <rPr>
            <b/>
            <sz val="10"/>
            <color indexed="81"/>
            <rFont val="Tahoma"/>
            <family val="2"/>
          </rPr>
          <t xml:space="preserve"> i</t>
        </r>
        <r>
          <rPr>
            <sz val="10"/>
            <color indexed="81"/>
            <rFont val="Tahoma"/>
            <family val="2"/>
          </rPr>
          <t xml:space="preserve"> of each species.</t>
        </r>
      </text>
    </comment>
    <comment ref="L32" authorId="0" shapeId="0" xr:uid="{00000000-0006-0000-0100-00002D000000}">
      <text>
        <r>
          <rPr>
            <b/>
            <sz val="8"/>
            <color indexed="81"/>
            <rFont val="Tahoma"/>
            <family val="2"/>
          </rPr>
          <t>Gutz:</t>
        </r>
        <r>
          <rPr>
            <sz val="8"/>
            <color indexed="81"/>
            <rFont val="Tahoma"/>
            <family val="2"/>
          </rPr>
          <t xml:space="preserve">
</t>
        </r>
        <r>
          <rPr>
            <sz val="10"/>
            <color indexed="81"/>
            <rFont val="Tahoma"/>
            <family val="2"/>
          </rPr>
          <t>These activity coefficients were estimated with the Davies equation and their uncertainty increases with the ionic strength. More information in cells A23, D26 and K15.</t>
        </r>
      </text>
    </comment>
    <comment ref="I41" authorId="0" shapeId="0" xr:uid="{00000000-0006-0000-0100-00002E000000}">
      <text>
        <r>
          <rPr>
            <b/>
            <sz val="8"/>
            <color indexed="81"/>
            <rFont val="Tahoma"/>
            <family val="2"/>
          </rPr>
          <t>Gutz:</t>
        </r>
        <r>
          <rPr>
            <sz val="8"/>
            <color indexed="81"/>
            <rFont val="Tahoma"/>
            <family val="2"/>
          </rPr>
          <t xml:space="preserve">
</t>
        </r>
        <r>
          <rPr>
            <sz val="10"/>
            <color indexed="81"/>
            <rFont val="Tahoma"/>
            <family val="2"/>
          </rPr>
          <t>Summation of the concentrations of all H</t>
        </r>
        <r>
          <rPr>
            <vertAlign val="superscript"/>
            <sz val="12"/>
            <color indexed="81"/>
            <rFont val="Tahoma"/>
            <family val="2"/>
          </rPr>
          <t>+</t>
        </r>
        <r>
          <rPr>
            <vertAlign val="superscript"/>
            <sz val="10"/>
            <color indexed="81"/>
            <rFont val="Tahoma"/>
            <family val="2"/>
          </rPr>
          <t xml:space="preserve"> </t>
        </r>
        <r>
          <rPr>
            <sz val="10"/>
            <color indexed="81"/>
            <rFont val="Tahoma"/>
            <family val="2"/>
          </rPr>
          <t>potentially dissociable from reagents available in the solution, coined C</t>
        </r>
        <r>
          <rPr>
            <vertAlign val="subscript"/>
            <sz val="12"/>
            <color indexed="81"/>
            <rFont val="Tahoma"/>
            <family val="2"/>
          </rPr>
          <t>Htotal</t>
        </r>
        <r>
          <rPr>
            <sz val="10"/>
            <color indexed="81"/>
            <rFont val="Tahoma"/>
            <family val="2"/>
          </rPr>
          <t>. to be equaled with  C</t>
        </r>
        <r>
          <rPr>
            <vertAlign val="subscript"/>
            <sz val="12"/>
            <color indexed="81"/>
            <rFont val="Tahoma"/>
            <family val="2"/>
          </rPr>
          <t>Hcalc</t>
        </r>
        <r>
          <rPr>
            <sz val="10"/>
            <color indexed="81"/>
            <rFont val="Tahoma"/>
            <family val="2"/>
          </rPr>
          <t xml:space="preserve"> obtained by iteratively changing fitting the pH value.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Gutz</author>
    <author>Ivano Gebhardt Rolf Gutz</author>
    <author>gtz</author>
    <author>GPQAI-51</author>
  </authors>
  <commentList>
    <comment ref="G1" authorId="0" shapeId="0" xr:uid="{00000000-0006-0000-0200-000001000000}">
      <text>
        <r>
          <rPr>
            <b/>
            <sz val="10"/>
            <color indexed="81"/>
            <rFont val="Tahoma"/>
            <family val="2"/>
          </rPr>
          <t xml:space="preserve"> "Hands on" the "Manual Virtual Titrator with visual indicator":</t>
        </r>
        <r>
          <rPr>
            <sz val="10"/>
            <color indexed="81"/>
            <rFont val="Tahoma"/>
            <family val="2"/>
          </rPr>
          <t xml:space="preserve">
If you are familiar with acid-base titrations and have already practiced with a buret, you may skip this module designed to let first-time students practice with titration end point detection with visual acid/base indicators, as well as by pH measurements.
If however you have no idea why acids are titrated, what indicators and acid-base dissociation constants are, perhaps you should first go through a textbook, a tutorial or at least the Wikipedia, unless you intend to play with the titrator as a game (and maybe learn something by reading the comments added to cells with a red dot). Examples of tutorials: 
acid/base titrations, http://www.chemguide.co.uk/physical/acidbaseeqia/phcurves.html#top ; 
acid-base indicators, http://www.chemguide.co.uk/physical/acidbaseeqia/indicators.html ;
titration animation, http://amrita.vlab.co.in/?sub=3&amp;brch=63&amp;sim=1336&amp;cnt=2841 .
Always use the most recent version available at the author’s site http://www.iq.usp.br/gutz/Curtipot_.html, choosing between CurTiPot and CurTiPot option i – the same full program plus balloons with first steps for beginners.
The sample (unknown) can be freely defined in cells B3 to H10 (read comment of cell A3), from a single component to complex mixtures, probably unapproachable by visual endpoint indication (but eventually solvable in the Evaluation or Regression modules). 
Like in the laboratory, you may decide about the titrant to be used and its concentration (cells B14 and D16), the volume of sample (cell F16), dilution water (G16), the capacity (maximum volume) of the buret (cell F18), as well as the volumes to be dispensed during the titration, in steps ranging from 5 mL (some 100 drops) down to 0.01 mL (1/5 of a drop).
By varying the pKa of the visual indicator in the cell B29 you will find out how to accurately match the color change observed in the beaker (end point) with the correct stoichiometric point of the titration (or each of them, if there are various).
Note that indicators are acids or bases to be titrated, causing a significant error in the titration if used at a concentration higher than 0.1% of the analyte(s) to be determined. Sometimes a blank titration of the indicator or of a standard + indicator is used to define a correction to be applied.
</t>
        </r>
        <r>
          <rPr>
            <b/>
            <sz val="10"/>
            <color indexed="81"/>
            <rFont val="Tahoma"/>
            <family val="2"/>
          </rPr>
          <t xml:space="preserve">
Nice features</t>
        </r>
        <r>
          <rPr>
            <sz val="10"/>
            <color indexed="81"/>
            <rFont val="Tahoma"/>
            <family val="2"/>
          </rPr>
          <t xml:space="preserve"> of this virtual titrator:
- The buret is a digital one with a motorized syringe, like those used in modern labs or commercial titrators, instead of the old fashioned graduated glass tube with a stopcock. 
- If you miss the end point, you can step back one or more additions of titrant and re-approach the end point with smaller volume increments (impossible in the real world!). 
- The pH measurements, generation of the titration curve and distribution of the species of the titrand can be displayed or hidden by checking/unchecking the boxes in cells F25 and F26. 
- You can generate samples with unknown concentration(s) of titrand(s) and check the correctness of your answer.
- The "pH" vs. volume data of a titration (columns A and B, starting at line 41) can be imported by the Distribution, Evaluation and Regression modules for further analysis.
</t>
        </r>
        <r>
          <rPr>
            <b/>
            <sz val="10"/>
            <color indexed="81"/>
            <rFont val="Tahoma"/>
            <family val="2"/>
          </rPr>
          <t>Remarks</t>
        </r>
        <r>
          <rPr>
            <sz val="10"/>
            <color indexed="81"/>
            <rFont val="Tahoma"/>
            <family val="2"/>
          </rPr>
          <t xml:space="preserve">: 
- Some components of the titrator may become distorted or misplaced, depending on the screen resolution of your computer and/or the Microsoft Excel version.  The magnetic bar of the stirrer does not swirl in this version (because the programming is dependent of the of the Excel version (ask the author about an animation for the Excel you are using, if you like).
- The effect of the ionic strength, I, on the activity coefficients of the ions is neglected in the “pH” calculations of the </t>
        </r>
        <r>
          <rPr>
            <b/>
            <sz val="10"/>
            <color indexed="81"/>
            <rFont val="Tahoma"/>
            <family val="2"/>
          </rPr>
          <t>Titration</t>
        </r>
        <r>
          <rPr>
            <sz val="10"/>
            <color indexed="81"/>
            <rFont val="Tahoma"/>
            <family val="2"/>
          </rPr>
          <t xml:space="preserve"> module, but taken in account in the pH calculations of the</t>
        </r>
        <r>
          <rPr>
            <b/>
            <sz val="10"/>
            <color indexed="81"/>
            <rFont val="Tahoma"/>
            <family val="2"/>
          </rPr>
          <t xml:space="preserve"> pH_calc</t>
        </r>
        <r>
          <rPr>
            <sz val="10"/>
            <color indexed="81"/>
            <rFont val="Tahoma"/>
            <family val="2"/>
          </rPr>
          <t xml:space="preserve">, </t>
        </r>
        <r>
          <rPr>
            <b/>
            <sz val="10"/>
            <color indexed="81"/>
            <rFont val="Tahoma"/>
            <family val="2"/>
          </rPr>
          <t>Simulation</t>
        </r>
        <r>
          <rPr>
            <sz val="10"/>
            <color indexed="81"/>
            <rFont val="Tahoma"/>
            <family val="2"/>
          </rPr>
          <t xml:space="preserve"> and </t>
        </r>
        <r>
          <rPr>
            <b/>
            <sz val="10"/>
            <color indexed="81"/>
            <rFont val="Tahoma"/>
            <family val="2"/>
          </rPr>
          <t>Regression</t>
        </r>
        <r>
          <rPr>
            <sz val="10"/>
            <color indexed="81"/>
            <rFont val="Tahoma"/>
            <family val="2"/>
          </rPr>
          <t xml:space="preserve"> modules. More information in cell B39.
</t>
        </r>
        <r>
          <rPr>
            <b/>
            <sz val="10"/>
            <color indexed="81"/>
            <rFont val="Tahoma"/>
            <family val="2"/>
          </rPr>
          <t>Copyright</t>
        </r>
        <r>
          <rPr>
            <sz val="10"/>
            <color indexed="81"/>
            <rFont val="Tahoma"/>
            <family val="2"/>
          </rPr>
          <t>: This is a new module added in 2014 to the acid-base titration curve simulator CurTiPot (originally a Turbo Basic for DOS program launched by the Author in 1992).
                 Prof. Dr.  Ivano G. R. Gutz
                  www2.iq.usp.br/docente/gutz</t>
        </r>
      </text>
    </comment>
    <comment ref="M1" authorId="0" shapeId="0" xr:uid="{00000000-0006-0000-0200-000002000000}">
      <text>
        <r>
          <rPr>
            <b/>
            <sz val="8"/>
            <color indexed="81"/>
            <rFont val="Tahoma"/>
            <family val="2"/>
          </rPr>
          <t>Gutz:</t>
        </r>
        <r>
          <rPr>
            <sz val="8"/>
            <color indexed="81"/>
            <rFont val="Tahoma"/>
            <family val="2"/>
          </rPr>
          <t xml:space="preserve">
</t>
        </r>
        <r>
          <rPr>
            <sz val="10"/>
            <color indexed="81"/>
            <rFont val="Tahoma"/>
            <family val="2"/>
          </rPr>
          <t xml:space="preserve">Selecting/editing names, charges ans pKas. Options:
a) Write directly in the cells K3 to Q10 and R3 to T6; 
b) Click on names in line 2, slide along the list, click on another name; finally, click on J2 to load the constants from the </t>
        </r>
        <r>
          <rPr>
            <b/>
            <sz val="10"/>
            <color indexed="81"/>
            <rFont val="Tahoma"/>
            <family val="2"/>
          </rPr>
          <t>Database</t>
        </r>
        <r>
          <rPr>
            <sz val="10"/>
            <color indexed="81"/>
            <rFont val="Tahoma"/>
            <family val="2"/>
          </rPr>
          <t>.
Frequently used acids/bases missing in the Database can be added to it for further use.</t>
        </r>
      </text>
    </comment>
    <comment ref="S2" authorId="0" shapeId="0" xr:uid="{00000000-0006-0000-0200-000003000000}">
      <text>
        <r>
          <rPr>
            <b/>
            <sz val="8"/>
            <color indexed="81"/>
            <rFont val="Tahoma"/>
            <family val="2"/>
          </rPr>
          <t>Gutz:</t>
        </r>
        <r>
          <rPr>
            <sz val="8"/>
            <color indexed="81"/>
            <rFont val="Tahoma"/>
            <family val="2"/>
          </rPr>
          <t xml:space="preserve">
</t>
        </r>
        <r>
          <rPr>
            <sz val="10"/>
            <color indexed="81"/>
            <rFont val="Tahoma"/>
            <family val="2"/>
          </rPr>
          <t>The titrant may contain up to three diprotic reagents (other than the default ones).
Names and constants must be changed manually.</t>
        </r>
      </text>
    </comment>
    <comment ref="AF2" authorId="0" shapeId="0" xr:uid="{00000000-0006-0000-0200-000004000000}">
      <text>
        <r>
          <rPr>
            <b/>
            <sz val="8"/>
            <color indexed="81"/>
            <rFont val="Tahoma"/>
            <family val="2"/>
          </rPr>
          <t xml:space="preserve">Gutz: 
</t>
        </r>
        <r>
          <rPr>
            <sz val="10"/>
            <color indexed="81"/>
            <rFont val="Tahoma"/>
            <family val="2"/>
          </rPr>
          <t>The pKas shown here are copied automatically from the Database by changing K2 to Q2. 
See U5 to understand why 
pKa1 = -logKpn</t>
        </r>
      </text>
    </comment>
    <comment ref="A3" authorId="0" shapeId="0" xr:uid="{00000000-0006-0000-0200-000005000000}">
      <text>
        <r>
          <rPr>
            <b/>
            <sz val="8"/>
            <color indexed="81"/>
            <rFont val="Tahoma"/>
            <family val="2"/>
          </rPr>
          <t>Gutz:</t>
        </r>
        <r>
          <rPr>
            <sz val="8"/>
            <color indexed="81"/>
            <rFont val="Tahoma"/>
            <family val="2"/>
          </rPr>
          <t xml:space="preserve">
</t>
        </r>
        <r>
          <rPr>
            <sz val="10"/>
            <color indexed="81"/>
            <rFont val="Tahoma"/>
            <family val="2"/>
          </rPr>
          <t xml:space="preserve">In a titration, the </t>
        </r>
        <r>
          <rPr>
            <b/>
            <sz val="10"/>
            <color indexed="81"/>
            <rFont val="Tahoma"/>
            <family val="2"/>
          </rPr>
          <t>sample</t>
        </r>
        <r>
          <rPr>
            <sz val="10"/>
            <color indexed="81"/>
            <rFont val="Tahoma"/>
            <family val="2"/>
          </rPr>
          <t xml:space="preserve"> volume (G15) plus the dilution water, if any (G16),  is called </t>
        </r>
        <r>
          <rPr>
            <b/>
            <sz val="10"/>
            <color indexed="81"/>
            <rFont val="Tahoma"/>
            <family val="2"/>
          </rPr>
          <t>titrand</t>
        </r>
        <r>
          <rPr>
            <sz val="10"/>
            <color indexed="81"/>
            <rFont val="Tahoma"/>
            <family val="2"/>
          </rPr>
          <t xml:space="preserve">. All concentrations in cells B4 to H13 (among others) refer to the </t>
        </r>
        <r>
          <rPr>
            <u/>
            <sz val="10"/>
            <color indexed="81"/>
            <rFont val="Tahoma"/>
            <family val="2"/>
          </rPr>
          <t>sample</t>
        </r>
        <r>
          <rPr>
            <sz val="10"/>
            <color indexed="81"/>
            <rFont val="Tahoma"/>
            <family val="2"/>
          </rPr>
          <t xml:space="preserve">, while the initial pH refers to the </t>
        </r>
        <r>
          <rPr>
            <u/>
            <sz val="10"/>
            <color indexed="81"/>
            <rFont val="Tahoma"/>
            <family val="2"/>
          </rPr>
          <t>titrand</t>
        </r>
        <r>
          <rPr>
            <sz val="10"/>
            <color indexed="81"/>
            <rFont val="Tahoma"/>
            <family val="2"/>
          </rPr>
          <t xml:space="preserve"> (= sample + added water) and, during the titration, to titrand + titrant. As a rule, alkaline samples are titrated with a strong acid (B15) and acid samples with a strong base (C14).
</t>
        </r>
        <r>
          <rPr>
            <u/>
            <sz val="10"/>
            <color indexed="81"/>
            <rFont val="Tahoma"/>
            <family val="2"/>
          </rPr>
          <t>Explanation</t>
        </r>
        <r>
          <rPr>
            <sz val="10"/>
            <color indexed="81"/>
            <rFont val="Tahoma"/>
            <family val="2"/>
          </rPr>
          <t xml:space="preserve">: classically, 5 to 25 mL of titrand (cell F16) are accurately measured (with a volumetric pipet) and transferred into an Erlenmeyer, some drops of a visual indicator are added, as well as some distilled water (cell G16). Titrant is added with a buret while the Erlenmeyer is hand swirled until the indicator changes color at the endpoint of the titration.
In a modern setup, a beaker replaces the Erlenmeyer, a motor driven syringe substitutes the buret, a magnetic stirrer serves to homogenize the solution and a combined glass electrode is immersed in the solution (connected to a pH meter) to measure the pH during the titration. A computer may be used to control the buret and take care of data acquisition.
</t>
        </r>
      </text>
    </comment>
    <comment ref="B3" authorId="0" shapeId="0" xr:uid="{00000000-0006-0000-0200-000006000000}">
      <text>
        <r>
          <rPr>
            <b/>
            <sz val="8"/>
            <color indexed="81"/>
            <rFont val="Tahoma"/>
            <family val="2"/>
          </rPr>
          <t>Gutz:</t>
        </r>
        <r>
          <rPr>
            <sz val="10"/>
            <color indexed="81"/>
            <rFont val="Tahoma"/>
            <family val="2"/>
          </rPr>
          <t xml:space="preserve">
See comment in cell M1 on how to change acids and bases.
Fill in (or leave blank) the concentrations in mol/L. The green underline identifies the cell of the base protonated to neutrality (e.g. H</t>
        </r>
        <r>
          <rPr>
            <vertAlign val="subscript"/>
            <sz val="12"/>
            <color indexed="81"/>
            <rFont val="Tahoma"/>
            <family val="2"/>
          </rPr>
          <t>3</t>
        </r>
        <r>
          <rPr>
            <sz val="10"/>
            <color indexed="81"/>
            <rFont val="Tahoma"/>
            <family val="2"/>
          </rPr>
          <t>PO</t>
        </r>
        <r>
          <rPr>
            <vertAlign val="subscript"/>
            <sz val="12"/>
            <color indexed="81"/>
            <rFont val="Tahoma"/>
            <family val="2"/>
          </rPr>
          <t>4</t>
        </r>
        <r>
          <rPr>
            <sz val="10"/>
            <color indexed="81"/>
            <rFont val="Tahoma"/>
            <family val="2"/>
          </rPr>
          <t xml:space="preserve"> for phosphate).</t>
        </r>
      </text>
    </comment>
    <comment ref="R3" authorId="0" shapeId="0" xr:uid="{00000000-0006-0000-0200-000007000000}">
      <text>
        <r>
          <rPr>
            <b/>
            <sz val="8"/>
            <color indexed="81"/>
            <rFont val="Tahoma"/>
            <family val="2"/>
          </rPr>
          <t>Gutz:</t>
        </r>
        <r>
          <rPr>
            <sz val="8"/>
            <color indexed="81"/>
            <rFont val="Tahoma"/>
            <family val="2"/>
          </rPr>
          <t xml:space="preserve">
</t>
        </r>
        <r>
          <rPr>
            <sz val="10"/>
            <color indexed="81"/>
            <rFont val="Tahoma"/>
            <family val="2"/>
          </rPr>
          <t>Strong acids like HCl or HClO</t>
        </r>
        <r>
          <rPr>
            <vertAlign val="subscript"/>
            <sz val="10"/>
            <color indexed="81"/>
            <rFont val="Tahoma"/>
            <family val="2"/>
          </rPr>
          <t>4</t>
        </r>
        <r>
          <rPr>
            <sz val="10"/>
            <color indexed="81"/>
            <rFont val="Tahoma"/>
            <family val="2"/>
          </rPr>
          <t xml:space="preserve"> have negative pKas, possibly -6 or lower.
For a diprotic titrant like H</t>
        </r>
        <r>
          <rPr>
            <vertAlign val="subscript"/>
            <sz val="12"/>
            <color indexed="81"/>
            <rFont val="Tahoma"/>
            <family val="2"/>
          </rPr>
          <t>2</t>
        </r>
        <r>
          <rPr>
            <sz val="10"/>
            <color indexed="81"/>
            <rFont val="Tahoma"/>
            <family val="2"/>
          </rPr>
          <t>SO</t>
        </r>
        <r>
          <rPr>
            <vertAlign val="subscript"/>
            <sz val="12"/>
            <color indexed="81"/>
            <rFont val="Tahoma"/>
            <family val="2"/>
          </rPr>
          <t>4</t>
        </r>
        <r>
          <rPr>
            <sz val="10"/>
            <color indexed="81"/>
            <rFont val="Tahoma"/>
            <family val="2"/>
          </rPr>
          <t>, use pKa1 = -6 and pKa2 = 1.8.
Any other mono- or biprotonable acid or base and its pKas can be written in this column.</t>
        </r>
      </text>
    </comment>
    <comment ref="S3" authorId="0" shapeId="0" xr:uid="{00000000-0006-0000-0200-000008000000}">
      <text>
        <r>
          <rPr>
            <b/>
            <sz val="8"/>
            <color indexed="81"/>
            <rFont val="Tahoma"/>
            <family val="2"/>
          </rPr>
          <t>Gutz:</t>
        </r>
        <r>
          <rPr>
            <sz val="8"/>
            <color indexed="81"/>
            <rFont val="Tahoma"/>
            <family val="2"/>
          </rPr>
          <t xml:space="preserve">
</t>
        </r>
        <r>
          <rPr>
            <sz val="10"/>
            <color indexed="81"/>
            <rFont val="Tahoma"/>
            <family val="2"/>
          </rPr>
          <t>The accepted value of the pKa (=log Kp) of the strong base  OH- is 15,745 at 25ºC and infinite dilution. As I increases, the activity coefficient of OH- decreases (as can be checked with module pH_calc), and more specific interaction can occur with cations, so that lower values are sometimes mentioned in the literature (see references in the Database for details).
Any other mono- or biprotonable acid or base and its pKas can be written in this column instead of OH-.</t>
        </r>
      </text>
    </comment>
    <comment ref="T3" authorId="0" shapeId="0" xr:uid="{00000000-0006-0000-0200-000009000000}">
      <text>
        <r>
          <rPr>
            <b/>
            <sz val="8"/>
            <color indexed="81"/>
            <rFont val="Tahoma"/>
            <family val="2"/>
          </rPr>
          <t>Gutz:</t>
        </r>
        <r>
          <rPr>
            <sz val="8"/>
            <color indexed="81"/>
            <rFont val="Tahoma"/>
            <family val="2"/>
          </rPr>
          <t xml:space="preserve">
</t>
        </r>
        <r>
          <rPr>
            <sz val="10"/>
            <color indexed="81"/>
            <rFont val="Tahoma"/>
            <family val="2"/>
          </rPr>
          <t>Aqueous solutions exposed to air or stored in (gas permeable) plastic flasks are always contaminated with CO</t>
        </r>
        <r>
          <rPr>
            <vertAlign val="subscript"/>
            <sz val="12"/>
            <color indexed="81"/>
            <rFont val="Tahoma"/>
            <family val="2"/>
          </rPr>
          <t>2</t>
        </r>
        <r>
          <rPr>
            <sz val="10"/>
            <color indexed="81"/>
            <rFont val="Tahoma"/>
            <family val="2"/>
          </rPr>
          <t>. Thus, it is advisable to include the carbonic acid system in simulations and regressions. But any other mono- or diprotic system can be specified here.
The pKa</t>
        </r>
        <r>
          <rPr>
            <vertAlign val="subscript"/>
            <sz val="12"/>
            <color indexed="81"/>
            <rFont val="Tahoma"/>
            <family val="2"/>
          </rPr>
          <t>1</t>
        </r>
        <r>
          <rPr>
            <sz val="10"/>
            <color indexed="81"/>
            <rFont val="Tahoma"/>
            <family val="2"/>
          </rPr>
          <t xml:space="preserve"> from the Database for H2CO3 is apparent. By considering the fraction of dissolved CO</t>
        </r>
        <r>
          <rPr>
            <vertAlign val="subscript"/>
            <sz val="12"/>
            <color indexed="81"/>
            <rFont val="Tahoma"/>
            <family val="2"/>
          </rPr>
          <t>2</t>
        </r>
        <r>
          <rPr>
            <sz val="10"/>
            <color indexed="81"/>
            <rFont val="Tahoma"/>
            <family val="2"/>
          </rPr>
          <t xml:space="preserve">  converted in H</t>
        </r>
        <r>
          <rPr>
            <vertAlign val="subscript"/>
            <sz val="12"/>
            <color indexed="81"/>
            <rFont val="Tahoma"/>
            <family val="2"/>
          </rPr>
          <t>2</t>
        </r>
        <r>
          <rPr>
            <sz val="10"/>
            <color indexed="81"/>
            <rFont val="Tahoma"/>
            <family val="2"/>
          </rPr>
          <t>CO</t>
        </r>
        <r>
          <rPr>
            <vertAlign val="subscript"/>
            <sz val="12"/>
            <color indexed="81"/>
            <rFont val="Tahoma"/>
            <family val="2"/>
          </rPr>
          <t>3</t>
        </r>
        <r>
          <rPr>
            <sz val="10"/>
            <color indexed="81"/>
            <rFont val="Tahoma"/>
            <family val="2"/>
          </rPr>
          <t xml:space="preserve"> (most of it remains as CO</t>
        </r>
        <r>
          <rPr>
            <vertAlign val="subscript"/>
            <sz val="12"/>
            <color indexed="81"/>
            <rFont val="Tahoma"/>
            <family val="2"/>
          </rPr>
          <t>2</t>
        </r>
        <r>
          <rPr>
            <sz val="10"/>
            <color indexed="81"/>
            <rFont val="Tahoma"/>
            <family val="2"/>
          </rPr>
          <t>(aq)) a "true" pKa1 of 3.58 is found.</t>
        </r>
      </text>
    </comment>
    <comment ref="A4" authorId="0" shapeId="0" xr:uid="{00000000-0006-0000-0200-00000A000000}">
      <text>
        <r>
          <rPr>
            <b/>
            <sz val="8"/>
            <color indexed="81"/>
            <rFont val="Tahoma"/>
            <family val="2"/>
          </rPr>
          <t xml:space="preserve">Gutz: 
</t>
        </r>
        <r>
          <rPr>
            <sz val="10"/>
            <color indexed="81"/>
            <rFont val="Tahoma"/>
            <family val="2"/>
          </rPr>
          <t>Leave blank/fill out with the concentration (mol/L) of fully deprotonated base (of a conjugated acid) added to the solution, e.g.: [Na</t>
        </r>
        <r>
          <rPr>
            <vertAlign val="subscript"/>
            <sz val="10"/>
            <color indexed="81"/>
            <rFont val="Tahoma"/>
            <family val="2"/>
          </rPr>
          <t>2</t>
        </r>
        <r>
          <rPr>
            <sz val="10"/>
            <color indexed="81"/>
            <rFont val="Tahoma"/>
            <family val="2"/>
          </rPr>
          <t>CO</t>
        </r>
        <r>
          <rPr>
            <vertAlign val="subscript"/>
            <sz val="10"/>
            <color indexed="81"/>
            <rFont val="Tahoma"/>
            <family val="2"/>
          </rPr>
          <t>3</t>
        </r>
        <r>
          <rPr>
            <sz val="10"/>
            <color indexed="81"/>
            <rFont val="Tahoma"/>
            <family val="2"/>
          </rPr>
          <t>], [Na</t>
        </r>
        <r>
          <rPr>
            <vertAlign val="subscript"/>
            <sz val="10"/>
            <color indexed="81"/>
            <rFont val="Tahoma"/>
            <family val="2"/>
          </rPr>
          <t>3</t>
        </r>
        <r>
          <rPr>
            <sz val="10"/>
            <color indexed="81"/>
            <rFont val="Tahoma"/>
            <family val="2"/>
          </rPr>
          <t>PO</t>
        </r>
        <r>
          <rPr>
            <vertAlign val="subscript"/>
            <sz val="10"/>
            <color indexed="81"/>
            <rFont val="Tahoma"/>
            <family val="2"/>
          </rPr>
          <t>4</t>
        </r>
        <r>
          <rPr>
            <sz val="10"/>
            <color indexed="81"/>
            <rFont val="Tahoma"/>
            <family val="2"/>
          </rPr>
          <t>], [NH</t>
        </r>
        <r>
          <rPr>
            <vertAlign val="subscript"/>
            <sz val="10"/>
            <color indexed="81"/>
            <rFont val="Tahoma"/>
            <family val="2"/>
          </rPr>
          <t>4</t>
        </r>
        <r>
          <rPr>
            <sz val="10"/>
            <color indexed="81"/>
            <rFont val="Tahoma"/>
            <family val="2"/>
          </rPr>
          <t>OH], [pyridine] or [Na</t>
        </r>
        <r>
          <rPr>
            <vertAlign val="subscript"/>
            <sz val="10"/>
            <color indexed="81"/>
            <rFont val="Tahoma"/>
            <family val="2"/>
          </rPr>
          <t>4</t>
        </r>
        <r>
          <rPr>
            <sz val="10"/>
            <color indexed="81"/>
            <rFont val="Tahoma"/>
            <family val="2"/>
          </rPr>
          <t>EDTA].
The green underline indicates the cell of the base protonated to neutrality.</t>
        </r>
      </text>
    </comment>
    <comment ref="J4" authorId="0" shapeId="0" xr:uid="{00000000-0006-0000-0200-00000B000000}">
      <text>
        <r>
          <rPr>
            <b/>
            <sz val="8"/>
            <color indexed="81"/>
            <rFont val="Tahoma"/>
            <family val="2"/>
          </rPr>
          <t xml:space="preserve">Gutz: 
</t>
        </r>
        <r>
          <rPr>
            <sz val="10"/>
            <color indexed="81"/>
            <rFont val="Tahoma"/>
            <family val="2"/>
          </rPr>
          <t>Charge of the most deprotonated species of an acid or base in accordance with the highest pKa for the system, e.g., 
 0 for NH3 or pyridine
-1 for acetate/acetic acid
-2 for carbonate//carbonic acid
-3 for phosphate///phosphoric acid 
-4 for EDTA</t>
        </r>
      </text>
    </comment>
    <comment ref="A5" authorId="0" shapeId="0" xr:uid="{00000000-0006-0000-0200-00000C000000}">
      <text>
        <r>
          <rPr>
            <b/>
            <sz val="8"/>
            <color indexed="81"/>
            <rFont val="Tahoma"/>
            <family val="2"/>
          </rPr>
          <t>Gutz:</t>
        </r>
        <r>
          <rPr>
            <sz val="8"/>
            <color indexed="81"/>
            <rFont val="Tahoma"/>
            <family val="2"/>
          </rPr>
          <t xml:space="preserve">
</t>
        </r>
        <r>
          <rPr>
            <sz val="10"/>
            <color indexed="81"/>
            <rFont val="Tahoma"/>
            <family val="2"/>
          </rPr>
          <t>Leave blank</t>
        </r>
        <r>
          <rPr>
            <b/>
            <sz val="10"/>
            <color indexed="81"/>
            <rFont val="Tahoma"/>
            <family val="2"/>
          </rPr>
          <t>/</t>
        </r>
        <r>
          <rPr>
            <sz val="10"/>
            <color indexed="81"/>
            <rFont val="Tahoma"/>
            <family val="2"/>
          </rPr>
          <t>fill out with the concentration (mol/L) of monoprotonated base (or acid, HB) to be considered in the simulation, e.g.: [Acetic acid], [NH</t>
        </r>
        <r>
          <rPr>
            <vertAlign val="subscript"/>
            <sz val="10"/>
            <color indexed="81"/>
            <rFont val="Tahoma"/>
            <family val="2"/>
          </rPr>
          <t>4</t>
        </r>
        <r>
          <rPr>
            <vertAlign val="superscript"/>
            <sz val="10"/>
            <color indexed="81"/>
            <rFont val="Tahoma"/>
            <family val="2"/>
          </rPr>
          <t>+</t>
        </r>
        <r>
          <rPr>
            <sz val="10"/>
            <color indexed="81"/>
            <rFont val="Tahoma"/>
            <family val="2"/>
          </rPr>
          <t>], [pyridonium], [NaHCO</t>
        </r>
        <r>
          <rPr>
            <vertAlign val="subscript"/>
            <sz val="10"/>
            <color indexed="81"/>
            <rFont val="Tahoma"/>
            <family val="2"/>
          </rPr>
          <t>3</t>
        </r>
        <r>
          <rPr>
            <sz val="10"/>
            <color indexed="81"/>
            <rFont val="Tahoma"/>
            <family val="2"/>
          </rPr>
          <t>] or [Na</t>
        </r>
        <r>
          <rPr>
            <vertAlign val="subscript"/>
            <sz val="10"/>
            <color indexed="81"/>
            <rFont val="Tahoma"/>
            <family val="2"/>
          </rPr>
          <t>2</t>
        </r>
        <r>
          <rPr>
            <sz val="10"/>
            <color indexed="81"/>
            <rFont val="Tahoma"/>
            <family val="2"/>
          </rPr>
          <t>HPO</t>
        </r>
        <r>
          <rPr>
            <vertAlign val="subscript"/>
            <sz val="10"/>
            <color indexed="81"/>
            <rFont val="Tahoma"/>
            <family val="2"/>
          </rPr>
          <t>4</t>
        </r>
        <r>
          <rPr>
            <sz val="10"/>
            <color indexed="81"/>
            <rFont val="Tahoma"/>
            <family val="2"/>
          </rPr>
          <t>]</t>
        </r>
      </text>
    </comment>
    <comment ref="J5" authorId="0" shapeId="0" xr:uid="{00000000-0006-0000-0200-00000D000000}">
      <text>
        <r>
          <rPr>
            <b/>
            <sz val="8"/>
            <color indexed="81"/>
            <rFont val="Tahoma"/>
            <family val="2"/>
          </rPr>
          <t xml:space="preserve">Gutz: 
</t>
        </r>
        <r>
          <rPr>
            <sz val="10"/>
            <color indexed="81"/>
            <rFont val="Tahoma"/>
            <family val="2"/>
          </rPr>
          <t>Options:
a) pKa</t>
        </r>
        <r>
          <rPr>
            <vertAlign val="subscript"/>
            <sz val="12"/>
            <color indexed="81"/>
            <rFont val="Tahoma"/>
            <family val="2"/>
          </rPr>
          <t>1</t>
        </r>
        <r>
          <rPr>
            <sz val="10"/>
            <color indexed="81"/>
            <rFont val="Tahoma"/>
            <family val="2"/>
          </rPr>
          <t xml:space="preserve"> , -logarithm of the dissociation constant of a monoprotic acid or first constant for a polyprotic system.
b) logKp</t>
        </r>
        <r>
          <rPr>
            <vertAlign val="subscript"/>
            <sz val="12"/>
            <color indexed="81"/>
            <rFont val="Tahoma"/>
            <family val="2"/>
          </rPr>
          <t>i,</t>
        </r>
        <r>
          <rPr>
            <sz val="10"/>
            <color indexed="81"/>
            <rFont val="Tahoma"/>
            <family val="2"/>
          </rPr>
          <t xml:space="preserve"> logarithm of the protonation constant of a (conjugated) base, with i=1 for a monoprotonable base and i= n (most deprotonated species) for polyprotic systems (more about at U5);
c) pK</t>
        </r>
        <r>
          <rPr>
            <vertAlign val="subscript"/>
            <sz val="12"/>
            <color indexed="81"/>
            <rFont val="Tahoma"/>
            <family val="2"/>
          </rPr>
          <t>w</t>
        </r>
        <r>
          <rPr>
            <sz val="10"/>
            <color indexed="81"/>
            <rFont val="Tahoma"/>
            <family val="2"/>
          </rPr>
          <t xml:space="preserve"> - pKb</t>
        </r>
        <r>
          <rPr>
            <vertAlign val="subscript"/>
            <sz val="12"/>
            <color indexed="81"/>
            <rFont val="Tahoma"/>
            <family val="2"/>
          </rPr>
          <t>i</t>
        </r>
        <r>
          <rPr>
            <sz val="10"/>
            <color indexed="81"/>
            <rFont val="Tahoma"/>
            <family val="2"/>
          </rPr>
          <t>, for -log of the dissociation constant  of a base, with i=1 for a monoprotonable base and i= n (most deprotonated species) for polyprotonable base.
Numerically, values of a, b e c are taken as similar.</t>
        </r>
      </text>
    </comment>
    <comment ref="U5" authorId="0" shapeId="0" xr:uid="{00000000-0006-0000-0200-00000E000000}">
      <text>
        <r>
          <rPr>
            <b/>
            <sz val="8"/>
            <color indexed="81"/>
            <rFont val="Tahoma"/>
            <family val="2"/>
          </rPr>
          <t>Gutz:</t>
        </r>
        <r>
          <rPr>
            <sz val="8"/>
            <color indexed="81"/>
            <rFont val="Tahoma"/>
            <family val="2"/>
          </rPr>
          <t xml:space="preserve">
</t>
        </r>
        <r>
          <rPr>
            <sz val="10"/>
            <color indexed="81"/>
            <rFont val="Tahoma"/>
            <family val="2"/>
          </rPr>
          <t>The betas are cumulative (or global) protonation constants, obtained by multiplying the protonation constants Kp from 1 to i, with i stepping up to n, the maximum number of protons accepted by a (conjugated) base (same as the maximum number of dissociable protons of an acid, but in reversed order).
Note that pKa = logKp for a monoprotic acid (because Kp = 1/Kd or pKd = 1/logKd ) and, for multiprotic systems, the first logKp is the last pKa.
Protonation constants, Kp, and betas are preferred here in agreement with the most extensive compilations of equilibrium constants, e.g., Critical Stability Constants, Vol. 1–4 (complete references in the Database), and because the equations become unified with those used for metal-ligand-proton equilibria, based on formation (instead of dissociation) constants.</t>
        </r>
      </text>
    </comment>
    <comment ref="AF5" authorId="0" shapeId="0" xr:uid="{00000000-0006-0000-0200-00000F000000}">
      <text>
        <r>
          <rPr>
            <b/>
            <sz val="8"/>
            <color indexed="81"/>
            <rFont val="Tahoma"/>
            <family val="2"/>
          </rPr>
          <t>Gutz:</t>
        </r>
        <r>
          <rPr>
            <sz val="8"/>
            <color indexed="81"/>
            <rFont val="Tahoma"/>
            <family val="2"/>
          </rPr>
          <t xml:space="preserve">
</t>
        </r>
        <r>
          <rPr>
            <sz val="10"/>
            <color indexed="81"/>
            <rFont val="Tahoma"/>
            <family val="2"/>
          </rPr>
          <t>See U5 to understand why pKa1 = logKpn</t>
        </r>
      </text>
    </comment>
    <comment ref="A6" authorId="0" shapeId="0" xr:uid="{00000000-0006-0000-0200-000010000000}">
      <text>
        <r>
          <rPr>
            <b/>
            <sz val="8"/>
            <color indexed="81"/>
            <rFont val="Tahoma"/>
            <family val="2"/>
          </rPr>
          <t xml:space="preserve">Gutz: 
</t>
        </r>
        <r>
          <rPr>
            <sz val="10"/>
            <color indexed="81"/>
            <rFont val="Tahoma"/>
            <family val="2"/>
          </rPr>
          <t>Leave blank</t>
        </r>
        <r>
          <rPr>
            <b/>
            <sz val="10"/>
            <color indexed="81"/>
            <rFont val="Tahoma"/>
            <family val="2"/>
          </rPr>
          <t>/</t>
        </r>
        <r>
          <rPr>
            <sz val="10"/>
            <color indexed="81"/>
            <rFont val="Tahoma"/>
            <family val="2"/>
          </rPr>
          <t>fill out with the concentration (mol/L) of biprotonated base (H</t>
        </r>
        <r>
          <rPr>
            <vertAlign val="subscript"/>
            <sz val="10"/>
            <color indexed="81"/>
            <rFont val="Tahoma"/>
            <family val="2"/>
          </rPr>
          <t>2</t>
        </r>
        <r>
          <rPr>
            <sz val="10"/>
            <color indexed="81"/>
            <rFont val="Tahoma"/>
            <family val="2"/>
          </rPr>
          <t>B) to be considered in the simulation, e.g.:  [H</t>
        </r>
        <r>
          <rPr>
            <vertAlign val="subscript"/>
            <sz val="10"/>
            <color indexed="81"/>
            <rFont val="Tahoma"/>
            <family val="2"/>
          </rPr>
          <t>2</t>
        </r>
        <r>
          <rPr>
            <sz val="10"/>
            <color indexed="81"/>
            <rFont val="Tahoma"/>
            <family val="2"/>
          </rPr>
          <t>CO</t>
        </r>
        <r>
          <rPr>
            <vertAlign val="subscript"/>
            <sz val="10"/>
            <color indexed="81"/>
            <rFont val="Tahoma"/>
            <family val="2"/>
          </rPr>
          <t>3</t>
        </r>
        <r>
          <rPr>
            <sz val="10"/>
            <color indexed="81"/>
            <rFont val="Tahoma"/>
            <family val="2"/>
          </rPr>
          <t>],  [H</t>
        </r>
        <r>
          <rPr>
            <vertAlign val="subscript"/>
            <sz val="10"/>
            <color indexed="81"/>
            <rFont val="Tahoma"/>
            <family val="2"/>
          </rPr>
          <t>2</t>
        </r>
        <r>
          <rPr>
            <sz val="10"/>
            <color indexed="81"/>
            <rFont val="Tahoma"/>
            <family val="2"/>
          </rPr>
          <t>Na</t>
        </r>
        <r>
          <rPr>
            <vertAlign val="subscript"/>
            <sz val="10"/>
            <color indexed="81"/>
            <rFont val="Tahoma"/>
            <family val="2"/>
          </rPr>
          <t>2</t>
        </r>
        <r>
          <rPr>
            <sz val="10"/>
            <color indexed="81"/>
            <rFont val="Tahoma"/>
            <family val="2"/>
          </rPr>
          <t>EDTA] or [NaH</t>
        </r>
        <r>
          <rPr>
            <vertAlign val="subscript"/>
            <sz val="10"/>
            <color indexed="81"/>
            <rFont val="Tahoma"/>
            <family val="2"/>
          </rPr>
          <t>2</t>
        </r>
        <r>
          <rPr>
            <sz val="10"/>
            <color indexed="81"/>
            <rFont val="Tahoma"/>
            <family val="2"/>
          </rPr>
          <t>PO</t>
        </r>
        <r>
          <rPr>
            <vertAlign val="subscript"/>
            <sz val="10"/>
            <color indexed="81"/>
            <rFont val="Tahoma"/>
            <family val="2"/>
          </rPr>
          <t>4</t>
        </r>
        <r>
          <rPr>
            <sz val="10"/>
            <color indexed="81"/>
            <rFont val="Tahoma"/>
            <family val="2"/>
          </rPr>
          <t>]</t>
        </r>
      </text>
    </comment>
    <comment ref="J6" authorId="0" shapeId="0" xr:uid="{00000000-0006-0000-0200-000011000000}">
      <text>
        <r>
          <rPr>
            <b/>
            <sz val="8"/>
            <color indexed="81"/>
            <rFont val="Tahoma"/>
            <family val="2"/>
          </rPr>
          <t xml:space="preserve">Gutz: 
</t>
        </r>
        <r>
          <rPr>
            <sz val="10"/>
            <color indexed="81"/>
            <rFont val="Tahoma"/>
            <family val="2"/>
          </rPr>
          <t>Options:
a) pKa</t>
        </r>
        <r>
          <rPr>
            <vertAlign val="subscript"/>
            <sz val="12"/>
            <color indexed="81"/>
            <rFont val="Tahoma"/>
            <family val="2"/>
          </rPr>
          <t>2</t>
        </r>
        <r>
          <rPr>
            <sz val="10"/>
            <color indexed="81"/>
            <rFont val="Tahoma"/>
            <family val="2"/>
          </rPr>
          <t xml:space="preserve"> , -log of the 2</t>
        </r>
        <r>
          <rPr>
            <vertAlign val="superscript"/>
            <sz val="12"/>
            <color indexed="81"/>
            <rFont val="Tahoma"/>
            <family val="2"/>
          </rPr>
          <t>nd</t>
        </r>
        <r>
          <rPr>
            <sz val="10"/>
            <color indexed="81"/>
            <rFont val="Tahoma"/>
            <family val="2"/>
          </rPr>
          <t xml:space="preserve"> dissociation constant of a diprotic or polyprotic acid; 
b) logKp</t>
        </r>
        <r>
          <rPr>
            <vertAlign val="subscript"/>
            <sz val="12"/>
            <color indexed="81"/>
            <rFont val="Tahoma"/>
            <family val="2"/>
          </rPr>
          <t>i,</t>
        </r>
        <r>
          <rPr>
            <sz val="10"/>
            <color indexed="81"/>
            <rFont val="Tahoma"/>
            <family val="2"/>
          </rPr>
          <t xml:space="preserve"> log of the first protonation constant of a diprotonable (conjugated) base or i=n-1 for a system with n protonations;
c) pK</t>
        </r>
        <r>
          <rPr>
            <vertAlign val="subscript"/>
            <sz val="12"/>
            <color indexed="81"/>
            <rFont val="Tahoma"/>
            <family val="2"/>
          </rPr>
          <t>w</t>
        </r>
        <r>
          <rPr>
            <sz val="10"/>
            <color indexed="81"/>
            <rFont val="Tahoma"/>
            <family val="2"/>
          </rPr>
          <t xml:space="preserve"> - pKb</t>
        </r>
        <r>
          <rPr>
            <vertAlign val="subscript"/>
            <sz val="12"/>
            <color indexed="81"/>
            <rFont val="Tahoma"/>
            <family val="2"/>
          </rPr>
          <t>i</t>
        </r>
        <r>
          <rPr>
            <sz val="10"/>
            <color indexed="81"/>
            <rFont val="Tahoma"/>
            <family val="2"/>
          </rPr>
          <t xml:space="preserve"> with i=1 for a diprotonable base or i=n-1 for a base with n protonations; for a monoprotonable base, leave blank.</t>
        </r>
      </text>
    </comment>
    <comment ref="A7" authorId="0" shapeId="0" xr:uid="{00000000-0006-0000-0200-000012000000}">
      <text>
        <r>
          <rPr>
            <b/>
            <sz val="8"/>
            <color indexed="81"/>
            <rFont val="Tahoma"/>
            <family val="2"/>
          </rPr>
          <t>Gutz:</t>
        </r>
        <r>
          <rPr>
            <sz val="8"/>
            <color indexed="81"/>
            <rFont val="Tahoma"/>
            <family val="2"/>
          </rPr>
          <t xml:space="preserve">
</t>
        </r>
        <r>
          <rPr>
            <sz val="10"/>
            <color indexed="81"/>
            <rFont val="Tahoma"/>
            <family val="2"/>
          </rPr>
          <t>Leave blank</t>
        </r>
        <r>
          <rPr>
            <b/>
            <sz val="10"/>
            <color indexed="81"/>
            <rFont val="Tahoma"/>
            <family val="2"/>
          </rPr>
          <t>/</t>
        </r>
        <r>
          <rPr>
            <sz val="10"/>
            <color indexed="81"/>
            <rFont val="Tahoma"/>
            <family val="2"/>
          </rPr>
          <t>fill out with the concentration (mol/L) of  triprotonated base (H</t>
        </r>
        <r>
          <rPr>
            <vertAlign val="subscript"/>
            <sz val="10"/>
            <color indexed="81"/>
            <rFont val="Tahoma"/>
            <family val="2"/>
          </rPr>
          <t>3</t>
        </r>
        <r>
          <rPr>
            <sz val="10"/>
            <color indexed="81"/>
            <rFont val="Tahoma"/>
            <family val="2"/>
          </rPr>
          <t>B) to be considered in the simulation, e.g.:  [H</t>
        </r>
        <r>
          <rPr>
            <vertAlign val="subscript"/>
            <sz val="10"/>
            <color indexed="81"/>
            <rFont val="Tahoma"/>
            <family val="2"/>
          </rPr>
          <t>3</t>
        </r>
        <r>
          <rPr>
            <sz val="10"/>
            <color indexed="81"/>
            <rFont val="Tahoma"/>
            <family val="2"/>
          </rPr>
          <t>PO4]</t>
        </r>
      </text>
    </comment>
    <comment ref="A11" authorId="0" shapeId="0" xr:uid="{00000000-0006-0000-0200-000013000000}">
      <text>
        <r>
          <rPr>
            <b/>
            <sz val="8"/>
            <color indexed="81"/>
            <rFont val="Tahoma"/>
            <family val="2"/>
          </rPr>
          <t>Gutz:</t>
        </r>
        <r>
          <rPr>
            <sz val="8"/>
            <color indexed="81"/>
            <rFont val="Tahoma"/>
            <family val="2"/>
          </rPr>
          <t xml:space="preserve">
</t>
        </r>
        <r>
          <rPr>
            <sz val="10"/>
            <color indexed="81"/>
            <rFont val="Tahoma"/>
            <family val="2"/>
          </rPr>
          <t>Sum of concentrations of all forms of base B introduced in the titrand (e.g., [HB] + [H</t>
        </r>
        <r>
          <rPr>
            <vertAlign val="subscript"/>
            <sz val="10"/>
            <color indexed="81"/>
            <rFont val="Tahoma"/>
            <family val="2"/>
          </rPr>
          <t>2</t>
        </r>
        <r>
          <rPr>
            <sz val="10"/>
            <color indexed="81"/>
            <rFont val="Tahoma"/>
            <family val="2"/>
          </rPr>
          <t>B] + [H</t>
        </r>
        <r>
          <rPr>
            <vertAlign val="subscript"/>
            <sz val="10"/>
            <color indexed="81"/>
            <rFont val="Tahoma"/>
            <family val="2"/>
          </rPr>
          <t>3</t>
        </r>
        <r>
          <rPr>
            <sz val="10"/>
            <color indexed="81"/>
            <rFont val="Tahoma"/>
            <family val="2"/>
          </rPr>
          <t xml:space="preserve">B]) </t>
        </r>
      </text>
    </comment>
    <comment ref="B11" authorId="1" shapeId="0" xr:uid="{00000000-0006-0000-0200-000014000000}">
      <text>
        <r>
          <rPr>
            <b/>
            <sz val="8"/>
            <color indexed="81"/>
            <rFont val="Tahoma"/>
            <family val="2"/>
          </rPr>
          <t>Gutz</t>
        </r>
        <r>
          <rPr>
            <b/>
            <sz val="8"/>
            <color indexed="81"/>
            <rFont val="Tahoma"/>
            <family val="2"/>
          </rPr>
          <t>:</t>
        </r>
        <r>
          <rPr>
            <sz val="8"/>
            <color indexed="81"/>
            <rFont val="Tahoma"/>
            <family val="2"/>
          </rPr>
          <t xml:space="preserve">
</t>
        </r>
        <r>
          <rPr>
            <sz val="10"/>
            <color indexed="81"/>
            <rFont val="Tahoma"/>
            <family val="2"/>
          </rPr>
          <t>Do NOT write in this cell or any other one of the same color, not to corrupt  the equations.</t>
        </r>
      </text>
    </comment>
    <comment ref="I11" authorId="0" shapeId="0" xr:uid="{00000000-0006-0000-0200-000015000000}">
      <text>
        <r>
          <rPr>
            <b/>
            <sz val="8"/>
            <color indexed="81"/>
            <rFont val="Tahoma"/>
            <family val="2"/>
          </rPr>
          <t>Gutz:</t>
        </r>
        <r>
          <rPr>
            <sz val="8"/>
            <color indexed="81"/>
            <rFont val="Tahoma"/>
            <family val="2"/>
          </rPr>
          <t xml:space="preserve">
</t>
        </r>
        <r>
          <rPr>
            <sz val="10"/>
            <color indexed="81"/>
            <rFont val="Tahoma"/>
            <family val="2"/>
          </rPr>
          <t>Total concentration of each base (regardless of the protonation level of the added component) in columns B to H; grand total sor the sample in column I.</t>
        </r>
      </text>
    </comment>
    <comment ref="J11" authorId="0" shapeId="0" xr:uid="{00000000-0006-0000-0200-000016000000}">
      <text>
        <r>
          <rPr>
            <b/>
            <sz val="8"/>
            <color indexed="81"/>
            <rFont val="Tahoma"/>
            <family val="2"/>
          </rPr>
          <t>Gutz:</t>
        </r>
        <r>
          <rPr>
            <sz val="8"/>
            <color indexed="81"/>
            <rFont val="Tahoma"/>
            <family val="2"/>
          </rPr>
          <t xml:space="preserve">
</t>
        </r>
        <r>
          <rPr>
            <sz val="10"/>
            <color indexed="81"/>
            <rFont val="Tahoma"/>
            <family val="2"/>
          </rPr>
          <t>The ionic dissociation product of water changes with temperature and ionic strength, I. For pure water at 25ºC, the accepted value is 13.997 (or 14.00). 
Values corrected for I can be calculated with module pH_calc.</t>
        </r>
      </text>
    </comment>
    <comment ref="A12" authorId="0" shapeId="0" xr:uid="{00000000-0006-0000-0200-000017000000}">
      <text>
        <r>
          <rPr>
            <b/>
            <sz val="8"/>
            <color indexed="81"/>
            <rFont val="Tahoma"/>
            <family val="2"/>
          </rPr>
          <t>Gutz:</t>
        </r>
        <r>
          <rPr>
            <sz val="8"/>
            <color indexed="81"/>
            <rFont val="Tahoma"/>
            <family val="2"/>
          </rPr>
          <t xml:space="preserve">
</t>
        </r>
        <r>
          <rPr>
            <sz val="10"/>
            <color indexed="81"/>
            <rFont val="Tahoma"/>
            <family val="2"/>
          </rPr>
          <t>Maximum H</t>
        </r>
        <r>
          <rPr>
            <vertAlign val="superscript"/>
            <sz val="10"/>
            <color indexed="81"/>
            <rFont val="Tahoma"/>
            <family val="2"/>
          </rPr>
          <t>+</t>
        </r>
        <r>
          <rPr>
            <sz val="10"/>
            <color indexed="81"/>
            <rFont val="Tahoma"/>
            <family val="2"/>
          </rPr>
          <t xml:space="preserve"> concentration available from full deprotonation of all forms of H</t>
        </r>
        <r>
          <rPr>
            <vertAlign val="subscript"/>
            <sz val="10"/>
            <color indexed="81"/>
            <rFont val="Tahoma"/>
            <family val="2"/>
          </rPr>
          <t>i</t>
        </r>
        <r>
          <rPr>
            <sz val="10"/>
            <color indexed="81"/>
            <rFont val="Tahoma"/>
            <family val="2"/>
          </rPr>
          <t>B used in the formulation of the titrand (e.g., [HB] + 2[H</t>
        </r>
        <r>
          <rPr>
            <vertAlign val="subscript"/>
            <sz val="10"/>
            <color indexed="81"/>
            <rFont val="Tahoma"/>
            <family val="2"/>
          </rPr>
          <t>2</t>
        </r>
        <r>
          <rPr>
            <sz val="10"/>
            <color indexed="81"/>
            <rFont val="Tahoma"/>
            <family val="2"/>
          </rPr>
          <t>B] + 3[H</t>
        </r>
        <r>
          <rPr>
            <vertAlign val="subscript"/>
            <sz val="10"/>
            <color indexed="81"/>
            <rFont val="Tahoma"/>
            <family val="2"/>
          </rPr>
          <t>3</t>
        </r>
        <r>
          <rPr>
            <sz val="10"/>
            <color indexed="81"/>
            <rFont val="Tahoma"/>
            <family val="2"/>
          </rPr>
          <t>B])</t>
        </r>
      </text>
    </comment>
    <comment ref="I12" authorId="0" shapeId="0" xr:uid="{00000000-0006-0000-0200-000018000000}">
      <text>
        <r>
          <rPr>
            <b/>
            <sz val="8"/>
            <color indexed="81"/>
            <rFont val="Tahoma"/>
            <family val="2"/>
          </rPr>
          <t>Gutz:</t>
        </r>
        <r>
          <rPr>
            <sz val="8"/>
            <color indexed="81"/>
            <rFont val="Tahoma"/>
            <family val="2"/>
          </rPr>
          <t xml:space="preserve">
</t>
        </r>
        <r>
          <rPr>
            <sz val="10"/>
            <color indexed="81"/>
            <rFont val="Tahoma"/>
            <family val="2"/>
          </rPr>
          <t>Maximum concentration of  H</t>
        </r>
        <r>
          <rPr>
            <vertAlign val="superscript"/>
            <sz val="10"/>
            <color indexed="81"/>
            <rFont val="Tahoma"/>
            <family val="2"/>
          </rPr>
          <t>+</t>
        </r>
        <r>
          <rPr>
            <sz val="10"/>
            <color indexed="81"/>
            <rFont val="Tahoma"/>
            <family val="2"/>
          </rPr>
          <t xml:space="preserve"> that could possibly be dissociated from all the components added to the sample solution.</t>
        </r>
      </text>
    </comment>
    <comment ref="D13" authorId="0" shapeId="0" xr:uid="{00000000-0006-0000-0200-000019000000}">
      <text>
        <r>
          <rPr>
            <b/>
            <sz val="8"/>
            <color indexed="81"/>
            <rFont val="Tahoma"/>
            <family val="2"/>
          </rPr>
          <t>Gutz:</t>
        </r>
        <r>
          <rPr>
            <sz val="8"/>
            <color indexed="81"/>
            <rFont val="Tahoma"/>
            <family val="2"/>
          </rPr>
          <t xml:space="preserve">
</t>
        </r>
        <r>
          <rPr>
            <sz val="10"/>
            <color indexed="81"/>
            <rFont val="Tahoma"/>
            <family val="2"/>
          </rPr>
          <t>Aqueous solutions exposed to air or stored in (gas permeable) plastic flasks are always contaminated with CO</t>
        </r>
        <r>
          <rPr>
            <vertAlign val="subscript"/>
            <sz val="12"/>
            <color indexed="81"/>
            <rFont val="Tahoma"/>
            <family val="2"/>
          </rPr>
          <t>2</t>
        </r>
        <r>
          <rPr>
            <sz val="10"/>
            <color indexed="81"/>
            <rFont val="Tahoma"/>
            <family val="2"/>
          </rPr>
          <t xml:space="preserve">. Thus, it is advisable to include the carbonic acid system in simulations and regressions. 
However, any other mono- or biprotic acid/base system can be used instead in simulations. Its name and pKas should be filled out in column T.
</t>
        </r>
      </text>
    </comment>
    <comment ref="B14" authorId="0" shapeId="0" xr:uid="{00000000-0006-0000-0200-00001A000000}">
      <text>
        <r>
          <rPr>
            <b/>
            <sz val="10"/>
            <color indexed="81"/>
            <rFont val="Tahoma"/>
            <family val="2"/>
          </rPr>
          <t>Gutz:</t>
        </r>
        <r>
          <rPr>
            <sz val="10"/>
            <color indexed="81"/>
            <rFont val="Tahoma"/>
            <family val="2"/>
          </rPr>
          <t xml:space="preserve">
Leave blank - this cell corresponds to the conjugated base of the acid, e.g., Cl- or NO</t>
        </r>
        <r>
          <rPr>
            <vertAlign val="subscript"/>
            <sz val="12"/>
            <color indexed="81"/>
            <rFont val="Tahoma"/>
            <family val="2"/>
          </rPr>
          <t>3</t>
        </r>
        <r>
          <rPr>
            <vertAlign val="superscript"/>
            <sz val="12"/>
            <color indexed="81"/>
            <rFont val="Tahoma"/>
            <family val="2"/>
          </rPr>
          <t>-</t>
        </r>
        <r>
          <rPr>
            <sz val="10"/>
            <color indexed="81"/>
            <rFont val="Tahoma"/>
            <family val="2"/>
          </rPr>
          <t>.</t>
        </r>
      </text>
    </comment>
    <comment ref="C14" authorId="0" shapeId="0" xr:uid="{00000000-0006-0000-0200-00001B000000}">
      <text>
        <r>
          <rPr>
            <b/>
            <sz val="10"/>
            <color indexed="81"/>
            <rFont val="Tahoma"/>
            <family val="2"/>
          </rPr>
          <t>Gutz:</t>
        </r>
        <r>
          <rPr>
            <sz val="10"/>
            <color indexed="81"/>
            <rFont val="Tahoma"/>
            <family val="2"/>
          </rPr>
          <t xml:space="preserve">
Leave blank/fill with de concentration of strong monoprotonable base used as titrant for acidic samples e.g., NaOH, KOH (or twice the mol/L concentration of Ca(OH)</t>
        </r>
        <r>
          <rPr>
            <vertAlign val="subscript"/>
            <sz val="10"/>
            <color indexed="81"/>
            <rFont val="Tahoma"/>
            <family val="2"/>
          </rPr>
          <t>2</t>
        </r>
        <r>
          <rPr>
            <sz val="10"/>
            <color indexed="81"/>
            <rFont val="Tahoma"/>
            <family val="2"/>
          </rPr>
          <t>)</t>
        </r>
      </text>
    </comment>
    <comment ref="D14" authorId="0" shapeId="0" xr:uid="{00000000-0006-0000-0200-00001C000000}">
      <text>
        <r>
          <rPr>
            <b/>
            <sz val="8"/>
            <color indexed="81"/>
            <rFont val="Tahoma"/>
            <family val="2"/>
          </rPr>
          <t>Gutz:</t>
        </r>
        <r>
          <rPr>
            <sz val="8"/>
            <color indexed="81"/>
            <rFont val="Tahoma"/>
            <family val="2"/>
          </rPr>
          <t xml:space="preserve">
</t>
        </r>
        <r>
          <rPr>
            <sz val="10"/>
            <color indexed="81"/>
            <rFont val="Tahoma"/>
            <family val="2"/>
          </rPr>
          <t>Leave blank/fill out with the concentration of carbonate, if used as titrant. 
To simulate the absorption of CO</t>
        </r>
        <r>
          <rPr>
            <vertAlign val="subscript"/>
            <sz val="10"/>
            <color indexed="81"/>
            <rFont val="Tahoma"/>
            <family val="2"/>
          </rPr>
          <t xml:space="preserve">2 </t>
        </r>
        <r>
          <rPr>
            <sz val="10"/>
            <color indexed="81"/>
            <rFont val="Tahoma"/>
            <family val="2"/>
          </rPr>
          <t>from the air by an alkaline titrant, leave blank and fill cell D16.</t>
        </r>
      </text>
    </comment>
    <comment ref="B15" authorId="0" shapeId="0" xr:uid="{00000000-0006-0000-0200-00001D000000}">
      <text>
        <r>
          <rPr>
            <b/>
            <sz val="10"/>
            <color indexed="81"/>
            <rFont val="Tahoma"/>
            <family val="2"/>
          </rPr>
          <t>Gutz:</t>
        </r>
        <r>
          <rPr>
            <sz val="10"/>
            <color indexed="81"/>
            <rFont val="Tahoma"/>
            <family val="2"/>
          </rPr>
          <t xml:space="preserve">
Leave blank/fill with de concentration of strong monoprotic acid used as titrant of alkaline samples e.g., HCl. For weak or diprotic acids like H</t>
        </r>
        <r>
          <rPr>
            <vertAlign val="subscript"/>
            <sz val="10"/>
            <color indexed="81"/>
            <rFont val="Tahoma"/>
            <family val="2"/>
          </rPr>
          <t>2</t>
        </r>
        <r>
          <rPr>
            <sz val="10"/>
            <color indexed="81"/>
            <rFont val="Tahoma"/>
            <family val="2"/>
          </rPr>
          <t>SO</t>
        </r>
        <r>
          <rPr>
            <vertAlign val="subscript"/>
            <sz val="10"/>
            <color indexed="81"/>
            <rFont val="Tahoma"/>
            <family val="2"/>
          </rPr>
          <t>4</t>
        </r>
        <r>
          <rPr>
            <sz val="10"/>
            <color indexed="81"/>
            <rFont val="Tahoma"/>
            <family val="2"/>
          </rPr>
          <t xml:space="preserve">  change charge and pKas first, at cells R4 to R6.</t>
        </r>
      </text>
    </comment>
    <comment ref="C15" authorId="0" shapeId="0" xr:uid="{00000000-0006-0000-0200-00001E000000}">
      <text>
        <r>
          <rPr>
            <b/>
            <sz val="8"/>
            <color indexed="81"/>
            <rFont val="Tahoma"/>
            <family val="2"/>
          </rPr>
          <t>Gutz:</t>
        </r>
        <r>
          <rPr>
            <sz val="8"/>
            <color indexed="81"/>
            <rFont val="Tahoma"/>
            <family val="2"/>
          </rPr>
          <t xml:space="preserve">
</t>
        </r>
        <r>
          <rPr>
            <sz val="10"/>
            <color indexed="81"/>
            <rFont val="Tahoma"/>
            <family val="2"/>
          </rPr>
          <t>Leave blank - as a rule, this cell corresponds to the protonated form of OH-, H</t>
        </r>
        <r>
          <rPr>
            <vertAlign val="subscript"/>
            <sz val="10"/>
            <color indexed="81"/>
            <rFont val="Tahoma"/>
            <family val="2"/>
          </rPr>
          <t>2</t>
        </r>
        <r>
          <rPr>
            <sz val="10"/>
            <color indexed="81"/>
            <rFont val="Tahoma"/>
            <family val="2"/>
          </rPr>
          <t>O, indistiguishable from the solvent. However, if a different acid/base is system is specified in column S, [HB] may be filled out as needed.</t>
        </r>
      </text>
    </comment>
    <comment ref="D15" authorId="0" shapeId="0" xr:uid="{00000000-0006-0000-0200-00001F000000}">
      <text>
        <r>
          <rPr>
            <b/>
            <sz val="8"/>
            <color indexed="81"/>
            <rFont val="Tahoma"/>
            <family val="2"/>
          </rPr>
          <t>Gutz:</t>
        </r>
        <r>
          <rPr>
            <sz val="8"/>
            <color indexed="81"/>
            <rFont val="Tahoma"/>
            <family val="2"/>
          </rPr>
          <t xml:space="preserve">
</t>
        </r>
        <r>
          <rPr>
            <sz val="10"/>
            <color indexed="81"/>
            <rFont val="Tahoma"/>
            <family val="2"/>
          </rPr>
          <t>Leave blank</t>
        </r>
        <r>
          <rPr>
            <b/>
            <sz val="10"/>
            <color indexed="81"/>
            <rFont val="Tahoma"/>
            <family val="2"/>
          </rPr>
          <t>/</t>
        </r>
        <r>
          <rPr>
            <sz val="10"/>
            <color indexed="81"/>
            <rFont val="Tahoma"/>
            <family val="2"/>
          </rPr>
          <t>fill out with de concentration of bicarbonate, if used as titrant.
To simulate the absorption of CO</t>
        </r>
        <r>
          <rPr>
            <vertAlign val="subscript"/>
            <sz val="10"/>
            <color indexed="81"/>
            <rFont val="Tahoma"/>
            <family val="2"/>
          </rPr>
          <t>2</t>
        </r>
        <r>
          <rPr>
            <sz val="10"/>
            <color indexed="81"/>
            <rFont val="Tahoma"/>
            <family val="2"/>
          </rPr>
          <t xml:space="preserve"> from the air by an alkaline titrant, leave blank and fill H</t>
        </r>
        <r>
          <rPr>
            <vertAlign val="subscript"/>
            <sz val="10"/>
            <color indexed="81"/>
            <rFont val="Tahoma"/>
            <family val="2"/>
          </rPr>
          <t>2</t>
        </r>
        <r>
          <rPr>
            <sz val="10"/>
            <color indexed="81"/>
            <rFont val="Tahoma"/>
            <family val="2"/>
          </rPr>
          <t>CO</t>
        </r>
        <r>
          <rPr>
            <vertAlign val="subscript"/>
            <sz val="10"/>
            <color indexed="81"/>
            <rFont val="Tahoma"/>
            <family val="2"/>
          </rPr>
          <t>3</t>
        </r>
        <r>
          <rPr>
            <sz val="10"/>
            <color indexed="81"/>
            <rFont val="Tahoma"/>
            <family val="2"/>
          </rPr>
          <t xml:space="preserve"> (cell D16)</t>
        </r>
      </text>
    </comment>
    <comment ref="B16" authorId="0" shapeId="0" xr:uid="{00000000-0006-0000-0200-000020000000}">
      <text>
        <r>
          <rPr>
            <b/>
            <sz val="8"/>
            <color indexed="81"/>
            <rFont val="Tahoma"/>
            <family val="2"/>
          </rPr>
          <t>Gutz:</t>
        </r>
        <r>
          <rPr>
            <sz val="8"/>
            <color indexed="81"/>
            <rFont val="Tahoma"/>
            <family val="2"/>
          </rPr>
          <t xml:space="preserve">
</t>
        </r>
        <r>
          <rPr>
            <sz val="10"/>
            <color indexed="81"/>
            <rFont val="Tahoma"/>
            <family val="2"/>
          </rPr>
          <t>Leave blank unless you have replaced the base, its charge and pKas in cells S4 to S6 and H</t>
        </r>
        <r>
          <rPr>
            <vertAlign val="subscript"/>
            <sz val="10"/>
            <color indexed="81"/>
            <rFont val="Tahoma"/>
            <family val="2"/>
          </rPr>
          <t>2</t>
        </r>
        <r>
          <rPr>
            <sz val="10"/>
            <color indexed="81"/>
            <rFont val="Tahoma"/>
            <family val="2"/>
          </rPr>
          <t>B is and ingredient of the titrant.</t>
        </r>
      </text>
    </comment>
    <comment ref="C16" authorId="0" shapeId="0" xr:uid="{00000000-0006-0000-0200-000021000000}">
      <text>
        <r>
          <rPr>
            <b/>
            <sz val="8"/>
            <color indexed="81"/>
            <rFont val="Tahoma"/>
            <family val="2"/>
          </rPr>
          <t>Gutz:</t>
        </r>
        <r>
          <rPr>
            <sz val="8"/>
            <color indexed="81"/>
            <rFont val="Tahoma"/>
            <family val="2"/>
          </rPr>
          <t xml:space="preserve">
</t>
        </r>
        <r>
          <rPr>
            <sz val="10"/>
            <color indexed="81"/>
            <rFont val="Tahoma"/>
            <family val="2"/>
          </rPr>
          <t>Leave blank unless you have replaced the base, its charge and pKas in cells S4 to S6 and H</t>
        </r>
        <r>
          <rPr>
            <vertAlign val="subscript"/>
            <sz val="10"/>
            <color indexed="81"/>
            <rFont val="Tahoma"/>
            <family val="2"/>
          </rPr>
          <t>2</t>
        </r>
        <r>
          <rPr>
            <sz val="10"/>
            <color indexed="81"/>
            <rFont val="Tahoma"/>
            <family val="2"/>
          </rPr>
          <t>B is and ingredient of the titrant.</t>
        </r>
      </text>
    </comment>
    <comment ref="D16" authorId="0" shapeId="0" xr:uid="{00000000-0006-0000-0200-000022000000}">
      <text>
        <r>
          <rPr>
            <b/>
            <sz val="10"/>
            <color indexed="81"/>
            <rFont val="Tahoma"/>
            <family val="2"/>
          </rPr>
          <t>Gutz:</t>
        </r>
        <r>
          <rPr>
            <sz val="10"/>
            <color indexed="81"/>
            <rFont val="Tahoma"/>
            <family val="2"/>
          </rPr>
          <t xml:space="preserve">
Leave blank</t>
        </r>
        <r>
          <rPr>
            <b/>
            <sz val="10"/>
            <color indexed="81"/>
            <rFont val="Tahoma"/>
            <family val="2"/>
          </rPr>
          <t>/</t>
        </r>
        <r>
          <rPr>
            <sz val="10"/>
            <color indexed="81"/>
            <rFont val="Tahoma"/>
            <family val="2"/>
          </rPr>
          <t>fill out to simulate the absorption of CO</t>
        </r>
        <r>
          <rPr>
            <vertAlign val="subscript"/>
            <sz val="10"/>
            <color indexed="81"/>
            <rFont val="Tahoma"/>
            <family val="2"/>
          </rPr>
          <t>2</t>
        </r>
        <r>
          <rPr>
            <sz val="10"/>
            <color indexed="81"/>
            <rFont val="Tahoma"/>
            <family val="2"/>
          </rPr>
          <t xml:space="preserve"> by an alkaline titrant (effect visible on the curve for 1% or more of [H</t>
        </r>
        <r>
          <rPr>
            <vertAlign val="subscript"/>
            <sz val="10"/>
            <color indexed="81"/>
            <rFont val="Tahoma"/>
            <family val="2"/>
          </rPr>
          <t>2</t>
        </r>
        <r>
          <rPr>
            <sz val="10"/>
            <color indexed="81"/>
            <rFont val="Tahoma"/>
            <family val="2"/>
          </rPr>
          <t>CO</t>
        </r>
        <r>
          <rPr>
            <vertAlign val="subscript"/>
            <sz val="10"/>
            <color indexed="81"/>
            <rFont val="Tahoma"/>
            <family val="2"/>
          </rPr>
          <t>3</t>
        </r>
        <r>
          <rPr>
            <sz val="10"/>
            <color indexed="81"/>
            <rFont val="Tahoma"/>
            <family val="2"/>
          </rPr>
          <t xml:space="preserve">] relative to the titrant concentration)  
</t>
        </r>
      </text>
    </comment>
    <comment ref="F16" authorId="0" shapeId="0" xr:uid="{00000000-0006-0000-0200-000023000000}">
      <text>
        <r>
          <rPr>
            <b/>
            <sz val="10"/>
            <color indexed="81"/>
            <rFont val="Tahoma"/>
            <family val="2"/>
          </rPr>
          <t>Gutz:</t>
        </r>
        <r>
          <rPr>
            <sz val="10"/>
            <color indexed="81"/>
            <rFont val="Tahoma"/>
            <family val="2"/>
          </rPr>
          <t xml:space="preserve">
Volume of the aliquot of sample (with the composition given in cells B4 to H10) to be titrated.</t>
        </r>
      </text>
    </comment>
    <comment ref="G16" authorId="0" shapeId="0" xr:uid="{00000000-0006-0000-0200-000024000000}">
      <text>
        <r>
          <rPr>
            <b/>
            <sz val="10"/>
            <color indexed="81"/>
            <rFont val="Tahoma"/>
            <family val="2"/>
          </rPr>
          <t>Gutz:</t>
        </r>
        <r>
          <rPr>
            <sz val="10"/>
            <color indexed="81"/>
            <rFont val="Tahoma"/>
            <family val="2"/>
          </rPr>
          <t xml:space="preserve">
Water is frequently added to the sample until the glass electrode bulb and reference electrode junction are covered by the solution. The (undesirable) effect of dillution can be evaluated by comparing the curves simulated with no water added and with 5 times more water than sample.</t>
        </r>
      </text>
    </comment>
    <comment ref="H16" authorId="0" shapeId="0" xr:uid="{00000000-0006-0000-0200-000025000000}">
      <text>
        <r>
          <rPr>
            <b/>
            <sz val="8"/>
            <color indexed="81"/>
            <rFont val="Tahoma"/>
            <family val="2"/>
          </rPr>
          <t>Gutz:</t>
        </r>
        <r>
          <rPr>
            <sz val="10"/>
            <color indexed="81"/>
            <rFont val="Tahoma"/>
            <family val="2"/>
          </rPr>
          <t xml:space="preserve">
Total  volume before titration (F16+G16)</t>
        </r>
      </text>
    </comment>
    <comment ref="A17" authorId="0" shapeId="0" xr:uid="{00000000-0006-0000-0200-000026000000}">
      <text>
        <r>
          <rPr>
            <b/>
            <sz val="8"/>
            <color indexed="81"/>
            <rFont val="Tahoma"/>
            <family val="2"/>
          </rPr>
          <t>Gutz:</t>
        </r>
        <r>
          <rPr>
            <sz val="8"/>
            <color indexed="81"/>
            <rFont val="Tahoma"/>
            <family val="2"/>
          </rPr>
          <t xml:space="preserve">
</t>
        </r>
        <r>
          <rPr>
            <sz val="10"/>
            <color indexed="81"/>
            <rFont val="Tahoma"/>
            <family val="2"/>
          </rPr>
          <t>Sum of concentrations of all forms of base B introduced in the titrant (e.g., [HB] + [H</t>
        </r>
        <r>
          <rPr>
            <vertAlign val="subscript"/>
            <sz val="10"/>
            <color indexed="81"/>
            <rFont val="Tahoma"/>
            <family val="2"/>
          </rPr>
          <t>2</t>
        </r>
        <r>
          <rPr>
            <sz val="10"/>
            <color indexed="81"/>
            <rFont val="Tahoma"/>
            <family val="2"/>
          </rPr>
          <t>B] + [H</t>
        </r>
        <r>
          <rPr>
            <vertAlign val="subscript"/>
            <sz val="10"/>
            <color indexed="81"/>
            <rFont val="Tahoma"/>
            <family val="2"/>
          </rPr>
          <t>3</t>
        </r>
        <r>
          <rPr>
            <sz val="10"/>
            <color indexed="81"/>
            <rFont val="Tahoma"/>
            <family val="2"/>
          </rPr>
          <t xml:space="preserve">B]) </t>
        </r>
      </text>
    </comment>
    <comment ref="A18" authorId="0" shapeId="0" xr:uid="{00000000-0006-0000-0200-000027000000}">
      <text>
        <r>
          <rPr>
            <b/>
            <sz val="8"/>
            <color indexed="81"/>
            <rFont val="Tahoma"/>
            <family val="2"/>
          </rPr>
          <t>Gutz:</t>
        </r>
        <r>
          <rPr>
            <sz val="8"/>
            <color indexed="81"/>
            <rFont val="Tahoma"/>
            <family val="2"/>
          </rPr>
          <t xml:space="preserve">
</t>
        </r>
        <r>
          <rPr>
            <sz val="10"/>
            <color indexed="81"/>
            <rFont val="Tahoma"/>
            <family val="2"/>
          </rPr>
          <t>Maximum H</t>
        </r>
        <r>
          <rPr>
            <vertAlign val="superscript"/>
            <sz val="10"/>
            <color indexed="81"/>
            <rFont val="Tahoma"/>
            <family val="2"/>
          </rPr>
          <t>+</t>
        </r>
        <r>
          <rPr>
            <sz val="10"/>
            <color indexed="81"/>
            <rFont val="Tahoma"/>
            <family val="2"/>
          </rPr>
          <t xml:space="preserve"> concentration available from full deprotonation of all forms of H</t>
        </r>
        <r>
          <rPr>
            <vertAlign val="subscript"/>
            <sz val="10"/>
            <color indexed="81"/>
            <rFont val="Tahoma"/>
            <family val="2"/>
          </rPr>
          <t>i</t>
        </r>
        <r>
          <rPr>
            <sz val="10"/>
            <color indexed="81"/>
            <rFont val="Tahoma"/>
            <family val="2"/>
          </rPr>
          <t>B used in the formulation of the titrant (e.g., [HB] + 2[H</t>
        </r>
        <r>
          <rPr>
            <vertAlign val="subscript"/>
            <sz val="10"/>
            <color indexed="81"/>
            <rFont val="Tahoma"/>
            <family val="2"/>
          </rPr>
          <t>2</t>
        </r>
        <r>
          <rPr>
            <sz val="10"/>
            <color indexed="81"/>
            <rFont val="Tahoma"/>
            <family val="2"/>
          </rPr>
          <t>B] + 3[H</t>
        </r>
        <r>
          <rPr>
            <vertAlign val="subscript"/>
            <sz val="10"/>
            <color indexed="81"/>
            <rFont val="Tahoma"/>
            <family val="2"/>
          </rPr>
          <t>3</t>
        </r>
        <r>
          <rPr>
            <sz val="10"/>
            <color indexed="81"/>
            <rFont val="Tahoma"/>
            <family val="2"/>
          </rPr>
          <t>B])</t>
        </r>
      </text>
    </comment>
    <comment ref="F18" authorId="0" shapeId="0" xr:uid="{00000000-0006-0000-0200-000028000000}">
      <text>
        <r>
          <rPr>
            <b/>
            <sz val="8"/>
            <color indexed="81"/>
            <rFont val="Tahoma"/>
            <family val="2"/>
          </rPr>
          <t>Gutz:</t>
        </r>
        <r>
          <rPr>
            <sz val="8"/>
            <color indexed="81"/>
            <rFont val="Tahoma"/>
            <family val="2"/>
          </rPr>
          <t xml:space="preserve">
</t>
        </r>
        <r>
          <rPr>
            <sz val="10"/>
            <color indexed="81"/>
            <rFont val="Tahoma"/>
            <family val="2"/>
          </rPr>
          <t xml:space="preserve">Maximum volume of titrant to be added up to the end of the titration (size or capacity of the syringe to be used with the motor driven buret, cell C20) </t>
        </r>
      </text>
    </comment>
    <comment ref="A19" authorId="2" shapeId="0" xr:uid="{00000000-0006-0000-0200-000029000000}">
      <text>
        <r>
          <rPr>
            <b/>
            <sz val="9"/>
            <color indexed="81"/>
            <rFont val="Tahoma"/>
            <family val="2"/>
          </rPr>
          <t>Gutz:</t>
        </r>
        <r>
          <rPr>
            <sz val="9"/>
            <color indexed="81"/>
            <rFont val="Tahoma"/>
            <family val="2"/>
          </rPr>
          <t xml:space="preserve">
</t>
        </r>
        <r>
          <rPr>
            <sz val="10"/>
            <color indexed="81"/>
            <rFont val="Tahoma"/>
            <family val="2"/>
          </rPr>
          <t xml:space="preserve">Click on </t>
        </r>
        <r>
          <rPr>
            <b/>
            <sz val="10"/>
            <color indexed="81"/>
            <rFont val="Tahoma"/>
            <family val="2"/>
          </rPr>
          <t>Generate</t>
        </r>
        <r>
          <rPr>
            <sz val="10"/>
            <color indexed="81"/>
            <rFont val="Tahoma"/>
            <family val="2"/>
          </rPr>
          <t xml:space="preserve"> to simulate a new sample in the beaker, with the same volume and ingredient(s) chosen in cells B3 to H10, but with different hidden concentration(s), randomly generated in the range from 30% lower to 30% higher than the original concentration(s).  For greater realism of this titration exercise with visual indication, please uncheck F25 and F26.
Click on </t>
        </r>
        <r>
          <rPr>
            <b/>
            <sz val="10"/>
            <color indexed="81"/>
            <rFont val="Tahoma"/>
            <family val="2"/>
          </rPr>
          <t>Show</t>
        </r>
        <r>
          <rPr>
            <sz val="10"/>
            <color indexed="81"/>
            <rFont val="Tahoma"/>
            <family val="2"/>
          </rPr>
          <t xml:space="preserve"> after finishing your titration, to reveal (in cells B3 to H10) the correct concentration(s), to be compared with your results (and appropriateness of the indicator pKa).</t>
        </r>
      </text>
    </comment>
    <comment ref="E21" authorId="2" shapeId="0" xr:uid="{00000000-0006-0000-0200-00002A000000}">
      <text>
        <r>
          <rPr>
            <b/>
            <sz val="10"/>
            <color indexed="81"/>
            <rFont val="Tahoma"/>
            <family val="2"/>
          </rPr>
          <t>Gutz:</t>
        </r>
        <r>
          <rPr>
            <sz val="10"/>
            <color indexed="81"/>
            <rFont val="Tahoma"/>
            <family val="2"/>
          </rPr>
          <t xml:space="preserve">
The pH-meter is connected to a pH sensor, the combined glass electrode, consisting of a glass bulb with a buffer solution and a reference electrode inside. The ddp, measured against a concentric external reference electrode is directly proportional to the difference of pH at the internal and external surfaces of the glass membrane.</t>
        </r>
      </text>
    </comment>
    <comment ref="G21" authorId="1" shapeId="0" xr:uid="{00000000-0006-0000-0200-00002B000000}">
      <text>
        <r>
          <rPr>
            <b/>
            <sz val="8"/>
            <color indexed="81"/>
            <rFont val="Tahoma"/>
            <family val="2"/>
          </rPr>
          <t>Gutz:</t>
        </r>
        <r>
          <rPr>
            <sz val="8"/>
            <color indexed="81"/>
            <rFont val="Tahoma"/>
            <family val="2"/>
          </rPr>
          <t xml:space="preserve">
</t>
        </r>
        <r>
          <rPr>
            <sz val="10"/>
            <color indexed="81"/>
            <rFont val="Tahoma"/>
            <family val="2"/>
          </rPr>
          <t xml:space="preserve">Click on the button </t>
        </r>
        <r>
          <rPr>
            <b/>
            <sz val="10"/>
            <color indexed="81"/>
            <rFont val="Tahoma"/>
            <family val="2"/>
          </rPr>
          <t>Reset</t>
        </r>
        <r>
          <rPr>
            <sz val="10"/>
            <color indexed="81"/>
            <rFont val="Tahoma"/>
            <family val="2"/>
          </rPr>
          <t xml:space="preserve"> (cell A25) to find the "pH" of the starting solution (defined by cells B3 to H10, F16 and G16), before the addition of titrant.
</t>
        </r>
        <r>
          <rPr>
            <sz val="10"/>
            <color indexed="81"/>
            <rFont val="Tahoma"/>
            <family val="2"/>
          </rPr>
          <t xml:space="preserve">
The pH values shown in cell G21 are accurate only for very diluted solutions (at 25ºC) because the effects of ionic interactions are neglected (deviations of 0.1 or 0.2 in the pH may occur at 0.1 mol/L).
Switch to the </t>
        </r>
        <r>
          <rPr>
            <b/>
            <sz val="10"/>
            <color indexed="81"/>
            <rFont val="Tahoma"/>
            <family val="2"/>
          </rPr>
          <t>Simulation</t>
        </r>
        <r>
          <rPr>
            <sz val="10"/>
            <color indexed="81"/>
            <rFont val="Tahoma"/>
            <family val="2"/>
          </rPr>
          <t xml:space="preserve"> or </t>
        </r>
        <r>
          <rPr>
            <b/>
            <sz val="10"/>
            <color indexed="81"/>
            <rFont val="Tahoma"/>
            <family val="2"/>
          </rPr>
          <t>pH_calc</t>
        </r>
        <r>
          <rPr>
            <sz val="10"/>
            <color indexed="81"/>
            <rFont val="Tahoma"/>
            <family val="2"/>
          </rPr>
          <t xml:space="preserve"> modules to refine the pH calculation of a solution and to find explanations.</t>
        </r>
      </text>
    </comment>
    <comment ref="C22" authorId="2" shapeId="0" xr:uid="{00000000-0006-0000-0200-00002C000000}">
      <text>
        <r>
          <rPr>
            <b/>
            <sz val="9"/>
            <color indexed="81"/>
            <rFont val="Tahoma"/>
            <family val="2"/>
          </rPr>
          <t>Gutz:</t>
        </r>
        <r>
          <rPr>
            <sz val="9"/>
            <color indexed="81"/>
            <rFont val="Tahoma"/>
            <family val="2"/>
          </rPr>
          <t xml:space="preserve">
</t>
        </r>
        <r>
          <rPr>
            <sz val="10"/>
            <color indexed="81"/>
            <rFont val="Tahoma"/>
            <family val="2"/>
          </rPr>
          <t>Click on the button Reset (cell A25) to find the "pH" of the starting solution (defined by cells B3 to H10, F16 and G16), before the addition of titrant.
Click repeatedly on buttons A31 to B36 to observe the effect of titrant addition on the solution in the beaker. Watch: the color of the dissolved indicator, measured pH, equilibrium position (may be hidden, uncheck checkbox F26), and the aspect of the pH versus titrant volume curve (may be hidden, uncheck checkbox F25).</t>
        </r>
      </text>
    </comment>
    <comment ref="G24" authorId="2" shapeId="0" xr:uid="{00000000-0006-0000-0200-00002D000000}">
      <text>
        <r>
          <rPr>
            <b/>
            <sz val="9"/>
            <color indexed="81"/>
            <rFont val="Tahoma"/>
            <family val="2"/>
          </rPr>
          <t>Gutz:</t>
        </r>
        <r>
          <rPr>
            <sz val="9"/>
            <color indexed="81"/>
            <rFont val="Tahoma"/>
            <family val="2"/>
          </rPr>
          <t xml:space="preserve">
</t>
        </r>
        <r>
          <rPr>
            <sz val="10"/>
            <color indexed="81"/>
            <rFont val="Tahoma"/>
            <family val="2"/>
          </rPr>
          <t xml:space="preserve">In a real titration with visual endpoint indication, the pH is not measured, nor is the equilibrium position shown. </t>
        </r>
      </text>
    </comment>
    <comment ref="B28" authorId="3" shapeId="0" xr:uid="{00000000-0006-0000-0200-00002E000000}">
      <text>
        <r>
          <rPr>
            <b/>
            <sz val="8"/>
            <color indexed="81"/>
            <rFont val="Tahoma"/>
            <family val="2"/>
          </rPr>
          <t>Gutz:</t>
        </r>
        <r>
          <rPr>
            <sz val="8"/>
            <color indexed="81"/>
            <rFont val="Tahoma"/>
            <family val="2"/>
          </rPr>
          <t xml:space="preserve">
</t>
        </r>
        <r>
          <rPr>
            <sz val="10"/>
            <color indexed="81"/>
            <rFont val="Tahoma"/>
            <family val="2"/>
          </rPr>
          <t>There are examples of indicators at the end of the Database; phenol red is loaded as default in N3, and its concentrarion can be changed in E6 (to evaluate the error caused by the presence of titrable indicator). Various indicators have 2 or more pKas and color transitions and the Titrators handles one at a time; please copy one of them to B29 (default: from N6), or consider a model indicator with any pKa.</t>
        </r>
      </text>
    </comment>
    <comment ref="A29" authorId="2" shapeId="0" xr:uid="{00000000-0006-0000-0200-00002F000000}">
      <text>
        <r>
          <rPr>
            <b/>
            <sz val="9"/>
            <color indexed="81"/>
            <rFont val="Tahoma"/>
            <family val="2"/>
          </rPr>
          <t>Gutz:</t>
        </r>
        <r>
          <rPr>
            <sz val="9"/>
            <color indexed="81"/>
            <rFont val="Tahoma"/>
            <family val="2"/>
          </rPr>
          <t xml:space="preserve">
</t>
        </r>
        <r>
          <rPr>
            <sz val="10"/>
            <color indexed="81"/>
            <rFont val="Tahoma"/>
            <family val="2"/>
          </rPr>
          <t>As a rule of thumb, to obtain accurate results, the pKa of the chosen indicator should be close to the pH at (one of) the stoichiometric point(s) of the titration (or inflections of the titration curve). As an exercise, verify, by simulation, if this is more important for strong or for weak acids and bases; examine also the situation of very diluted samples.</t>
        </r>
      </text>
    </comment>
    <comment ref="H29" authorId="2" shapeId="0" xr:uid="{00000000-0006-0000-0200-000030000000}">
      <text>
        <r>
          <rPr>
            <b/>
            <sz val="9"/>
            <color indexed="81"/>
            <rFont val="Tahoma"/>
            <family val="2"/>
          </rPr>
          <t>Gutz:</t>
        </r>
        <r>
          <rPr>
            <sz val="9"/>
            <color indexed="81"/>
            <rFont val="Tahoma"/>
            <family val="2"/>
          </rPr>
          <t xml:space="preserve">
</t>
        </r>
        <r>
          <rPr>
            <sz val="10"/>
            <color indexed="81"/>
            <rFont val="Tahoma"/>
            <family val="2"/>
          </rPr>
          <t>If a sample with more than one acid or base is simulted, only the distribution of species of the most concentrated one (in line 11) will be shown here.</t>
        </r>
      </text>
    </comment>
    <comment ref="B30" authorId="2" shapeId="0" xr:uid="{00000000-0006-0000-0200-000031000000}">
      <text>
        <r>
          <rPr>
            <b/>
            <sz val="9"/>
            <color indexed="81"/>
            <rFont val="Tahoma"/>
            <family val="2"/>
          </rPr>
          <t>Gutz:</t>
        </r>
        <r>
          <rPr>
            <sz val="9"/>
            <color indexed="81"/>
            <rFont val="Tahoma"/>
            <family val="2"/>
          </rPr>
          <t xml:space="preserve">
</t>
        </r>
        <r>
          <rPr>
            <sz val="10"/>
            <color indexed="81"/>
            <rFont val="Tahoma"/>
            <family val="2"/>
          </rPr>
          <t xml:space="preserve">The colors shown here as default resemble those of phenol red, and indicator with pKa of 7.7 (available in the Database and loaded in N3; pKa2 in N6; concentration in E6)
Indicators with different pKas can be specified in cell B29, shifting the region of the color transition, but not the colors. 
The colors may be changed as follows: mark cells D31 to E35, click on Conditional Formating and edit the two colors. </t>
        </r>
      </text>
    </comment>
    <comment ref="A32" authorId="2" shapeId="0" xr:uid="{00000000-0006-0000-0200-000032000000}">
      <text>
        <r>
          <rPr>
            <b/>
            <sz val="9"/>
            <color indexed="81"/>
            <rFont val="Tahoma"/>
            <family val="2"/>
          </rPr>
          <t>Gutz:</t>
        </r>
        <r>
          <rPr>
            <sz val="9"/>
            <color indexed="81"/>
            <rFont val="Tahoma"/>
            <family val="2"/>
          </rPr>
          <t xml:space="preserve">
</t>
        </r>
        <r>
          <rPr>
            <sz val="10"/>
            <color indexed="81"/>
            <rFont val="Tahoma"/>
            <family val="2"/>
          </rPr>
          <t>The assumption made here is that the colors of the acidic and basic forms of the indicator present the same intensity, but this is frequently not true. Consequently the color transition range becomes more or less displaced from the interval of pH=pKa-1 to pH=pKa+1. The pH of the center of this range found in tables of visual indicators may be used instead of the pKa  in the simulations made here.</t>
        </r>
      </text>
    </comment>
    <comment ref="S34" authorId="1" shapeId="0" xr:uid="{00000000-0006-0000-0200-000033000000}">
      <text>
        <r>
          <rPr>
            <b/>
            <sz val="8"/>
            <color indexed="81"/>
            <rFont val="Tahoma"/>
            <family val="2"/>
          </rPr>
          <t>Gutz:</t>
        </r>
        <r>
          <rPr>
            <sz val="8"/>
            <color indexed="81"/>
            <rFont val="Tahoma"/>
            <family val="2"/>
          </rPr>
          <t xml:space="preserve">
</t>
        </r>
        <r>
          <rPr>
            <sz val="10"/>
            <color indexed="81"/>
            <rFont val="Tahoma"/>
            <family val="2"/>
          </rPr>
          <t>Hover the mouse on a curve and point any data point to readout its ID and coordinates.
To add labels to your graphics, activate the drawing tools of Excel and insert text boxes.</t>
        </r>
      </text>
    </comment>
    <comment ref="S35" authorId="1" shapeId="0" xr:uid="{00000000-0006-0000-0200-000034000000}">
      <text>
        <r>
          <rPr>
            <b/>
            <sz val="8"/>
            <color indexed="81"/>
            <rFont val="Tahoma"/>
            <family val="2"/>
          </rPr>
          <t>Gutz:</t>
        </r>
        <r>
          <rPr>
            <sz val="8"/>
            <color indexed="81"/>
            <rFont val="Tahoma"/>
            <family val="2"/>
          </rPr>
          <t xml:space="preserve">
</t>
        </r>
        <r>
          <rPr>
            <sz val="10"/>
            <color indexed="81"/>
            <rFont val="Tahoma"/>
            <family val="2"/>
          </rPr>
          <t xml:space="preserve">To copy graphics with simulated curves and paste them into other documents (e.g.: Word or Excel without links to the original:
- Fill out the header of the figure (optional)
- Click in the box of the figure near the margins, to select it
  (for Excel versions older than 12 from 2007 - Uncheck/check F25 to replot the curve) </t>
        </r>
        <r>
          <rPr>
            <b/>
            <sz val="10"/>
            <color indexed="81"/>
            <rFont val="Tahoma"/>
            <family val="2"/>
          </rPr>
          <t xml:space="preserve">
</t>
        </r>
        <r>
          <rPr>
            <sz val="10"/>
            <color indexed="81"/>
            <rFont val="Tahoma"/>
            <family val="2"/>
          </rPr>
          <t xml:space="preserve">- Press Ctrl+C (and wait for processing)
- Switch to the Word document or another Excel spreadsheet 
- Select Insert/Paste Special/Picture (enhanced metafile)
Obs.: do NOT use Ctrl+C and Ctrl+V, because the figure may become coupled with CurTiPot and respond to changes
</t>
        </r>
      </text>
    </comment>
    <comment ref="D36" authorId="2" shapeId="0" xr:uid="{00000000-0006-0000-0200-000035000000}">
      <text>
        <r>
          <rPr>
            <b/>
            <sz val="9"/>
            <color indexed="81"/>
            <rFont val="Tahoma"/>
            <family val="2"/>
          </rPr>
          <t>Gutz</t>
        </r>
        <r>
          <rPr>
            <sz val="9"/>
            <color indexed="81"/>
            <rFont val="Tahoma"/>
            <family val="2"/>
          </rPr>
          <t xml:space="preserve">
</t>
        </r>
        <r>
          <rPr>
            <sz val="10"/>
            <color indexed="81"/>
            <rFont val="Tahoma"/>
            <family val="2"/>
          </rPr>
          <t>The stirrer is used in real titrations to homogenize the solution;
it is superfluous in this titration simulator, where homogenization occurs instantly (an animation of the stirring bar is available from the author for specific versions of Excel).</t>
        </r>
      </text>
    </comment>
    <comment ref="S36" authorId="1" shapeId="0" xr:uid="{00000000-0006-0000-0200-000036000000}">
      <text>
        <r>
          <rPr>
            <b/>
            <sz val="10"/>
            <color indexed="81"/>
            <rFont val="Tahoma"/>
            <family val="2"/>
          </rPr>
          <t>Gutz:</t>
        </r>
        <r>
          <rPr>
            <sz val="10"/>
            <color indexed="81"/>
            <rFont val="Tahoma"/>
            <family val="2"/>
          </rPr>
          <t xml:space="preserve">
Click twice on the volume or pH scale to redifine it.
Use Ctrl+Z (as many times as needed) to undo scale expansion</t>
        </r>
      </text>
    </comment>
    <comment ref="S37" authorId="1" shapeId="0" xr:uid="{00000000-0006-0000-0200-000037000000}">
      <text>
        <r>
          <rPr>
            <b/>
            <sz val="10"/>
            <color indexed="81"/>
            <rFont val="Tahoma"/>
            <family val="2"/>
          </rPr>
          <t>Gutz:</t>
        </r>
        <r>
          <rPr>
            <sz val="10"/>
            <color indexed="81"/>
            <rFont val="Tahoma"/>
            <family val="2"/>
          </rPr>
          <t xml:space="preserve">
- Use the </t>
        </r>
        <r>
          <rPr>
            <b/>
            <sz val="10"/>
            <color indexed="81"/>
            <rFont val="Tahoma"/>
            <family val="2"/>
          </rPr>
          <t>Graphics</t>
        </r>
        <r>
          <rPr>
            <sz val="10"/>
            <color indexed="81"/>
            <rFont val="Tahoma"/>
            <family val="2"/>
          </rPr>
          <t xml:space="preserve"> spreadsheet to plot derivatives by the </t>
        </r>
        <r>
          <rPr>
            <sz val="10"/>
            <color indexed="81"/>
            <rFont val="Symbol"/>
            <family val="1"/>
            <charset val="2"/>
          </rPr>
          <t>D</t>
        </r>
        <r>
          <rPr>
            <sz val="10"/>
            <color indexed="81"/>
            <rFont val="Tahoma"/>
            <family val="2"/>
          </rPr>
          <t>pH/</t>
        </r>
        <r>
          <rPr>
            <sz val="10"/>
            <color indexed="81"/>
            <rFont val="Symbol"/>
            <family val="1"/>
            <charset val="2"/>
          </rPr>
          <t>D</t>
        </r>
        <r>
          <rPr>
            <sz val="10"/>
            <color indexed="81"/>
            <rFont val="Tahoma"/>
            <family val="2"/>
          </rPr>
          <t>V</t>
        </r>
        <r>
          <rPr>
            <sz val="10"/>
            <color indexed="81"/>
            <rFont val="Tahoma"/>
            <family val="2"/>
          </rPr>
          <t xml:space="preserve"> aproximation and to overlay curves.
- Use </t>
        </r>
        <r>
          <rPr>
            <b/>
            <sz val="10"/>
            <color indexed="81"/>
            <rFont val="Tahoma"/>
            <family val="2"/>
          </rPr>
          <t>Evaluation</t>
        </r>
        <r>
          <rPr>
            <sz val="10"/>
            <color indexed="81"/>
            <rFont val="Tahoma"/>
            <family val="2"/>
          </rPr>
          <t xml:space="preserve"> to generate first and second derivative curves with interpolation and smoothig and to accurately locate inflection points of real and simulated titration curves.
- Use </t>
        </r>
        <r>
          <rPr>
            <b/>
            <sz val="10"/>
            <color indexed="81"/>
            <rFont val="Tahoma"/>
            <family val="2"/>
          </rPr>
          <t>Distribution</t>
        </r>
        <r>
          <rPr>
            <sz val="10"/>
            <color indexed="81"/>
            <rFont val="Tahoma"/>
            <family val="2"/>
          </rPr>
          <t xml:space="preserve"> to obtain de fractional composition and the mean protonation level of the bases during the titration as well as in function of pH.</t>
        </r>
      </text>
    </comment>
    <comment ref="S38" authorId="1" shapeId="0" xr:uid="{00000000-0006-0000-0200-000038000000}">
      <text>
        <r>
          <rPr>
            <b/>
            <sz val="8"/>
            <color indexed="81"/>
            <rFont val="Tahoma"/>
            <family val="2"/>
          </rPr>
          <t>Gutz:</t>
        </r>
        <r>
          <rPr>
            <sz val="8"/>
            <color indexed="81"/>
            <rFont val="Tahoma"/>
            <family val="2"/>
          </rPr>
          <t xml:space="preserve">
</t>
        </r>
        <r>
          <rPr>
            <sz val="10"/>
            <color indexed="81"/>
            <rFont val="Tahoma"/>
            <family val="2"/>
          </rPr>
          <t xml:space="preserve">- Use </t>
        </r>
        <r>
          <rPr>
            <b/>
            <sz val="10"/>
            <color indexed="81"/>
            <rFont val="Tahoma"/>
            <family val="2"/>
          </rPr>
          <t>Evaluation</t>
        </r>
        <r>
          <rPr>
            <sz val="10"/>
            <color indexed="81"/>
            <rFont val="Tahoma"/>
            <family val="2"/>
          </rPr>
          <t xml:space="preserve"> to accurately evaluate well defined inflection points on real and simulated titration curves, assisted by cubic splines smoothing and interpolation
- Use </t>
        </r>
        <r>
          <rPr>
            <b/>
            <sz val="10"/>
            <color indexed="81"/>
            <rFont val="Tahoma"/>
            <family val="2"/>
          </rPr>
          <t>Regression</t>
        </r>
        <r>
          <rPr>
            <sz val="10"/>
            <color indexed="81"/>
            <rFont val="Tahoma"/>
            <family val="2"/>
          </rPr>
          <t xml:space="preserve"> to refine the concentrations of analytes and/or pK values of real or simulated titration curves by nonlinear multiparametric regression and to analyse complex curves, with hidden inflections (some learning required)
Data transfer from </t>
        </r>
        <r>
          <rPr>
            <b/>
            <sz val="10"/>
            <color indexed="81"/>
            <rFont val="Tahoma"/>
            <family val="2"/>
          </rPr>
          <t>Simulation</t>
        </r>
        <r>
          <rPr>
            <sz val="10"/>
            <color indexed="81"/>
            <rFont val="Tahoma"/>
            <family val="2"/>
          </rPr>
          <t xml:space="preserve"> to </t>
        </r>
        <r>
          <rPr>
            <b/>
            <sz val="10"/>
            <color indexed="81"/>
            <rFont val="Tahoma"/>
            <family val="2"/>
          </rPr>
          <t xml:space="preserve">Evaluation </t>
        </r>
        <r>
          <rPr>
            <sz val="10"/>
            <color indexed="81"/>
            <rFont val="Tahoma"/>
            <family val="2"/>
          </rPr>
          <t xml:space="preserve">or </t>
        </r>
        <r>
          <rPr>
            <b/>
            <sz val="10"/>
            <color indexed="81"/>
            <rFont val="Tahoma"/>
            <family val="2"/>
          </rPr>
          <t>Regression</t>
        </r>
        <r>
          <rPr>
            <sz val="10"/>
            <color indexed="81"/>
            <rFont val="Tahoma"/>
            <family val="2"/>
          </rPr>
          <t>:
- Copy data of columns A and B from line 41 on
- When evaluating the effect of dispersion (simulation of experimental errors), copy columns A and D instead (select column A, press Ctrl and select column D)</t>
        </r>
      </text>
    </comment>
    <comment ref="A39" authorId="1" shapeId="0" xr:uid="{00000000-0006-0000-0200-000039000000}">
      <text>
        <r>
          <rPr>
            <b/>
            <sz val="8"/>
            <color indexed="81"/>
            <rFont val="Tahoma"/>
            <family val="2"/>
          </rPr>
          <t>Gutz:</t>
        </r>
        <r>
          <rPr>
            <sz val="8"/>
            <color indexed="81"/>
            <rFont val="Tahoma"/>
            <family val="2"/>
          </rPr>
          <t xml:space="preserve">
</t>
        </r>
        <r>
          <rPr>
            <sz val="10"/>
            <color indexed="81"/>
            <rFont val="Tahoma"/>
            <family val="2"/>
          </rPr>
          <t xml:space="preserve">Data transfer from </t>
        </r>
        <r>
          <rPr>
            <b/>
            <sz val="10"/>
            <color indexed="81"/>
            <rFont val="Tahoma"/>
            <family val="2"/>
          </rPr>
          <t>Simulation</t>
        </r>
        <r>
          <rPr>
            <sz val="10"/>
            <color indexed="81"/>
            <rFont val="Tahoma"/>
            <family val="2"/>
          </rPr>
          <t xml:space="preserve"> to </t>
        </r>
        <r>
          <rPr>
            <b/>
            <sz val="10"/>
            <color indexed="81"/>
            <rFont val="Tahoma"/>
            <family val="2"/>
          </rPr>
          <t>Evaluation</t>
        </r>
        <r>
          <rPr>
            <sz val="10"/>
            <color indexed="81"/>
            <rFont val="Tahoma"/>
            <family val="2"/>
          </rPr>
          <t xml:space="preserve"> or </t>
        </r>
        <r>
          <rPr>
            <b/>
            <sz val="10"/>
            <color indexed="81"/>
            <rFont val="Tahoma"/>
            <family val="2"/>
          </rPr>
          <t>Regression:</t>
        </r>
        <r>
          <rPr>
            <sz val="10"/>
            <color indexed="81"/>
            <rFont val="Tahoma"/>
            <family val="2"/>
          </rPr>
          <t xml:space="preserve">
- Copy data of columns A and B from line 41 on
- When evaluating the effect of dispersion (simulation of experimental errors), copy columns A and D instead (select column A, press Ctrl and select column D)
- Paste data in columns A and B of the destination spreadsheet</t>
        </r>
      </text>
    </comment>
    <comment ref="B39" authorId="0" shapeId="0" xr:uid="{00000000-0006-0000-0200-00003A000000}">
      <text>
        <r>
          <rPr>
            <b/>
            <sz val="8"/>
            <color indexed="81"/>
            <rFont val="Tahoma"/>
            <family val="2"/>
          </rPr>
          <t>Gutz:</t>
        </r>
        <r>
          <rPr>
            <sz val="8"/>
            <color indexed="81"/>
            <rFont val="Tahoma"/>
            <family val="2"/>
          </rPr>
          <t xml:space="preserve">
</t>
        </r>
        <r>
          <rPr>
            <sz val="10"/>
            <color indexed="81"/>
            <rFont val="Tahoma"/>
            <family val="2"/>
          </rPr>
          <t>Ionic interactions can be neglected in the simulation of the behavior of visual indicators during titration of diluted acids and bases. Therefore, the effect of the ionic strength, I, on the activity coefficients of the ions is neglected in the “pH” calculations of the Titration module while it is taken in account in the pH calculations of the</t>
        </r>
        <r>
          <rPr>
            <b/>
            <sz val="10"/>
            <color indexed="81"/>
            <rFont val="Tahoma"/>
            <family val="2"/>
          </rPr>
          <t xml:space="preserve"> pH_calc</t>
        </r>
        <r>
          <rPr>
            <sz val="10"/>
            <color indexed="81"/>
            <rFont val="Tahoma"/>
            <family val="2"/>
          </rPr>
          <t xml:space="preserve">, </t>
        </r>
        <r>
          <rPr>
            <b/>
            <sz val="10"/>
            <color indexed="81"/>
            <rFont val="Tahoma"/>
            <family val="2"/>
          </rPr>
          <t>Simulation</t>
        </r>
        <r>
          <rPr>
            <sz val="10"/>
            <color indexed="81"/>
            <rFont val="Tahoma"/>
            <family val="2"/>
          </rPr>
          <t xml:space="preserve"> and </t>
        </r>
        <r>
          <rPr>
            <b/>
            <sz val="10"/>
            <color indexed="81"/>
            <rFont val="Tahoma"/>
            <family val="2"/>
          </rPr>
          <t>Regression</t>
        </r>
        <r>
          <rPr>
            <sz val="10"/>
            <color indexed="81"/>
            <rFont val="Tahoma"/>
            <family val="2"/>
          </rPr>
          <t xml:space="preserve"> modules, where more information is available in the comments. 
The use of “pH” instead of pH does not change the volume of the inflections nor does it appreciably change the general shape of the pH vs. volume curves besides a slight vertical shift in some regions, with little effect on the color transition range of the visual indicator. </t>
        </r>
      </text>
    </comment>
    <comment ref="C39" authorId="1" shapeId="0" xr:uid="{00000000-0006-0000-0200-00003B000000}">
      <text>
        <r>
          <rPr>
            <b/>
            <sz val="8"/>
            <color indexed="81"/>
            <rFont val="Tahoma"/>
            <family val="2"/>
          </rPr>
          <t>Gutz:</t>
        </r>
        <r>
          <rPr>
            <sz val="8"/>
            <color indexed="81"/>
            <rFont val="Tahoma"/>
            <family val="2"/>
          </rPr>
          <t xml:space="preserve">
</t>
        </r>
        <r>
          <rPr>
            <sz val="10"/>
            <color indexed="81"/>
            <rFont val="Tahoma"/>
            <family val="2"/>
          </rPr>
          <t>This column repeats the values of column A only when F25 is checked, in order to display the graphic.</t>
        </r>
      </text>
    </comment>
    <comment ref="D39" authorId="1" shapeId="0" xr:uid="{00000000-0006-0000-0200-00003C000000}">
      <text>
        <r>
          <rPr>
            <b/>
            <sz val="8"/>
            <color indexed="81"/>
            <rFont val="Tahoma"/>
            <family val="2"/>
          </rPr>
          <t>Gutz:</t>
        </r>
        <r>
          <rPr>
            <sz val="8"/>
            <color indexed="81"/>
            <rFont val="Tahoma"/>
            <family val="2"/>
          </rPr>
          <t xml:space="preserve">
</t>
        </r>
        <r>
          <rPr>
            <sz val="10"/>
            <color indexed="81"/>
            <rFont val="Tahoma"/>
            <family val="2"/>
          </rPr>
          <t>This column repeats the values of column B only when F25 is checked, in order to display the graphic.</t>
        </r>
      </text>
    </comment>
    <comment ref="E39" authorId="1" shapeId="0" xr:uid="{00000000-0006-0000-0200-00003D000000}">
      <text>
        <r>
          <rPr>
            <b/>
            <sz val="8"/>
            <color indexed="81"/>
            <rFont val="Tahoma"/>
            <family val="2"/>
          </rPr>
          <t>Gutz:</t>
        </r>
        <r>
          <rPr>
            <sz val="8"/>
            <color indexed="81"/>
            <rFont val="Tahoma"/>
            <family val="2"/>
          </rPr>
          <t xml:space="preserve">
</t>
        </r>
        <r>
          <rPr>
            <sz val="10"/>
            <color indexed="81"/>
            <rFont val="Tahoma"/>
            <family val="2"/>
          </rPr>
          <t>Free hydrated proton concentration (or activity)</t>
        </r>
      </text>
    </comment>
    <comment ref="F39" authorId="1" shapeId="0" xr:uid="{00000000-0006-0000-0200-00003E000000}">
      <text>
        <r>
          <rPr>
            <b/>
            <sz val="8"/>
            <color indexed="81"/>
            <rFont val="Tahoma"/>
            <family val="2"/>
          </rPr>
          <t>Gutz:</t>
        </r>
        <r>
          <rPr>
            <sz val="8"/>
            <color indexed="81"/>
            <rFont val="Tahoma"/>
            <family val="2"/>
          </rPr>
          <t xml:space="preserve">
</t>
        </r>
        <r>
          <rPr>
            <sz val="10"/>
            <color indexed="81"/>
            <rFont val="Tahoma"/>
            <family val="2"/>
          </rPr>
          <t>Total concentration of H+ required to satisfy all protonation equilibria, using the general equation, the concentration s of line 11 and the pKas given or under refinement.</t>
        </r>
      </text>
    </comment>
    <comment ref="G39" authorId="1" shapeId="0" xr:uid="{00000000-0006-0000-0200-00003F000000}">
      <text>
        <r>
          <rPr>
            <b/>
            <sz val="10"/>
            <color indexed="81"/>
            <rFont val="Tahoma"/>
            <family val="2"/>
          </rPr>
          <t>Gutz:</t>
        </r>
        <r>
          <rPr>
            <sz val="10"/>
            <color indexed="81"/>
            <rFont val="Tahoma"/>
            <family val="2"/>
          </rPr>
          <t xml:space="preserve">
Dilution factor of the titrant when added to the sample (+water). For example, when the added titrant equals the volume of sample (+water), the factor is 0.5
</t>
        </r>
      </text>
    </comment>
    <comment ref="H39" authorId="1" shapeId="0" xr:uid="{00000000-0006-0000-0200-000040000000}">
      <text>
        <r>
          <rPr>
            <b/>
            <sz val="8"/>
            <color indexed="81"/>
            <rFont val="Tahoma"/>
            <family val="2"/>
          </rPr>
          <t>Gutz:</t>
        </r>
        <r>
          <rPr>
            <sz val="8"/>
            <color indexed="81"/>
            <rFont val="Tahoma"/>
            <family val="2"/>
          </rPr>
          <t xml:space="preserve">
</t>
        </r>
        <r>
          <rPr>
            <sz val="10"/>
            <color indexed="81"/>
            <rFont val="Tahoma"/>
            <family val="2"/>
          </rPr>
          <t>Dilution factor of the sample by optional addition of water (at the beginning) and addition of titrant during the experiment</t>
        </r>
      </text>
    </comment>
    <comment ref="I39" authorId="1" shapeId="0" xr:uid="{00000000-0006-0000-0200-000041000000}">
      <text>
        <r>
          <rPr>
            <b/>
            <sz val="8"/>
            <color indexed="81"/>
            <rFont val="Tahoma"/>
            <family val="2"/>
          </rPr>
          <t>Gutz:</t>
        </r>
        <r>
          <rPr>
            <sz val="8"/>
            <color indexed="81"/>
            <rFont val="Tahoma"/>
            <family val="2"/>
          </rPr>
          <t xml:space="preserve">
</t>
        </r>
        <r>
          <rPr>
            <sz val="10"/>
            <color indexed="81"/>
            <rFont val="Tahoma"/>
            <family val="2"/>
          </rPr>
          <t xml:space="preserve">Mean proton number, </t>
        </r>
        <r>
          <rPr>
            <strike/>
            <sz val="10"/>
            <color indexed="81"/>
            <rFont val="Tahoma"/>
            <family val="2"/>
          </rPr>
          <t>h</t>
        </r>
        <r>
          <rPr>
            <sz val="10"/>
            <color indexed="81"/>
            <rFont val="Tahoma"/>
            <family val="2"/>
          </rPr>
          <t xml:space="preserve">,  associated with a  base B at given pH. 
Consider HiB as partially dissociated at a given pH; </t>
        </r>
        <r>
          <rPr>
            <strike/>
            <sz val="10"/>
            <color indexed="81"/>
            <rFont val="Tahoma"/>
            <family val="2"/>
          </rPr>
          <t>h</t>
        </r>
        <r>
          <rPr>
            <sz val="10"/>
            <color indexed="81"/>
            <rFont val="Tahoma"/>
            <family val="2"/>
          </rPr>
          <t xml:space="preserve"> is the sum of the molar fraction times</t>
        </r>
        <r>
          <rPr>
            <b/>
            <sz val="10"/>
            <color indexed="81"/>
            <rFont val="Tahoma"/>
            <family val="2"/>
          </rPr>
          <t xml:space="preserve"> i</t>
        </r>
        <r>
          <rPr>
            <sz val="10"/>
            <color indexed="81"/>
            <rFont val="Tahoma"/>
            <family val="2"/>
          </rPr>
          <t xml:space="preserve"> of each species.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Gutz</author>
    <author>GPQAI-51</author>
    <author>Ivano Gebhardt Rolf Gutz</author>
    <author>gtz</author>
  </authors>
  <commentList>
    <comment ref="G1" authorId="0" shapeId="0" xr:uid="{00000000-0006-0000-0300-000001000000}">
      <text>
        <r>
          <rPr>
            <b/>
            <sz val="10"/>
            <color indexed="81"/>
            <rFont val="Tahoma"/>
            <family val="2"/>
          </rPr>
          <t xml:space="preserve"> "Hands on" the "Simulation of Titration Curves":</t>
        </r>
        <r>
          <rPr>
            <sz val="10"/>
            <color indexed="81"/>
            <rFont val="Tahoma"/>
            <family val="2"/>
          </rPr>
          <t xml:space="preserve">
Obs.: If you haven't learned how and for what acids and bases are titrated, perhaps you should have a look at the Wikipedia or go through a tutorial, e.g., http://www.chemguide.co.uk/physical/acidbaseeqia/phcurves.html and practice with the </t>
        </r>
        <r>
          <rPr>
            <b/>
            <sz val="10"/>
            <color indexed="81"/>
            <rFont val="Tahoma"/>
            <family val="2"/>
          </rPr>
          <t>Titration</t>
        </r>
        <r>
          <rPr>
            <sz val="10"/>
            <color indexed="81"/>
            <rFont val="Tahoma"/>
            <family val="2"/>
          </rPr>
          <t xml:space="preserve"> module first.
Always use the most recent version available at the author’s site http://www.iq.usp.br/gutz/Curtipot_.html, choosing between CurTiPot and CurTiPot option I – the same full program plus balloons with first steps for beginners.
- Click on the button "Delete retained curves" (cell A32) - </t>
        </r>
        <r>
          <rPr>
            <i/>
            <sz val="10"/>
            <color indexed="81"/>
            <rFont val="Tahoma"/>
            <family val="2"/>
          </rPr>
          <t xml:space="preserve">all but the last simulated curve will disappear;
</t>
        </r>
        <r>
          <rPr>
            <sz val="10"/>
            <color indexed="81"/>
            <rFont val="Tahoma"/>
            <family val="2"/>
          </rPr>
          <t xml:space="preserve">- click on the button "Titrate with constant volume additions" (A28) - </t>
        </r>
        <r>
          <rPr>
            <i/>
            <sz val="10"/>
            <color indexed="81"/>
            <rFont val="Tahoma"/>
            <family val="2"/>
          </rPr>
          <t xml:space="preserve"> the default titration of 20 mL of 0.07 mol/L H3PO4 with 0.1 mol/L NaOH will be generated  with 50 additions of 1 ml  of titrant;
</t>
        </r>
        <r>
          <rPr>
            <sz val="10"/>
            <color indexed="81"/>
            <rFont val="Tahoma"/>
            <family val="2"/>
          </rPr>
          <t xml:space="preserve">- click on "Titrate with constant pH increments" (A24) - </t>
        </r>
        <r>
          <rPr>
            <i/>
            <sz val="10"/>
            <color indexed="81"/>
            <rFont val="Tahoma"/>
            <family val="2"/>
          </rPr>
          <t xml:space="preserve"> notice the difference in data distribution;</t>
        </r>
        <r>
          <rPr>
            <sz val="10"/>
            <color indexed="81"/>
            <rFont val="Tahoma"/>
            <family val="2"/>
          </rPr>
          <t xml:space="preserve">
- click on "Retain curve" (A30);
- alternate between "pH" and pH with buttons at cells A22 and A23 and observe the effect of considering/ignoring ionic interactions
- change the H</t>
        </r>
        <r>
          <rPr>
            <vertAlign val="subscript"/>
            <sz val="12"/>
            <color indexed="81"/>
            <rFont val="Tahoma"/>
            <family val="2"/>
          </rPr>
          <t>3</t>
        </r>
        <r>
          <rPr>
            <sz val="10"/>
            <color indexed="81"/>
            <rFont val="Tahoma"/>
            <family val="2"/>
          </rPr>
          <t>PO</t>
        </r>
        <r>
          <rPr>
            <vertAlign val="subscript"/>
            <sz val="12"/>
            <color indexed="81"/>
            <rFont val="Tahoma"/>
            <family val="2"/>
          </rPr>
          <t>4</t>
        </r>
        <r>
          <rPr>
            <sz val="10"/>
            <color indexed="81"/>
            <rFont val="Tahoma"/>
            <family val="2"/>
          </rPr>
          <t xml:space="preserve"> concentration in (C7), press Enter;
- titrate again and retain the curve;
- change pKa2 (cell M6) from 7.2 to 9.2 (Enter) and titrate;
- click on K2 or L2, select another acid; click on J2; 
...
- observe the effect of CO</t>
        </r>
        <r>
          <rPr>
            <vertAlign val="subscript"/>
            <sz val="12"/>
            <color indexed="81"/>
            <rFont val="Tahoma"/>
            <family val="2"/>
          </rPr>
          <t>2</t>
        </r>
        <r>
          <rPr>
            <sz val="10"/>
            <color indexed="81"/>
            <rFont val="Tahoma"/>
            <family val="2"/>
          </rPr>
          <t xml:space="preserve"> absorption by NaOH solution by writing 0.001 in D16;
- add other components to the mixture and titrate;
- add random experimental error to the curve filling values in cells J17 and J18 (e.g., 0.03 and 0.1);
- titrate a phosphate buffer of Na</t>
        </r>
        <r>
          <rPr>
            <vertAlign val="subscript"/>
            <sz val="12"/>
            <color indexed="81"/>
            <rFont val="Tahoma"/>
            <family val="2"/>
          </rPr>
          <t>2</t>
        </r>
        <r>
          <rPr>
            <sz val="10"/>
            <color indexed="81"/>
            <rFont val="Tahoma"/>
            <family val="2"/>
          </rPr>
          <t>HPO</t>
        </r>
        <r>
          <rPr>
            <vertAlign val="subscript"/>
            <sz val="12"/>
            <color indexed="81"/>
            <rFont val="Tahoma"/>
            <family val="2"/>
          </rPr>
          <t>4</t>
        </r>
        <r>
          <rPr>
            <sz val="10"/>
            <color indexed="81"/>
            <rFont val="Tahoma"/>
            <family val="2"/>
          </rPr>
          <t xml:space="preserve"> + NaH</t>
        </r>
        <r>
          <rPr>
            <vertAlign val="subscript"/>
            <sz val="12"/>
            <color indexed="81"/>
            <rFont val="Tahoma"/>
            <family val="2"/>
          </rPr>
          <t>2</t>
        </r>
        <r>
          <rPr>
            <sz val="10"/>
            <color indexed="81"/>
            <rFont val="Tahoma"/>
            <family val="2"/>
          </rPr>
          <t>PO</t>
        </r>
        <r>
          <rPr>
            <vertAlign val="subscript"/>
            <sz val="12"/>
            <color indexed="81"/>
            <rFont val="Tahoma"/>
            <family val="2"/>
          </rPr>
          <t xml:space="preserve">4 </t>
        </r>
        <r>
          <rPr>
            <sz val="10"/>
            <color indexed="81"/>
            <rFont val="Tahoma"/>
            <family val="2"/>
          </rPr>
          <t xml:space="preserve">with strong base, retain the curve and titrate it also with strong acid;
- use your imagination to continue...
</t>
        </r>
        <r>
          <rPr>
            <b/>
            <sz val="10"/>
            <color indexed="81"/>
            <rFont val="Tahoma"/>
            <family val="2"/>
          </rPr>
          <t>Remark</t>
        </r>
        <r>
          <rPr>
            <sz val="10"/>
            <color indexed="81"/>
            <rFont val="Tahoma"/>
            <family val="2"/>
          </rPr>
          <t>: This module of CurTiPot generates curves of "pH" vs. volume and pH vs. volume taking in account exclusively acid base equilibrium in aqueous solution; any other kind of chemical reaction is ignored. Read comments in cells B22, P15, O16 and O17 to distinguish "pH" from pH. 
The table starting at line 41 includes "pH" or pH (=-log activity of H</t>
        </r>
        <r>
          <rPr>
            <vertAlign val="superscript"/>
            <sz val="10"/>
            <color indexed="81"/>
            <rFont val="Tahoma"/>
            <family val="2"/>
          </rPr>
          <t>+</t>
        </r>
        <r>
          <rPr>
            <sz val="10"/>
            <color indexed="81"/>
            <rFont val="Tahoma"/>
            <family val="2"/>
          </rPr>
          <t>) in column B, as well as p[H] (=-log of the concentration of H</t>
        </r>
        <r>
          <rPr>
            <vertAlign val="superscript"/>
            <sz val="10"/>
            <color indexed="81"/>
            <rFont val="Tahoma"/>
            <family val="2"/>
          </rPr>
          <t>+</t>
        </r>
        <r>
          <rPr>
            <sz val="10"/>
            <color indexed="81"/>
            <rFont val="Tahoma"/>
            <family val="2"/>
          </rPr>
          <t xml:space="preserve">), in column V, besides the activity coefficient and the ionic strength.
Refer to the </t>
        </r>
        <r>
          <rPr>
            <b/>
            <sz val="10"/>
            <color indexed="81"/>
            <rFont val="Tahoma"/>
            <family val="2"/>
          </rPr>
          <t>pH_calc</t>
        </r>
        <r>
          <rPr>
            <sz val="10"/>
            <color indexed="81"/>
            <rFont val="Tahoma"/>
            <family val="2"/>
          </rPr>
          <t xml:space="preserve"> module for a more complete description of all equilibrium parameters at a given composition of a solution.
</t>
        </r>
        <r>
          <rPr>
            <b/>
            <sz val="10"/>
            <color indexed="81"/>
            <rFont val="Tahoma"/>
            <family val="2"/>
          </rPr>
          <t>Copyright</t>
        </r>
        <r>
          <rPr>
            <sz val="10"/>
            <color indexed="81"/>
            <rFont val="Tahoma"/>
            <family val="2"/>
          </rPr>
          <t>: This acid-base titration curve simulator is an expanded Excel version of the original Turbo Basic for DOS program CURTIPOT launched by the Author in 1992.
                 Prof. Dr.  Ivano G. R. Gutz
                  www2.iq.usp.br/docente/gutz</t>
        </r>
      </text>
    </comment>
    <comment ref="M1" authorId="0" shapeId="0" xr:uid="{00000000-0006-0000-0300-000002000000}">
      <text>
        <r>
          <rPr>
            <b/>
            <sz val="8"/>
            <color indexed="81"/>
            <rFont val="Tahoma"/>
            <family val="2"/>
          </rPr>
          <t>Gutz:</t>
        </r>
        <r>
          <rPr>
            <sz val="8"/>
            <color indexed="81"/>
            <rFont val="Tahoma"/>
            <family val="2"/>
          </rPr>
          <t xml:space="preserve">
</t>
        </r>
        <r>
          <rPr>
            <sz val="10"/>
            <color indexed="81"/>
            <rFont val="Tahoma"/>
            <family val="2"/>
          </rPr>
          <t xml:space="preserve">Selecting/editing names, charges and pKas. Options:
a) Write directly in the cells K3 to Q10 and R3 to T6; 
b) Click on names in line 2, slide along the list, click on another name; finally, click on J2 to load the constants from the </t>
        </r>
        <r>
          <rPr>
            <b/>
            <sz val="10"/>
            <color indexed="81"/>
            <rFont val="Tahoma"/>
            <family val="2"/>
          </rPr>
          <t>Database</t>
        </r>
        <r>
          <rPr>
            <sz val="10"/>
            <color indexed="81"/>
            <rFont val="Tahoma"/>
            <family val="2"/>
          </rPr>
          <t>.
Frequently used acids/bases missing in the Database can be added to it for further use.</t>
        </r>
      </text>
    </comment>
    <comment ref="S2" authorId="0" shapeId="0" xr:uid="{00000000-0006-0000-0300-000003000000}">
      <text>
        <r>
          <rPr>
            <b/>
            <sz val="8"/>
            <color indexed="81"/>
            <rFont val="Tahoma"/>
            <family val="2"/>
          </rPr>
          <t>Gutz:</t>
        </r>
        <r>
          <rPr>
            <sz val="8"/>
            <color indexed="81"/>
            <rFont val="Tahoma"/>
            <family val="2"/>
          </rPr>
          <t xml:space="preserve">
</t>
        </r>
        <r>
          <rPr>
            <sz val="10"/>
            <color indexed="81"/>
            <rFont val="Tahoma"/>
            <family val="2"/>
          </rPr>
          <t>The titrant may contain up to three diprotic reagents (other than the default ones).
Names and constants must be changed manually.</t>
        </r>
      </text>
    </comment>
    <comment ref="AF2" authorId="0" shapeId="0" xr:uid="{00000000-0006-0000-0300-000004000000}">
      <text>
        <r>
          <rPr>
            <b/>
            <sz val="8"/>
            <color indexed="81"/>
            <rFont val="Tahoma"/>
            <family val="2"/>
          </rPr>
          <t xml:space="preserve">Gutz: 
</t>
        </r>
        <r>
          <rPr>
            <sz val="10"/>
            <color indexed="81"/>
            <rFont val="Tahoma"/>
            <family val="2"/>
          </rPr>
          <t>The pKas shown here are copied automatically from the Database by changing K2 to Q2. 
See U5 to understand why 
pKa1 = -logKpn</t>
        </r>
      </text>
    </comment>
    <comment ref="A3" authorId="0" shapeId="0" xr:uid="{00000000-0006-0000-0300-000005000000}">
      <text>
        <r>
          <rPr>
            <b/>
            <sz val="8"/>
            <color indexed="81"/>
            <rFont val="Tahoma"/>
            <family val="2"/>
          </rPr>
          <t>Gutz:</t>
        </r>
        <r>
          <rPr>
            <sz val="8"/>
            <color indexed="81"/>
            <rFont val="Tahoma"/>
            <family val="2"/>
          </rPr>
          <t xml:space="preserve">
</t>
        </r>
        <r>
          <rPr>
            <sz val="10"/>
            <color indexed="81"/>
            <rFont val="Tahoma"/>
            <family val="2"/>
          </rPr>
          <t>The titrand is the sample to be evaluated by titration with a strong acid or strong base.
The concentrations entered in cells B4 to H10 refer to the sample before dilution with water, if cell G17&gt;0, but all calculated pHs and graphics take this dilution of the titrand in account. 
Typically, 5 to 25 mL of titrand (cell F17) are carefully measured and placed in a beaker, a combined glass electrode (connected to a pH meter) and a magnetic stirrer bar are introduced and water is added (cell G17) till the sensor and the reference electrode junction are immersed.
A titration is carried out by adding small aliquots of titrant (usually with a buret or motor driven syringe) and registering the pH after stabilization of the reading.</t>
        </r>
      </text>
    </comment>
    <comment ref="B3" authorId="0" shapeId="0" xr:uid="{00000000-0006-0000-0300-000006000000}">
      <text>
        <r>
          <rPr>
            <b/>
            <sz val="8"/>
            <color indexed="81"/>
            <rFont val="Tahoma"/>
            <family val="2"/>
          </rPr>
          <t>Gutz:</t>
        </r>
        <r>
          <rPr>
            <sz val="10"/>
            <color indexed="81"/>
            <rFont val="Tahoma"/>
            <family val="2"/>
          </rPr>
          <t xml:space="preserve">
See comment in cell M1 on how to change acids and bases.
Fill in (or leave blank) the concentrations in mol/L. The green underline identifies the cell of the base protonated to neutrality (e.g. H</t>
        </r>
        <r>
          <rPr>
            <vertAlign val="subscript"/>
            <sz val="12"/>
            <color indexed="81"/>
            <rFont val="Tahoma"/>
            <family val="2"/>
          </rPr>
          <t>3</t>
        </r>
        <r>
          <rPr>
            <sz val="10"/>
            <color indexed="81"/>
            <rFont val="Tahoma"/>
            <family val="2"/>
          </rPr>
          <t>PO</t>
        </r>
        <r>
          <rPr>
            <vertAlign val="subscript"/>
            <sz val="12"/>
            <color indexed="81"/>
            <rFont val="Tahoma"/>
            <family val="2"/>
          </rPr>
          <t>4</t>
        </r>
        <r>
          <rPr>
            <sz val="10"/>
            <color indexed="81"/>
            <rFont val="Tahoma"/>
            <family val="2"/>
          </rPr>
          <t xml:space="preserve"> for phosphate or H</t>
        </r>
        <r>
          <rPr>
            <vertAlign val="subscript"/>
            <sz val="12"/>
            <color indexed="81"/>
            <rFont val="Tahoma"/>
            <family val="2"/>
          </rPr>
          <t>4</t>
        </r>
        <r>
          <rPr>
            <sz val="10"/>
            <color indexed="81"/>
            <rFont val="Tahoma"/>
            <family val="2"/>
          </rPr>
          <t>EDTA for EDTA).</t>
        </r>
      </text>
    </comment>
    <comment ref="R3" authorId="0" shapeId="0" xr:uid="{00000000-0006-0000-0300-000007000000}">
      <text>
        <r>
          <rPr>
            <b/>
            <sz val="8"/>
            <color indexed="81"/>
            <rFont val="Tahoma"/>
            <family val="2"/>
          </rPr>
          <t>Gutz:</t>
        </r>
        <r>
          <rPr>
            <sz val="8"/>
            <color indexed="81"/>
            <rFont val="Tahoma"/>
            <family val="2"/>
          </rPr>
          <t xml:space="preserve">
</t>
        </r>
        <r>
          <rPr>
            <sz val="10"/>
            <color indexed="81"/>
            <rFont val="Tahoma"/>
            <family val="2"/>
          </rPr>
          <t>Strong acids like HCl or HClO</t>
        </r>
        <r>
          <rPr>
            <vertAlign val="subscript"/>
            <sz val="10"/>
            <color indexed="81"/>
            <rFont val="Tahoma"/>
            <family val="2"/>
          </rPr>
          <t>4</t>
        </r>
        <r>
          <rPr>
            <sz val="10"/>
            <color indexed="81"/>
            <rFont val="Tahoma"/>
            <family val="2"/>
          </rPr>
          <t xml:space="preserve"> have negative pKas, possibly -6 or lower.
For a diprotic titrant like H</t>
        </r>
        <r>
          <rPr>
            <vertAlign val="subscript"/>
            <sz val="12"/>
            <color indexed="81"/>
            <rFont val="Tahoma"/>
            <family val="2"/>
          </rPr>
          <t>2</t>
        </r>
        <r>
          <rPr>
            <sz val="10"/>
            <color indexed="81"/>
            <rFont val="Tahoma"/>
            <family val="2"/>
          </rPr>
          <t>SO</t>
        </r>
        <r>
          <rPr>
            <vertAlign val="subscript"/>
            <sz val="12"/>
            <color indexed="81"/>
            <rFont val="Tahoma"/>
            <family val="2"/>
          </rPr>
          <t>4</t>
        </r>
        <r>
          <rPr>
            <sz val="10"/>
            <color indexed="81"/>
            <rFont val="Tahoma"/>
            <family val="2"/>
          </rPr>
          <t>, use pKa1 = -6 and pKa2 = 1.8.
Any other mono- or biprotonable acid or base and its pKas can be written in this column.</t>
        </r>
      </text>
    </comment>
    <comment ref="S3" authorId="0" shapeId="0" xr:uid="{00000000-0006-0000-0300-000008000000}">
      <text>
        <r>
          <rPr>
            <b/>
            <sz val="8"/>
            <color indexed="81"/>
            <rFont val="Tahoma"/>
            <family val="2"/>
          </rPr>
          <t>Gutz:</t>
        </r>
        <r>
          <rPr>
            <sz val="8"/>
            <color indexed="81"/>
            <rFont val="Tahoma"/>
            <family val="2"/>
          </rPr>
          <t xml:space="preserve">
</t>
        </r>
        <r>
          <rPr>
            <sz val="10"/>
            <color indexed="81"/>
            <rFont val="Tahoma"/>
            <family val="2"/>
          </rPr>
          <t>The accepted value of the pKa (=log Kp) of the strong base  OH- is 15,745 at 25ºC and infinite dilution. As I increases, the activity coefficient of OH- decreases (as can be checked with module pH_calc), and more specific interaction can occur with cations, so that lower values are sometimes mentioned in the literature (see references in the Database for details).
Any other mono- or biprotonable acid or base and its pKas can be written in this column.</t>
        </r>
      </text>
    </comment>
    <comment ref="T3" authorId="0" shapeId="0" xr:uid="{00000000-0006-0000-0300-000009000000}">
      <text>
        <r>
          <rPr>
            <b/>
            <sz val="8"/>
            <color indexed="81"/>
            <rFont val="Tahoma"/>
            <family val="2"/>
          </rPr>
          <t>Gutz:</t>
        </r>
        <r>
          <rPr>
            <sz val="8"/>
            <color indexed="81"/>
            <rFont val="Tahoma"/>
            <family val="2"/>
          </rPr>
          <t xml:space="preserve">
</t>
        </r>
        <r>
          <rPr>
            <sz val="10"/>
            <color indexed="81"/>
            <rFont val="Tahoma"/>
            <family val="2"/>
          </rPr>
          <t>Aqueous solutions exposed to air or stored in (gas permeable) plastic flasks are always contaminated with CO</t>
        </r>
        <r>
          <rPr>
            <vertAlign val="subscript"/>
            <sz val="12"/>
            <color indexed="81"/>
            <rFont val="Tahoma"/>
            <family val="2"/>
          </rPr>
          <t>2</t>
        </r>
        <r>
          <rPr>
            <sz val="10"/>
            <color indexed="81"/>
            <rFont val="Tahoma"/>
            <family val="2"/>
          </rPr>
          <t>. Thus, it is advisable to include the carbonic acid system in simulations and regressions. But any other mono- or diprotic system can be specified here.
The pKa</t>
        </r>
        <r>
          <rPr>
            <vertAlign val="subscript"/>
            <sz val="12"/>
            <color indexed="81"/>
            <rFont val="Tahoma"/>
            <family val="2"/>
          </rPr>
          <t>1</t>
        </r>
        <r>
          <rPr>
            <sz val="10"/>
            <color indexed="81"/>
            <rFont val="Tahoma"/>
            <family val="2"/>
          </rPr>
          <t xml:space="preserve"> from the Database for H2CO3 is apparent. By considering the fraction of dissolved CO</t>
        </r>
        <r>
          <rPr>
            <vertAlign val="subscript"/>
            <sz val="12"/>
            <color indexed="81"/>
            <rFont val="Tahoma"/>
            <family val="2"/>
          </rPr>
          <t>2</t>
        </r>
        <r>
          <rPr>
            <sz val="10"/>
            <color indexed="81"/>
            <rFont val="Tahoma"/>
            <family val="2"/>
          </rPr>
          <t xml:space="preserve">  converted in H</t>
        </r>
        <r>
          <rPr>
            <vertAlign val="subscript"/>
            <sz val="12"/>
            <color indexed="81"/>
            <rFont val="Tahoma"/>
            <family val="2"/>
          </rPr>
          <t>2</t>
        </r>
        <r>
          <rPr>
            <sz val="10"/>
            <color indexed="81"/>
            <rFont val="Tahoma"/>
            <family val="2"/>
          </rPr>
          <t>CO</t>
        </r>
        <r>
          <rPr>
            <vertAlign val="subscript"/>
            <sz val="12"/>
            <color indexed="81"/>
            <rFont val="Tahoma"/>
            <family val="2"/>
          </rPr>
          <t>3</t>
        </r>
        <r>
          <rPr>
            <sz val="10"/>
            <color indexed="81"/>
            <rFont val="Tahoma"/>
            <family val="2"/>
          </rPr>
          <t xml:space="preserve"> (most of it remains as CO</t>
        </r>
        <r>
          <rPr>
            <vertAlign val="subscript"/>
            <sz val="12"/>
            <color indexed="81"/>
            <rFont val="Tahoma"/>
            <family val="2"/>
          </rPr>
          <t>2</t>
        </r>
        <r>
          <rPr>
            <sz val="10"/>
            <color indexed="81"/>
            <rFont val="Tahoma"/>
            <family val="2"/>
          </rPr>
          <t>(aq)) a "true" pKa1 of 3.58 is found.</t>
        </r>
      </text>
    </comment>
    <comment ref="A4" authorId="0" shapeId="0" xr:uid="{00000000-0006-0000-0300-00000A000000}">
      <text>
        <r>
          <rPr>
            <b/>
            <sz val="8"/>
            <color indexed="81"/>
            <rFont val="Tahoma"/>
            <family val="2"/>
          </rPr>
          <t xml:space="preserve">Gutz: 
</t>
        </r>
        <r>
          <rPr>
            <sz val="10"/>
            <color indexed="81"/>
            <rFont val="Tahoma"/>
            <family val="2"/>
          </rPr>
          <t>Leave blank/fill out with the concentration (mol/L) of fully deprotonated base (of a conjugated acid) added to the solution, e.g.: [Na</t>
        </r>
        <r>
          <rPr>
            <vertAlign val="subscript"/>
            <sz val="10"/>
            <color indexed="81"/>
            <rFont val="Tahoma"/>
            <family val="2"/>
          </rPr>
          <t>2</t>
        </r>
        <r>
          <rPr>
            <sz val="10"/>
            <color indexed="81"/>
            <rFont val="Tahoma"/>
            <family val="2"/>
          </rPr>
          <t>CO</t>
        </r>
        <r>
          <rPr>
            <vertAlign val="subscript"/>
            <sz val="10"/>
            <color indexed="81"/>
            <rFont val="Tahoma"/>
            <family val="2"/>
          </rPr>
          <t>3</t>
        </r>
        <r>
          <rPr>
            <sz val="10"/>
            <color indexed="81"/>
            <rFont val="Tahoma"/>
            <family val="2"/>
          </rPr>
          <t>], [Na</t>
        </r>
        <r>
          <rPr>
            <vertAlign val="subscript"/>
            <sz val="10"/>
            <color indexed="81"/>
            <rFont val="Tahoma"/>
            <family val="2"/>
          </rPr>
          <t>3</t>
        </r>
        <r>
          <rPr>
            <sz val="10"/>
            <color indexed="81"/>
            <rFont val="Tahoma"/>
            <family val="2"/>
          </rPr>
          <t>PO</t>
        </r>
        <r>
          <rPr>
            <vertAlign val="subscript"/>
            <sz val="10"/>
            <color indexed="81"/>
            <rFont val="Tahoma"/>
            <family val="2"/>
          </rPr>
          <t>4</t>
        </r>
        <r>
          <rPr>
            <sz val="10"/>
            <color indexed="81"/>
            <rFont val="Tahoma"/>
            <family val="2"/>
          </rPr>
          <t>], [NH</t>
        </r>
        <r>
          <rPr>
            <vertAlign val="subscript"/>
            <sz val="10"/>
            <color indexed="81"/>
            <rFont val="Tahoma"/>
            <family val="2"/>
          </rPr>
          <t>4</t>
        </r>
        <r>
          <rPr>
            <sz val="10"/>
            <color indexed="81"/>
            <rFont val="Tahoma"/>
            <family val="2"/>
          </rPr>
          <t>OH], [pyridine] or [Na</t>
        </r>
        <r>
          <rPr>
            <vertAlign val="subscript"/>
            <sz val="10"/>
            <color indexed="81"/>
            <rFont val="Tahoma"/>
            <family val="2"/>
          </rPr>
          <t>4</t>
        </r>
        <r>
          <rPr>
            <sz val="10"/>
            <color indexed="81"/>
            <rFont val="Tahoma"/>
            <family val="2"/>
          </rPr>
          <t>EDTA].
The green underline indicates the cell of the base protonated to neutrality.</t>
        </r>
      </text>
    </comment>
    <comment ref="J4" authorId="0" shapeId="0" xr:uid="{00000000-0006-0000-0300-00000B000000}">
      <text>
        <r>
          <rPr>
            <b/>
            <sz val="8"/>
            <color indexed="81"/>
            <rFont val="Tahoma"/>
            <family val="2"/>
          </rPr>
          <t xml:space="preserve">Gutz: 
</t>
        </r>
        <r>
          <rPr>
            <sz val="10"/>
            <color indexed="81"/>
            <rFont val="Tahoma"/>
            <family val="2"/>
          </rPr>
          <t>Charge of the most deprotonated species of an acid or base in accordance with the highest pKa for the system, e.g., 
 0 for NH3 or pyridine
-1 for acetate/acetic acid
-2 for carbonate//carbonic acid
-3 for phosphate///phosphoric acid 
-4 for EDTA</t>
        </r>
      </text>
    </comment>
    <comment ref="A5" authorId="0" shapeId="0" xr:uid="{00000000-0006-0000-0300-00000C000000}">
      <text>
        <r>
          <rPr>
            <b/>
            <sz val="8"/>
            <color indexed="81"/>
            <rFont val="Tahoma"/>
            <family val="2"/>
          </rPr>
          <t>Gutz:</t>
        </r>
        <r>
          <rPr>
            <sz val="8"/>
            <color indexed="81"/>
            <rFont val="Tahoma"/>
            <family val="2"/>
          </rPr>
          <t xml:space="preserve">
</t>
        </r>
        <r>
          <rPr>
            <sz val="10"/>
            <color indexed="81"/>
            <rFont val="Tahoma"/>
            <family val="2"/>
          </rPr>
          <t>Leave blank</t>
        </r>
        <r>
          <rPr>
            <b/>
            <sz val="10"/>
            <color indexed="81"/>
            <rFont val="Tahoma"/>
            <family val="2"/>
          </rPr>
          <t>/</t>
        </r>
        <r>
          <rPr>
            <sz val="10"/>
            <color indexed="81"/>
            <rFont val="Tahoma"/>
            <family val="2"/>
          </rPr>
          <t>fill out with the concentration (mol/L) of monoprotonated base (or acid, HB) to be considered in the simulation, e.g.: [Acetic acid], [NH</t>
        </r>
        <r>
          <rPr>
            <vertAlign val="subscript"/>
            <sz val="10"/>
            <color indexed="81"/>
            <rFont val="Tahoma"/>
            <family val="2"/>
          </rPr>
          <t>4</t>
        </r>
        <r>
          <rPr>
            <vertAlign val="superscript"/>
            <sz val="10"/>
            <color indexed="81"/>
            <rFont val="Tahoma"/>
            <family val="2"/>
          </rPr>
          <t>+</t>
        </r>
        <r>
          <rPr>
            <sz val="10"/>
            <color indexed="81"/>
            <rFont val="Tahoma"/>
            <family val="2"/>
          </rPr>
          <t>], [pyridonium], [NaHCO</t>
        </r>
        <r>
          <rPr>
            <vertAlign val="subscript"/>
            <sz val="10"/>
            <color indexed="81"/>
            <rFont val="Tahoma"/>
            <family val="2"/>
          </rPr>
          <t>3</t>
        </r>
        <r>
          <rPr>
            <sz val="10"/>
            <color indexed="81"/>
            <rFont val="Tahoma"/>
            <family val="2"/>
          </rPr>
          <t>] or [Na</t>
        </r>
        <r>
          <rPr>
            <vertAlign val="subscript"/>
            <sz val="10"/>
            <color indexed="81"/>
            <rFont val="Tahoma"/>
            <family val="2"/>
          </rPr>
          <t>2</t>
        </r>
        <r>
          <rPr>
            <sz val="10"/>
            <color indexed="81"/>
            <rFont val="Tahoma"/>
            <family val="2"/>
          </rPr>
          <t>HPO</t>
        </r>
        <r>
          <rPr>
            <vertAlign val="subscript"/>
            <sz val="10"/>
            <color indexed="81"/>
            <rFont val="Tahoma"/>
            <family val="2"/>
          </rPr>
          <t>4</t>
        </r>
        <r>
          <rPr>
            <sz val="10"/>
            <color indexed="81"/>
            <rFont val="Tahoma"/>
            <family val="2"/>
          </rPr>
          <t>]</t>
        </r>
      </text>
    </comment>
    <comment ref="J5" authorId="0" shapeId="0" xr:uid="{00000000-0006-0000-0300-00000D000000}">
      <text>
        <r>
          <rPr>
            <b/>
            <sz val="8"/>
            <color indexed="81"/>
            <rFont val="Tahoma"/>
            <family val="2"/>
          </rPr>
          <t xml:space="preserve">Gutz: 
</t>
        </r>
        <r>
          <rPr>
            <sz val="10"/>
            <color indexed="81"/>
            <rFont val="Tahoma"/>
            <family val="2"/>
          </rPr>
          <t>Options:
a) pKa</t>
        </r>
        <r>
          <rPr>
            <vertAlign val="subscript"/>
            <sz val="12"/>
            <color indexed="81"/>
            <rFont val="Tahoma"/>
            <family val="2"/>
          </rPr>
          <t>1</t>
        </r>
        <r>
          <rPr>
            <sz val="10"/>
            <color indexed="81"/>
            <rFont val="Tahoma"/>
            <family val="2"/>
          </rPr>
          <t xml:space="preserve"> , -logarithm of the dissociation constant of a monoprotic acid or first constant for a polyprotic system.
b) logKp</t>
        </r>
        <r>
          <rPr>
            <vertAlign val="subscript"/>
            <sz val="12"/>
            <color indexed="81"/>
            <rFont val="Tahoma"/>
            <family val="2"/>
          </rPr>
          <t>i,</t>
        </r>
        <r>
          <rPr>
            <sz val="10"/>
            <color indexed="81"/>
            <rFont val="Tahoma"/>
            <family val="2"/>
          </rPr>
          <t xml:space="preserve"> logarithm of the protonation constant of a (conjugated) base, with i=1 for a monoprotonable base and i= n (most deprotonated species) for polyprotic systems (more about at U5);
c) pK</t>
        </r>
        <r>
          <rPr>
            <vertAlign val="subscript"/>
            <sz val="12"/>
            <color indexed="81"/>
            <rFont val="Tahoma"/>
            <family val="2"/>
          </rPr>
          <t>w</t>
        </r>
        <r>
          <rPr>
            <sz val="10"/>
            <color indexed="81"/>
            <rFont val="Tahoma"/>
            <family val="2"/>
          </rPr>
          <t xml:space="preserve"> - pKb</t>
        </r>
        <r>
          <rPr>
            <vertAlign val="subscript"/>
            <sz val="12"/>
            <color indexed="81"/>
            <rFont val="Tahoma"/>
            <family val="2"/>
          </rPr>
          <t>i</t>
        </r>
        <r>
          <rPr>
            <sz val="10"/>
            <color indexed="81"/>
            <rFont val="Tahoma"/>
            <family val="2"/>
          </rPr>
          <t>, for -log of the dissociation constant  of a base, with i=1 for a monoprotonable base and i= n (most deprotonated species) for polyprotonable base.
Numerically, values of a, b e c are taken as similar.</t>
        </r>
      </text>
    </comment>
    <comment ref="U5" authorId="0" shapeId="0" xr:uid="{00000000-0006-0000-0300-00000E000000}">
      <text>
        <r>
          <rPr>
            <b/>
            <sz val="8"/>
            <color indexed="81"/>
            <rFont val="Tahoma"/>
            <family val="2"/>
          </rPr>
          <t>Gutz:</t>
        </r>
        <r>
          <rPr>
            <sz val="8"/>
            <color indexed="81"/>
            <rFont val="Tahoma"/>
            <family val="2"/>
          </rPr>
          <t xml:space="preserve">
</t>
        </r>
        <r>
          <rPr>
            <sz val="10"/>
            <color indexed="81"/>
            <rFont val="Tahoma"/>
            <family val="2"/>
          </rPr>
          <t>The betas are cumulative (or global) protonation constants, obtained by multiplying the protonation constants Kp from 1 to i, with i stepping up to n, the maximum number of protons accepted by a (conjugated) base (same as the maximum number of dissociable protons of an acid, but in reversed order).
Note that pKa = logKp for a monoprotic acid (because Kp = 1/Kd or pKd = 1/logKd ) and, for multiprotic systems, the first logKp is the last pKa.
Protonation constants, Kp, and betas are preferred here in agreement with the most extensive compilations of equilibrium constants, e.g., Critical Stability Constants, Vol. 1–4 (complete references in the Database), and because the equations become unified with those used for metal-ligand-proton equilibria, based on formation (instead of dissociation) constants.</t>
        </r>
      </text>
    </comment>
    <comment ref="AF5" authorId="0" shapeId="0" xr:uid="{00000000-0006-0000-0300-00000F000000}">
      <text>
        <r>
          <rPr>
            <b/>
            <sz val="8"/>
            <color indexed="81"/>
            <rFont val="Tahoma"/>
            <family val="2"/>
          </rPr>
          <t>Gutz:</t>
        </r>
        <r>
          <rPr>
            <sz val="8"/>
            <color indexed="81"/>
            <rFont val="Tahoma"/>
            <family val="2"/>
          </rPr>
          <t xml:space="preserve">
</t>
        </r>
        <r>
          <rPr>
            <sz val="10"/>
            <color indexed="81"/>
            <rFont val="Tahoma"/>
            <family val="2"/>
          </rPr>
          <t>See U5 to understand why pKa1 = logKpn</t>
        </r>
      </text>
    </comment>
    <comment ref="A6" authorId="0" shapeId="0" xr:uid="{00000000-0006-0000-0300-000010000000}">
      <text>
        <r>
          <rPr>
            <b/>
            <sz val="8"/>
            <color indexed="81"/>
            <rFont val="Tahoma"/>
            <family val="2"/>
          </rPr>
          <t xml:space="preserve">Gutz: 
</t>
        </r>
        <r>
          <rPr>
            <sz val="10"/>
            <color indexed="81"/>
            <rFont val="Tahoma"/>
            <family val="2"/>
          </rPr>
          <t>Leave blank</t>
        </r>
        <r>
          <rPr>
            <b/>
            <sz val="10"/>
            <color indexed="81"/>
            <rFont val="Tahoma"/>
            <family val="2"/>
          </rPr>
          <t>/</t>
        </r>
        <r>
          <rPr>
            <sz val="10"/>
            <color indexed="81"/>
            <rFont val="Tahoma"/>
            <family val="2"/>
          </rPr>
          <t>fill out with the concentration (mol/L) of biprotonated base (H</t>
        </r>
        <r>
          <rPr>
            <vertAlign val="subscript"/>
            <sz val="10"/>
            <color indexed="81"/>
            <rFont val="Tahoma"/>
            <family val="2"/>
          </rPr>
          <t>2</t>
        </r>
        <r>
          <rPr>
            <sz val="10"/>
            <color indexed="81"/>
            <rFont val="Tahoma"/>
            <family val="2"/>
          </rPr>
          <t>B) to be considered in the simulation, e.g.:  [H</t>
        </r>
        <r>
          <rPr>
            <vertAlign val="subscript"/>
            <sz val="10"/>
            <color indexed="81"/>
            <rFont val="Tahoma"/>
            <family val="2"/>
          </rPr>
          <t>2</t>
        </r>
        <r>
          <rPr>
            <sz val="10"/>
            <color indexed="81"/>
            <rFont val="Tahoma"/>
            <family val="2"/>
          </rPr>
          <t>CO</t>
        </r>
        <r>
          <rPr>
            <vertAlign val="subscript"/>
            <sz val="10"/>
            <color indexed="81"/>
            <rFont val="Tahoma"/>
            <family val="2"/>
          </rPr>
          <t>3</t>
        </r>
        <r>
          <rPr>
            <sz val="10"/>
            <color indexed="81"/>
            <rFont val="Tahoma"/>
            <family val="2"/>
          </rPr>
          <t>],  [H</t>
        </r>
        <r>
          <rPr>
            <vertAlign val="subscript"/>
            <sz val="10"/>
            <color indexed="81"/>
            <rFont val="Tahoma"/>
            <family val="2"/>
          </rPr>
          <t>2</t>
        </r>
        <r>
          <rPr>
            <sz val="10"/>
            <color indexed="81"/>
            <rFont val="Tahoma"/>
            <family val="2"/>
          </rPr>
          <t>Na</t>
        </r>
        <r>
          <rPr>
            <vertAlign val="subscript"/>
            <sz val="10"/>
            <color indexed="81"/>
            <rFont val="Tahoma"/>
            <family val="2"/>
          </rPr>
          <t>2</t>
        </r>
        <r>
          <rPr>
            <sz val="10"/>
            <color indexed="81"/>
            <rFont val="Tahoma"/>
            <family val="2"/>
          </rPr>
          <t>EDTA] or [NaH</t>
        </r>
        <r>
          <rPr>
            <vertAlign val="subscript"/>
            <sz val="10"/>
            <color indexed="81"/>
            <rFont val="Tahoma"/>
            <family val="2"/>
          </rPr>
          <t>2</t>
        </r>
        <r>
          <rPr>
            <sz val="10"/>
            <color indexed="81"/>
            <rFont val="Tahoma"/>
            <family val="2"/>
          </rPr>
          <t>PO</t>
        </r>
        <r>
          <rPr>
            <vertAlign val="subscript"/>
            <sz val="10"/>
            <color indexed="81"/>
            <rFont val="Tahoma"/>
            <family val="2"/>
          </rPr>
          <t>4</t>
        </r>
        <r>
          <rPr>
            <sz val="10"/>
            <color indexed="81"/>
            <rFont val="Tahoma"/>
            <family val="2"/>
          </rPr>
          <t>]</t>
        </r>
      </text>
    </comment>
    <comment ref="J6" authorId="0" shapeId="0" xr:uid="{00000000-0006-0000-0300-000011000000}">
      <text>
        <r>
          <rPr>
            <b/>
            <sz val="8"/>
            <color indexed="81"/>
            <rFont val="Tahoma"/>
            <family val="2"/>
          </rPr>
          <t xml:space="preserve">Gutz: 
</t>
        </r>
        <r>
          <rPr>
            <sz val="10"/>
            <color indexed="81"/>
            <rFont val="Tahoma"/>
            <family val="2"/>
          </rPr>
          <t>Options:
a) pKa</t>
        </r>
        <r>
          <rPr>
            <vertAlign val="subscript"/>
            <sz val="12"/>
            <color indexed="81"/>
            <rFont val="Tahoma"/>
            <family val="2"/>
          </rPr>
          <t>2</t>
        </r>
        <r>
          <rPr>
            <sz val="10"/>
            <color indexed="81"/>
            <rFont val="Tahoma"/>
            <family val="2"/>
          </rPr>
          <t xml:space="preserve"> , -log of the 2</t>
        </r>
        <r>
          <rPr>
            <vertAlign val="superscript"/>
            <sz val="12"/>
            <color indexed="81"/>
            <rFont val="Tahoma"/>
            <family val="2"/>
          </rPr>
          <t>nd</t>
        </r>
        <r>
          <rPr>
            <sz val="10"/>
            <color indexed="81"/>
            <rFont val="Tahoma"/>
            <family val="2"/>
          </rPr>
          <t xml:space="preserve"> dissociation constant of a diprotic or polyprotic acid; 
b) logKp</t>
        </r>
        <r>
          <rPr>
            <vertAlign val="subscript"/>
            <sz val="12"/>
            <color indexed="81"/>
            <rFont val="Tahoma"/>
            <family val="2"/>
          </rPr>
          <t>i,</t>
        </r>
        <r>
          <rPr>
            <sz val="10"/>
            <color indexed="81"/>
            <rFont val="Tahoma"/>
            <family val="2"/>
          </rPr>
          <t xml:space="preserve"> log of the first protonation constant of a diprotonable (conjugated) base or i=n-1 for a system with n protonations;
c) pK</t>
        </r>
        <r>
          <rPr>
            <vertAlign val="subscript"/>
            <sz val="12"/>
            <color indexed="81"/>
            <rFont val="Tahoma"/>
            <family val="2"/>
          </rPr>
          <t>w</t>
        </r>
        <r>
          <rPr>
            <sz val="10"/>
            <color indexed="81"/>
            <rFont val="Tahoma"/>
            <family val="2"/>
          </rPr>
          <t xml:space="preserve"> - pKb</t>
        </r>
        <r>
          <rPr>
            <vertAlign val="subscript"/>
            <sz val="12"/>
            <color indexed="81"/>
            <rFont val="Tahoma"/>
            <family val="2"/>
          </rPr>
          <t>i</t>
        </r>
        <r>
          <rPr>
            <sz val="10"/>
            <color indexed="81"/>
            <rFont val="Tahoma"/>
            <family val="2"/>
          </rPr>
          <t xml:space="preserve"> with i=1 for a diprotonable base or i=n-1 for a base with n protonations; for a monoprotonable base, leave blank.</t>
        </r>
      </text>
    </comment>
    <comment ref="A7" authorId="0" shapeId="0" xr:uid="{00000000-0006-0000-0300-000012000000}">
      <text>
        <r>
          <rPr>
            <b/>
            <sz val="8"/>
            <color indexed="81"/>
            <rFont val="Tahoma"/>
            <family val="2"/>
          </rPr>
          <t>Gutz:</t>
        </r>
        <r>
          <rPr>
            <sz val="8"/>
            <color indexed="81"/>
            <rFont val="Tahoma"/>
            <family val="2"/>
          </rPr>
          <t xml:space="preserve">
</t>
        </r>
        <r>
          <rPr>
            <sz val="10"/>
            <color indexed="81"/>
            <rFont val="Tahoma"/>
            <family val="2"/>
          </rPr>
          <t>Leave blank</t>
        </r>
        <r>
          <rPr>
            <b/>
            <sz val="10"/>
            <color indexed="81"/>
            <rFont val="Tahoma"/>
            <family val="2"/>
          </rPr>
          <t>/</t>
        </r>
        <r>
          <rPr>
            <sz val="10"/>
            <color indexed="81"/>
            <rFont val="Tahoma"/>
            <family val="2"/>
          </rPr>
          <t>fill out with the concentration (mol/L) of  triprotonated base (H</t>
        </r>
        <r>
          <rPr>
            <vertAlign val="subscript"/>
            <sz val="10"/>
            <color indexed="81"/>
            <rFont val="Tahoma"/>
            <family val="2"/>
          </rPr>
          <t>3</t>
        </r>
        <r>
          <rPr>
            <sz val="10"/>
            <color indexed="81"/>
            <rFont val="Tahoma"/>
            <family val="2"/>
          </rPr>
          <t>B) to be considered in the simulation, e.g.:  [H</t>
        </r>
        <r>
          <rPr>
            <vertAlign val="subscript"/>
            <sz val="10"/>
            <color indexed="81"/>
            <rFont val="Tahoma"/>
            <family val="2"/>
          </rPr>
          <t>3</t>
        </r>
        <r>
          <rPr>
            <sz val="10"/>
            <color indexed="81"/>
            <rFont val="Tahoma"/>
            <family val="2"/>
          </rPr>
          <t>PO4]</t>
        </r>
      </text>
    </comment>
    <comment ref="A8" authorId="1" shapeId="0" xr:uid="{00000000-0006-0000-0300-000013000000}">
      <text>
        <r>
          <rPr>
            <b/>
            <sz val="8"/>
            <color indexed="81"/>
            <rFont val="Tahoma"/>
            <family val="2"/>
          </rPr>
          <t>GPQAI-51:</t>
        </r>
        <r>
          <rPr>
            <sz val="8"/>
            <color indexed="81"/>
            <rFont val="Tahoma"/>
            <family val="2"/>
          </rPr>
          <t xml:space="preserve">
</t>
        </r>
        <r>
          <rPr>
            <sz val="10"/>
            <color indexed="81"/>
            <rFont val="Tahoma"/>
            <family val="2"/>
          </rPr>
          <t>[H</t>
        </r>
        <r>
          <rPr>
            <vertAlign val="subscript"/>
            <sz val="12"/>
            <color indexed="81"/>
            <rFont val="Tahoma"/>
            <family val="2"/>
          </rPr>
          <t>4</t>
        </r>
        <r>
          <rPr>
            <sz val="10"/>
            <color indexed="81"/>
            <rFont val="Tahoma"/>
            <family val="2"/>
          </rPr>
          <t>EDTA] is green undelined because tetraprotonated EDTA is neutral.</t>
        </r>
      </text>
    </comment>
    <comment ref="A11" authorId="0" shapeId="0" xr:uid="{00000000-0006-0000-0300-000014000000}">
      <text>
        <r>
          <rPr>
            <b/>
            <sz val="8"/>
            <color indexed="81"/>
            <rFont val="Tahoma"/>
            <family val="2"/>
          </rPr>
          <t>Gutz:</t>
        </r>
        <r>
          <rPr>
            <sz val="8"/>
            <color indexed="81"/>
            <rFont val="Tahoma"/>
            <family val="2"/>
          </rPr>
          <t xml:space="preserve">
</t>
        </r>
        <r>
          <rPr>
            <sz val="10"/>
            <color indexed="81"/>
            <rFont val="Tahoma"/>
            <family val="2"/>
          </rPr>
          <t>Sum of concentrations of all forms of base B introduced in the titrand (e.g., [HB] + [H</t>
        </r>
        <r>
          <rPr>
            <vertAlign val="subscript"/>
            <sz val="10"/>
            <color indexed="81"/>
            <rFont val="Tahoma"/>
            <family val="2"/>
          </rPr>
          <t>2</t>
        </r>
        <r>
          <rPr>
            <sz val="10"/>
            <color indexed="81"/>
            <rFont val="Tahoma"/>
            <family val="2"/>
          </rPr>
          <t>B] + [H</t>
        </r>
        <r>
          <rPr>
            <vertAlign val="subscript"/>
            <sz val="10"/>
            <color indexed="81"/>
            <rFont val="Tahoma"/>
            <family val="2"/>
          </rPr>
          <t>3</t>
        </r>
        <r>
          <rPr>
            <sz val="10"/>
            <color indexed="81"/>
            <rFont val="Tahoma"/>
            <family val="2"/>
          </rPr>
          <t xml:space="preserve">B]) </t>
        </r>
      </text>
    </comment>
    <comment ref="B11" authorId="2" shapeId="0" xr:uid="{00000000-0006-0000-0300-000015000000}">
      <text>
        <r>
          <rPr>
            <b/>
            <sz val="8"/>
            <color indexed="81"/>
            <rFont val="Tahoma"/>
            <family val="2"/>
          </rPr>
          <t>Gutz</t>
        </r>
        <r>
          <rPr>
            <b/>
            <sz val="8"/>
            <color indexed="81"/>
            <rFont val="Tahoma"/>
            <family val="2"/>
          </rPr>
          <t>:</t>
        </r>
        <r>
          <rPr>
            <sz val="8"/>
            <color indexed="81"/>
            <rFont val="Tahoma"/>
            <family val="2"/>
          </rPr>
          <t xml:space="preserve">
</t>
        </r>
        <r>
          <rPr>
            <sz val="10"/>
            <color indexed="81"/>
            <rFont val="Tahoma"/>
            <family val="2"/>
          </rPr>
          <t>Do NOT write in this cell or any other one of the same color, not to corrupt  the equations.</t>
        </r>
      </text>
    </comment>
    <comment ref="I11" authorId="0" shapeId="0" xr:uid="{00000000-0006-0000-0300-000016000000}">
      <text>
        <r>
          <rPr>
            <b/>
            <sz val="8"/>
            <color indexed="81"/>
            <rFont val="Tahoma"/>
            <family val="2"/>
          </rPr>
          <t>Gutz:</t>
        </r>
        <r>
          <rPr>
            <sz val="8"/>
            <color indexed="81"/>
            <rFont val="Tahoma"/>
            <family val="2"/>
          </rPr>
          <t xml:space="preserve">
</t>
        </r>
        <r>
          <rPr>
            <sz val="10"/>
            <color indexed="81"/>
            <rFont val="Tahoma"/>
            <family val="2"/>
          </rPr>
          <t>Total concentration of each base (regardless of the protonation level of the added component) in columns B to H; grand total in column I.</t>
        </r>
      </text>
    </comment>
    <comment ref="J11" authorId="0" shapeId="0" xr:uid="{00000000-0006-0000-0300-000017000000}">
      <text>
        <r>
          <rPr>
            <b/>
            <sz val="8"/>
            <color indexed="81"/>
            <rFont val="Tahoma"/>
            <family val="2"/>
          </rPr>
          <t>Gutz:</t>
        </r>
        <r>
          <rPr>
            <sz val="8"/>
            <color indexed="81"/>
            <rFont val="Tahoma"/>
            <family val="2"/>
          </rPr>
          <t xml:space="preserve">
</t>
        </r>
        <r>
          <rPr>
            <sz val="10"/>
            <color indexed="81"/>
            <rFont val="Tahoma"/>
            <family val="2"/>
          </rPr>
          <t>The ionic dissociation product of water changes with temperature and ionic strength, I. For pure water at 25ºC, the accepted value is 13.997 (or 14.00). 
Values corrected for I can be calculated with module pH_calc.</t>
        </r>
      </text>
    </comment>
    <comment ref="A12" authorId="0" shapeId="0" xr:uid="{00000000-0006-0000-0300-000018000000}">
      <text>
        <r>
          <rPr>
            <b/>
            <sz val="8"/>
            <color indexed="81"/>
            <rFont val="Tahoma"/>
            <family val="2"/>
          </rPr>
          <t>Gutz:</t>
        </r>
        <r>
          <rPr>
            <sz val="8"/>
            <color indexed="81"/>
            <rFont val="Tahoma"/>
            <family val="2"/>
          </rPr>
          <t xml:space="preserve">
</t>
        </r>
        <r>
          <rPr>
            <sz val="10"/>
            <color indexed="81"/>
            <rFont val="Tahoma"/>
            <family val="2"/>
          </rPr>
          <t>Maximum H</t>
        </r>
        <r>
          <rPr>
            <vertAlign val="superscript"/>
            <sz val="10"/>
            <color indexed="81"/>
            <rFont val="Tahoma"/>
            <family val="2"/>
          </rPr>
          <t>+</t>
        </r>
        <r>
          <rPr>
            <sz val="10"/>
            <color indexed="81"/>
            <rFont val="Tahoma"/>
            <family val="2"/>
          </rPr>
          <t xml:space="preserve"> concentration available from full deprotonation of all forms of H</t>
        </r>
        <r>
          <rPr>
            <vertAlign val="subscript"/>
            <sz val="10"/>
            <color indexed="81"/>
            <rFont val="Tahoma"/>
            <family val="2"/>
          </rPr>
          <t>i</t>
        </r>
        <r>
          <rPr>
            <sz val="10"/>
            <color indexed="81"/>
            <rFont val="Tahoma"/>
            <family val="2"/>
          </rPr>
          <t>B used in the formulation of the titrand (e.g., [HB] + 2[H</t>
        </r>
        <r>
          <rPr>
            <vertAlign val="subscript"/>
            <sz val="10"/>
            <color indexed="81"/>
            <rFont val="Tahoma"/>
            <family val="2"/>
          </rPr>
          <t>2</t>
        </r>
        <r>
          <rPr>
            <sz val="10"/>
            <color indexed="81"/>
            <rFont val="Tahoma"/>
            <family val="2"/>
          </rPr>
          <t>B] + 3[H</t>
        </r>
        <r>
          <rPr>
            <vertAlign val="subscript"/>
            <sz val="10"/>
            <color indexed="81"/>
            <rFont val="Tahoma"/>
            <family val="2"/>
          </rPr>
          <t>3</t>
        </r>
        <r>
          <rPr>
            <sz val="10"/>
            <color indexed="81"/>
            <rFont val="Tahoma"/>
            <family val="2"/>
          </rPr>
          <t>B])</t>
        </r>
      </text>
    </comment>
    <comment ref="I12" authorId="0" shapeId="0" xr:uid="{00000000-0006-0000-0300-000019000000}">
      <text>
        <r>
          <rPr>
            <b/>
            <sz val="8"/>
            <color indexed="81"/>
            <rFont val="Tahoma"/>
            <family val="2"/>
          </rPr>
          <t>Gutz:</t>
        </r>
        <r>
          <rPr>
            <sz val="8"/>
            <color indexed="81"/>
            <rFont val="Tahoma"/>
            <family val="2"/>
          </rPr>
          <t xml:space="preserve">
</t>
        </r>
        <r>
          <rPr>
            <sz val="10"/>
            <color indexed="81"/>
            <rFont val="Tahoma"/>
            <family val="2"/>
          </rPr>
          <t>Maximum concentration of  H</t>
        </r>
        <r>
          <rPr>
            <vertAlign val="superscript"/>
            <sz val="10"/>
            <color indexed="81"/>
            <rFont val="Tahoma"/>
            <family val="2"/>
          </rPr>
          <t>+</t>
        </r>
        <r>
          <rPr>
            <sz val="10"/>
            <color indexed="81"/>
            <rFont val="Tahoma"/>
            <family val="2"/>
          </rPr>
          <t xml:space="preserve"> that could possibly be dissociated from all the components added to the solution.</t>
        </r>
      </text>
    </comment>
    <comment ref="A13" authorId="0" shapeId="0" xr:uid="{00000000-0006-0000-0300-00001A000000}">
      <text>
        <r>
          <rPr>
            <b/>
            <sz val="8"/>
            <color indexed="81"/>
            <rFont val="Tahoma"/>
            <family val="2"/>
          </rPr>
          <t>Gutz:</t>
        </r>
        <r>
          <rPr>
            <sz val="8"/>
            <color indexed="81"/>
            <rFont val="Tahoma"/>
            <family val="2"/>
          </rPr>
          <t xml:space="preserve">
</t>
        </r>
        <r>
          <rPr>
            <sz val="10"/>
            <color indexed="81"/>
            <rFont val="Tahoma"/>
            <family val="2"/>
          </rPr>
          <t>C</t>
        </r>
        <r>
          <rPr>
            <vertAlign val="subscript"/>
            <sz val="12"/>
            <color indexed="81"/>
            <rFont val="Tahoma"/>
            <family val="2"/>
          </rPr>
          <t>i</t>
        </r>
        <r>
          <rPr>
            <sz val="10"/>
            <color indexed="81"/>
            <rFont val="Tahoma"/>
            <family val="2"/>
          </rPr>
          <t>z</t>
        </r>
        <r>
          <rPr>
            <vertAlign val="subscript"/>
            <sz val="12"/>
            <color indexed="81"/>
            <rFont val="Tahoma"/>
            <family val="2"/>
          </rPr>
          <t>i</t>
        </r>
        <r>
          <rPr>
            <sz val="10"/>
            <color indexed="81"/>
            <rFont val="Tahoma"/>
            <family val="2"/>
          </rPr>
          <t xml:space="preserve"> = ion concentration times charge of the ion (e.g., 2</t>
        </r>
        <r>
          <rPr>
            <vertAlign val="superscript"/>
            <sz val="10"/>
            <color indexed="81"/>
            <rFont val="Tahoma"/>
            <family val="2"/>
          </rPr>
          <t>.</t>
        </r>
        <r>
          <rPr>
            <sz val="10"/>
            <color indexed="81"/>
            <rFont val="Tahoma"/>
            <family val="2"/>
          </rPr>
          <t>[Ca</t>
        </r>
        <r>
          <rPr>
            <vertAlign val="superscript"/>
            <sz val="12"/>
            <color indexed="81"/>
            <rFont val="Tahoma"/>
            <family val="2"/>
          </rPr>
          <t>2+</t>
        </r>
        <r>
          <rPr>
            <sz val="10"/>
            <color indexed="81"/>
            <rFont val="Tahoma"/>
            <family val="2"/>
          </rPr>
          <t>]).</t>
        </r>
      </text>
    </comment>
    <comment ref="D14" authorId="0" shapeId="0" xr:uid="{00000000-0006-0000-0300-00001B000000}">
      <text>
        <r>
          <rPr>
            <b/>
            <sz val="8"/>
            <color indexed="81"/>
            <rFont val="Tahoma"/>
            <family val="2"/>
          </rPr>
          <t>Gutz:</t>
        </r>
        <r>
          <rPr>
            <sz val="8"/>
            <color indexed="81"/>
            <rFont val="Tahoma"/>
            <family val="2"/>
          </rPr>
          <t xml:space="preserve">
</t>
        </r>
        <r>
          <rPr>
            <sz val="10"/>
            <color indexed="81"/>
            <rFont val="Tahoma"/>
            <family val="2"/>
          </rPr>
          <t>Aqueous solutions exposed to air or stored in (gas permeable) plastic flasks are always contaminated with CO</t>
        </r>
        <r>
          <rPr>
            <vertAlign val="subscript"/>
            <sz val="12"/>
            <color indexed="81"/>
            <rFont val="Tahoma"/>
            <family val="2"/>
          </rPr>
          <t>2</t>
        </r>
        <r>
          <rPr>
            <sz val="10"/>
            <color indexed="81"/>
            <rFont val="Tahoma"/>
            <family val="2"/>
          </rPr>
          <t xml:space="preserve">. Thus, it is advisable to include the carbonic acid system in simulations and regressions. 
However, any other mono- or diprotic acid/base system can be used instead in simulations. Its name and pKas should be filled out in column T.
</t>
        </r>
      </text>
    </comment>
    <comment ref="J14" authorId="3" shapeId="0" xr:uid="{00000000-0006-0000-0300-00001C000000}">
      <text>
        <r>
          <rPr>
            <b/>
            <sz val="9"/>
            <color indexed="81"/>
            <rFont val="Tahoma"/>
            <family val="2"/>
          </rPr>
          <t>Gutz:</t>
        </r>
        <r>
          <rPr>
            <sz val="9"/>
            <color indexed="81"/>
            <rFont val="Tahoma"/>
            <family val="2"/>
          </rPr>
          <t xml:space="preserve">
</t>
        </r>
        <r>
          <rPr>
            <sz val="10"/>
            <color indexed="81"/>
            <rFont val="Tahoma"/>
            <family val="2"/>
          </rPr>
          <t xml:space="preserve">Data needed for the calculation of the ionic strength, I, estimation of activity coefficients by the Davies equation (see comment in cell P15) and calculation of pH values (instead of "pH"). This data is not required for the simulation of  "pH" vs. volume curves.
Concentrations refer to the </t>
        </r>
        <r>
          <rPr>
            <b/>
            <sz val="10"/>
            <color indexed="81"/>
            <rFont val="Tahoma"/>
            <family val="2"/>
          </rPr>
          <t>sample</t>
        </r>
        <r>
          <rPr>
            <sz val="10"/>
            <color indexed="81"/>
            <rFont val="Tahoma"/>
            <family val="2"/>
          </rPr>
          <t xml:space="preserve"> (before eventual dilution with water)</t>
        </r>
      </text>
    </comment>
    <comment ref="B15" authorId="0" shapeId="0" xr:uid="{00000000-0006-0000-0300-00001D000000}">
      <text>
        <r>
          <rPr>
            <b/>
            <sz val="10"/>
            <color indexed="81"/>
            <rFont val="Tahoma"/>
            <family val="2"/>
          </rPr>
          <t>Gutz:</t>
        </r>
        <r>
          <rPr>
            <sz val="10"/>
            <color indexed="81"/>
            <rFont val="Tahoma"/>
            <family val="2"/>
          </rPr>
          <t xml:space="preserve">
Leave blank - this cell corresponds to the conjugated base of the acid, e.g., Cl- or NO</t>
        </r>
        <r>
          <rPr>
            <vertAlign val="subscript"/>
            <sz val="12"/>
            <color indexed="81"/>
            <rFont val="Tahoma"/>
            <family val="2"/>
          </rPr>
          <t>3</t>
        </r>
        <r>
          <rPr>
            <vertAlign val="superscript"/>
            <sz val="12"/>
            <color indexed="81"/>
            <rFont val="Tahoma"/>
            <family val="2"/>
          </rPr>
          <t>-</t>
        </r>
        <r>
          <rPr>
            <sz val="10"/>
            <color indexed="81"/>
            <rFont val="Tahoma"/>
            <family val="2"/>
          </rPr>
          <t>.</t>
        </r>
      </text>
    </comment>
    <comment ref="C15" authorId="0" shapeId="0" xr:uid="{00000000-0006-0000-0300-00001E000000}">
      <text>
        <r>
          <rPr>
            <b/>
            <sz val="10"/>
            <color indexed="81"/>
            <rFont val="Tahoma"/>
            <family val="2"/>
          </rPr>
          <t>Gutz:</t>
        </r>
        <r>
          <rPr>
            <sz val="10"/>
            <color indexed="81"/>
            <rFont val="Tahoma"/>
            <family val="2"/>
          </rPr>
          <t xml:space="preserve">
Leave blank/fill with de concentration of strong monoprotonable base used as titrant for acidic samples e.g., NaOH, KOH (or twice the mol/L concentration of Ca(OH)</t>
        </r>
        <r>
          <rPr>
            <vertAlign val="subscript"/>
            <sz val="10"/>
            <color indexed="81"/>
            <rFont val="Tahoma"/>
            <family val="2"/>
          </rPr>
          <t>2</t>
        </r>
        <r>
          <rPr>
            <sz val="10"/>
            <color indexed="81"/>
            <rFont val="Tahoma"/>
            <family val="2"/>
          </rPr>
          <t>)</t>
        </r>
      </text>
    </comment>
    <comment ref="D15" authorId="0" shapeId="0" xr:uid="{00000000-0006-0000-0300-00001F000000}">
      <text>
        <r>
          <rPr>
            <b/>
            <sz val="8"/>
            <color indexed="81"/>
            <rFont val="Tahoma"/>
            <family val="2"/>
          </rPr>
          <t>Gutz:</t>
        </r>
        <r>
          <rPr>
            <sz val="8"/>
            <color indexed="81"/>
            <rFont val="Tahoma"/>
            <family val="2"/>
          </rPr>
          <t xml:space="preserve">
</t>
        </r>
        <r>
          <rPr>
            <sz val="10"/>
            <color indexed="81"/>
            <rFont val="Tahoma"/>
            <family val="2"/>
          </rPr>
          <t>Leave blank/fill out with the concentration of carbonate, if used as titrant. 
To simulate the absorption of CO</t>
        </r>
        <r>
          <rPr>
            <vertAlign val="subscript"/>
            <sz val="10"/>
            <color indexed="81"/>
            <rFont val="Tahoma"/>
            <family val="2"/>
          </rPr>
          <t xml:space="preserve">2 </t>
        </r>
        <r>
          <rPr>
            <sz val="10"/>
            <color indexed="81"/>
            <rFont val="Tahoma"/>
            <family val="2"/>
          </rPr>
          <t>from the air by an alkaline titrant, leave blank and fill cell D16.</t>
        </r>
      </text>
    </comment>
    <comment ref="J15" authorId="3" shapeId="0" xr:uid="{00000000-0006-0000-0300-000020000000}">
      <text>
        <r>
          <rPr>
            <b/>
            <sz val="9"/>
            <color indexed="81"/>
            <rFont val="Tahoma"/>
            <family val="2"/>
          </rPr>
          <t>Gutz:</t>
        </r>
        <r>
          <rPr>
            <sz val="9"/>
            <color indexed="81"/>
            <rFont val="Tahoma"/>
            <family val="2"/>
          </rPr>
          <t xml:space="preserve">
</t>
        </r>
        <r>
          <rPr>
            <sz val="10"/>
            <color indexed="81"/>
            <rFont val="Tahoma"/>
            <family val="2"/>
          </rPr>
          <t xml:space="preserve">Minimum counterion concentration in the </t>
        </r>
        <r>
          <rPr>
            <b/>
            <sz val="10"/>
            <color indexed="81"/>
            <rFont val="Tahoma"/>
            <family val="2"/>
          </rPr>
          <t>sample</t>
        </r>
        <r>
          <rPr>
            <sz val="10"/>
            <color indexed="81"/>
            <rFont val="Tahoma"/>
            <family val="2"/>
          </rPr>
          <t xml:space="preserve"> calculated automatically to attain charge balance with the ingredients of the sample to be titrated, specified in cells B4 to H10. 
If water is added (cell G17&gt;0), concentrations appearing here for the </t>
        </r>
        <r>
          <rPr>
            <b/>
            <sz val="10"/>
            <color indexed="81"/>
            <rFont val="Tahoma"/>
            <family val="2"/>
          </rPr>
          <t>sample</t>
        </r>
        <r>
          <rPr>
            <sz val="10"/>
            <color indexed="81"/>
            <rFont val="Tahoma"/>
            <family val="2"/>
          </rPr>
          <t xml:space="preserve"> will be H17/F17 times lower in the </t>
        </r>
        <r>
          <rPr>
            <b/>
            <sz val="10"/>
            <color indexed="81"/>
            <rFont val="Tahoma"/>
            <family val="2"/>
          </rPr>
          <t>titrand</t>
        </r>
        <r>
          <rPr>
            <sz val="10"/>
            <color indexed="81"/>
            <rFont val="Tahoma"/>
            <family val="2"/>
          </rPr>
          <t>.
For example: simulation of the titration of a sample with 0.1 mol/L of acetate ions (one column, from B to H) and 0.1 mol/L NH</t>
        </r>
        <r>
          <rPr>
            <vertAlign val="subscript"/>
            <sz val="10"/>
            <color indexed="81"/>
            <rFont val="Tahoma"/>
            <family val="2"/>
          </rPr>
          <t>4</t>
        </r>
        <r>
          <rPr>
            <vertAlign val="superscript"/>
            <sz val="10"/>
            <color indexed="81"/>
            <rFont val="Tahoma"/>
            <family val="2"/>
          </rPr>
          <t>+</t>
        </r>
        <r>
          <rPr>
            <sz val="10"/>
            <color indexed="81"/>
            <rFont val="Tahoma"/>
            <family val="2"/>
          </rPr>
          <t xml:space="preserve"> (another, from B to H) will be taken as charge balanced (as if it were a solution of 0.1 mol/L ammonium acetate). 
If the simulation of the titration of a sample composed of sodium acetate and ammonium chloride is intended, the concentrations of 0.1 mol/L sodium and 0.1 mol/L chloride ions must be entered in cells K16 and  K17 respectively.</t>
        </r>
      </text>
    </comment>
    <comment ref="K15" authorId="3" shapeId="0" xr:uid="{00000000-0006-0000-0300-000021000000}">
      <text>
        <r>
          <rPr>
            <b/>
            <sz val="9"/>
            <color indexed="81"/>
            <rFont val="Tahoma"/>
            <family val="2"/>
          </rPr>
          <t>Gutz:</t>
        </r>
        <r>
          <rPr>
            <sz val="9"/>
            <color indexed="81"/>
            <rFont val="Tahoma"/>
            <family val="2"/>
          </rPr>
          <t xml:space="preserve">
</t>
        </r>
        <r>
          <rPr>
            <sz val="10"/>
            <color indexed="81"/>
            <rFont val="Tahoma"/>
            <family val="2"/>
          </rPr>
          <t xml:space="preserve">The presence of strong electrolytes (besides the minimum of counterions calculated in cells J15 and J16) can be specified in column K.
CurTiPot assumes that values entered in K16 and K17 (as well as in B4 to H10) for the </t>
        </r>
        <r>
          <rPr>
            <b/>
            <sz val="10"/>
            <color indexed="81"/>
            <rFont val="Tahoma"/>
            <family val="2"/>
          </rPr>
          <t>titrand</t>
        </r>
        <r>
          <rPr>
            <sz val="10"/>
            <color indexed="81"/>
            <rFont val="Tahoma"/>
            <family val="2"/>
          </rPr>
          <t xml:space="preserve"> refer to the </t>
        </r>
        <r>
          <rPr>
            <b/>
            <sz val="10"/>
            <color indexed="81"/>
            <rFont val="Tahoma"/>
            <family val="2"/>
          </rPr>
          <t>sample</t>
        </r>
        <r>
          <rPr>
            <sz val="10"/>
            <color indexed="81"/>
            <rFont val="Tahoma"/>
            <family val="2"/>
          </rPr>
          <t xml:space="preserve"> </t>
        </r>
        <r>
          <rPr>
            <u/>
            <sz val="10"/>
            <color indexed="81"/>
            <rFont val="Tahoma"/>
            <family val="2"/>
          </rPr>
          <t>before</t>
        </r>
        <r>
          <rPr>
            <sz val="10"/>
            <color indexed="81"/>
            <rFont val="Tahoma"/>
            <family val="2"/>
          </rPr>
          <t xml:space="preserve"> dilution with water, if any (G17&gt;0). In practice, electrolytes are sometimes dissolved in the dilution water, e.g., during pKa determinations, to keep the ionic strength high and reasonably constant, thus reducing the variability of the activity coefficients during the titration.
This situation is handled here by multiplying the wanted extra electrolyte concentration in the diluted </t>
        </r>
        <r>
          <rPr>
            <b/>
            <sz val="10"/>
            <color indexed="81"/>
            <rFont val="Tahoma"/>
            <family val="2"/>
          </rPr>
          <t>titrand</t>
        </r>
        <r>
          <rPr>
            <sz val="10"/>
            <color indexed="81"/>
            <rFont val="Tahoma"/>
            <family val="2"/>
          </rPr>
          <t xml:space="preserve"> by H17/F17. 
Example: to simulate the effect of the presence of 0.2 mol/L KNO</t>
        </r>
        <r>
          <rPr>
            <vertAlign val="subscript"/>
            <sz val="10"/>
            <color indexed="81"/>
            <rFont val="Tahoma"/>
            <family val="2"/>
          </rPr>
          <t>3</t>
        </r>
        <r>
          <rPr>
            <sz val="10"/>
            <color indexed="81"/>
            <rFont val="Tahoma"/>
            <family val="2"/>
          </rPr>
          <t xml:space="preserve"> by adding 10 mL of 0.6 mol/L KNO</t>
        </r>
        <r>
          <rPr>
            <vertAlign val="subscript"/>
            <sz val="10"/>
            <color indexed="81"/>
            <rFont val="Tahoma"/>
            <family val="2"/>
          </rPr>
          <t>3</t>
        </r>
        <r>
          <rPr>
            <sz val="10"/>
            <color indexed="81"/>
            <rFont val="Tahoma"/>
            <family val="2"/>
          </rPr>
          <t xml:space="preserve"> to 20 mL of </t>
        </r>
        <r>
          <rPr>
            <b/>
            <sz val="10"/>
            <color indexed="81"/>
            <rFont val="Tahoma"/>
            <family val="2"/>
          </rPr>
          <t>sample</t>
        </r>
        <r>
          <rPr>
            <sz val="10"/>
            <color indexed="81"/>
            <rFont val="Tahoma"/>
            <family val="2"/>
          </rPr>
          <t xml:space="preserve">, write 0.3 (or 0.2*30/20) in K16 and K17.  
Only anions and cations with one charge are considered here; for simulations with multivalent electrolytes, use the </t>
        </r>
        <r>
          <rPr>
            <b/>
            <sz val="10"/>
            <color indexed="81"/>
            <rFont val="Tahoma"/>
            <family val="2"/>
          </rPr>
          <t>pH_calc</t>
        </r>
        <r>
          <rPr>
            <sz val="10"/>
            <color indexed="81"/>
            <rFont val="Tahoma"/>
            <family val="2"/>
          </rPr>
          <t xml:space="preserve"> module.</t>
        </r>
      </text>
    </comment>
    <comment ref="L15" authorId="3" shapeId="0" xr:uid="{00000000-0006-0000-0300-000022000000}">
      <text>
        <r>
          <rPr>
            <b/>
            <sz val="9"/>
            <color indexed="81"/>
            <rFont val="Tahoma"/>
            <family val="2"/>
          </rPr>
          <t>Gutz:</t>
        </r>
        <r>
          <rPr>
            <sz val="9"/>
            <color indexed="81"/>
            <rFont val="Tahoma"/>
            <family val="2"/>
          </rPr>
          <t xml:space="preserve">
</t>
        </r>
        <r>
          <rPr>
            <sz val="10"/>
            <color indexed="81"/>
            <rFont val="Tahoma"/>
            <family val="2"/>
          </rPr>
          <t xml:space="preserve">This is just de sum of the minimum counterion concentration and other extra electrolytes in the </t>
        </r>
        <r>
          <rPr>
            <b/>
            <sz val="10"/>
            <color indexed="81"/>
            <rFont val="Tahoma"/>
            <family val="2"/>
          </rPr>
          <t>sample</t>
        </r>
        <r>
          <rPr>
            <sz val="10"/>
            <color indexed="81"/>
            <rFont val="Tahoma"/>
            <family val="2"/>
          </rPr>
          <t xml:space="preserve">. If water is added (cell G17&gt;0) the concentrations will be H17/F17 times lower in the </t>
        </r>
        <r>
          <rPr>
            <b/>
            <sz val="10"/>
            <color indexed="81"/>
            <rFont val="Tahoma"/>
            <family val="2"/>
          </rPr>
          <t>titrand</t>
        </r>
        <r>
          <rPr>
            <sz val="10"/>
            <color indexed="81"/>
            <rFont val="Tahoma"/>
            <family val="2"/>
          </rPr>
          <t>. 
The actual ionic strength, I, of the titrand will be displayed at cell S41 after clicking on buttons A25 or A28.</t>
        </r>
      </text>
    </comment>
    <comment ref="P15" authorId="2" shapeId="0" xr:uid="{00000000-0006-0000-0300-000023000000}">
      <text>
        <r>
          <rPr>
            <b/>
            <sz val="8"/>
            <color indexed="81"/>
            <rFont val="Tahoma"/>
            <family val="2"/>
          </rPr>
          <t>Gutz:</t>
        </r>
        <r>
          <rPr>
            <sz val="8"/>
            <color indexed="81"/>
            <rFont val="Tahoma"/>
            <family val="2"/>
          </rPr>
          <t xml:space="preserve">
</t>
        </r>
        <r>
          <rPr>
            <sz val="10"/>
            <color indexed="81"/>
            <rFont val="Tahoma"/>
            <family val="2"/>
          </rPr>
          <t>CurTiPot recalculates apparent equilibrium constants at the ionic strength, I, of the solution  from thermodynamic constants (I=0) by estimating activity coefficients  with help of the Davies equation. The accuracy is good for I&lt;0.05, acceptable for I&lt;0.2 and poor for higher values of I.
There is no rigorous mean to calculate activity coefficients of individual ions, although there are many equations pursuing the reduction of the uncertainty of the estimates by taking in account individual effective ion size parameters and specific ion-ion interactions and/or introducing empirical coefficients fitted to real data. Such parameters are readily available only for the most common inorganic and organic ions, limiting their application range in comparison with the simple, general and unspecific Davies equation, that renders the same minimum in activity  around ±0.5 mol/L for any ion.
A compilation of over twenty equations with references to original work is available in the file Ionic St_effects.pdf contained in the package http://www.iupac.org/projects/2000/Aq_Solutions.zip
For calculations involving seawater (e.g. ionic strength at different salinities), see:   http://ioc.unesco.org/oceanteacher/oceanteacher2/02_InfTchSciCmm/01_CmpTch/05_ocsoft/01_toolbox/OcCalc/OcCalc.htm</t>
        </r>
      </text>
    </comment>
    <comment ref="B16" authorId="0" shapeId="0" xr:uid="{00000000-0006-0000-0300-000024000000}">
      <text>
        <r>
          <rPr>
            <b/>
            <sz val="10"/>
            <color indexed="81"/>
            <rFont val="Tahoma"/>
            <family val="2"/>
          </rPr>
          <t>Gutz:</t>
        </r>
        <r>
          <rPr>
            <sz val="10"/>
            <color indexed="81"/>
            <rFont val="Tahoma"/>
            <family val="2"/>
          </rPr>
          <t xml:space="preserve">
Leave blank/fill with de concentration of strong monoprotic acid used as titrant of alkaline samples e.g., HCl. For weak or diprotic acids like H</t>
        </r>
        <r>
          <rPr>
            <vertAlign val="subscript"/>
            <sz val="10"/>
            <color indexed="81"/>
            <rFont val="Tahoma"/>
            <family val="2"/>
          </rPr>
          <t>2</t>
        </r>
        <r>
          <rPr>
            <sz val="10"/>
            <color indexed="81"/>
            <rFont val="Tahoma"/>
            <family val="2"/>
          </rPr>
          <t>SO</t>
        </r>
        <r>
          <rPr>
            <vertAlign val="subscript"/>
            <sz val="10"/>
            <color indexed="81"/>
            <rFont val="Tahoma"/>
            <family val="2"/>
          </rPr>
          <t>4</t>
        </r>
        <r>
          <rPr>
            <sz val="10"/>
            <color indexed="81"/>
            <rFont val="Tahoma"/>
            <family val="2"/>
          </rPr>
          <t xml:space="preserve">  change charge and pKas first, at cells R4 to R6.</t>
        </r>
      </text>
    </comment>
    <comment ref="C16" authorId="0" shapeId="0" xr:uid="{00000000-0006-0000-0300-000025000000}">
      <text>
        <r>
          <rPr>
            <b/>
            <sz val="8"/>
            <color indexed="81"/>
            <rFont val="Tahoma"/>
            <family val="2"/>
          </rPr>
          <t>Gutz:</t>
        </r>
        <r>
          <rPr>
            <sz val="8"/>
            <color indexed="81"/>
            <rFont val="Tahoma"/>
            <family val="2"/>
          </rPr>
          <t xml:space="preserve">
</t>
        </r>
        <r>
          <rPr>
            <sz val="10"/>
            <color indexed="81"/>
            <rFont val="Tahoma"/>
            <family val="2"/>
          </rPr>
          <t>Leave blank - as a rule, this cell corresponds to the protonated form of OH-, H</t>
        </r>
        <r>
          <rPr>
            <vertAlign val="subscript"/>
            <sz val="10"/>
            <color indexed="81"/>
            <rFont val="Tahoma"/>
            <family val="2"/>
          </rPr>
          <t>2</t>
        </r>
        <r>
          <rPr>
            <sz val="10"/>
            <color indexed="81"/>
            <rFont val="Tahoma"/>
            <family val="2"/>
          </rPr>
          <t>O, indistinguishable from the solvent. However, if a different acid/base is system is specified in column S, [HB] may be filled out as needed.</t>
        </r>
      </text>
    </comment>
    <comment ref="D16" authorId="0" shapeId="0" xr:uid="{00000000-0006-0000-0300-000026000000}">
      <text>
        <r>
          <rPr>
            <b/>
            <sz val="8"/>
            <color indexed="81"/>
            <rFont val="Tahoma"/>
            <family val="2"/>
          </rPr>
          <t>Gutz:</t>
        </r>
        <r>
          <rPr>
            <sz val="8"/>
            <color indexed="81"/>
            <rFont val="Tahoma"/>
            <family val="2"/>
          </rPr>
          <t xml:space="preserve">
</t>
        </r>
        <r>
          <rPr>
            <sz val="10"/>
            <color indexed="81"/>
            <rFont val="Tahoma"/>
            <family val="2"/>
          </rPr>
          <t>Leave blank</t>
        </r>
        <r>
          <rPr>
            <b/>
            <sz val="10"/>
            <color indexed="81"/>
            <rFont val="Tahoma"/>
            <family val="2"/>
          </rPr>
          <t>/</t>
        </r>
        <r>
          <rPr>
            <sz val="10"/>
            <color indexed="81"/>
            <rFont val="Tahoma"/>
            <family val="2"/>
          </rPr>
          <t>fill out with de concentration of bicarbonate, if used as titrant.
To simulate the absorption of CO</t>
        </r>
        <r>
          <rPr>
            <vertAlign val="subscript"/>
            <sz val="10"/>
            <color indexed="81"/>
            <rFont val="Tahoma"/>
            <family val="2"/>
          </rPr>
          <t>2</t>
        </r>
        <r>
          <rPr>
            <sz val="10"/>
            <color indexed="81"/>
            <rFont val="Tahoma"/>
            <family val="2"/>
          </rPr>
          <t xml:space="preserve"> from the air by an alkaline titrant, leave blank and fill H</t>
        </r>
        <r>
          <rPr>
            <vertAlign val="subscript"/>
            <sz val="10"/>
            <color indexed="81"/>
            <rFont val="Tahoma"/>
            <family val="2"/>
          </rPr>
          <t>2</t>
        </r>
        <r>
          <rPr>
            <sz val="10"/>
            <color indexed="81"/>
            <rFont val="Tahoma"/>
            <family val="2"/>
          </rPr>
          <t>CO</t>
        </r>
        <r>
          <rPr>
            <vertAlign val="subscript"/>
            <sz val="10"/>
            <color indexed="81"/>
            <rFont val="Tahoma"/>
            <family val="2"/>
          </rPr>
          <t>3</t>
        </r>
        <r>
          <rPr>
            <sz val="10"/>
            <color indexed="81"/>
            <rFont val="Tahoma"/>
            <family val="2"/>
          </rPr>
          <t xml:space="preserve"> (cell D16)</t>
        </r>
      </text>
    </comment>
    <comment ref="N16" authorId="0" shapeId="0" xr:uid="{00000000-0006-0000-0300-000027000000}">
      <text>
        <r>
          <rPr>
            <b/>
            <sz val="10"/>
            <color indexed="81"/>
            <rFont val="Tahoma"/>
            <family val="2"/>
          </rPr>
          <t>Gutz:</t>
        </r>
        <r>
          <rPr>
            <sz val="10"/>
            <color indexed="81"/>
            <rFont val="Tahoma"/>
            <family val="2"/>
          </rPr>
          <t xml:space="preserve">
Optional simulation of random errors in pH measurements, specified as standard deviation of the residues along the complete curve, e.g., 0.03</t>
        </r>
      </text>
    </comment>
    <comment ref="O16" authorId="0" shapeId="0" xr:uid="{00000000-0006-0000-0300-000028000000}">
      <text>
        <r>
          <rPr>
            <b/>
            <sz val="8"/>
            <color indexed="81"/>
            <rFont val="Tahoma"/>
            <family val="2"/>
          </rPr>
          <t>Gutz:</t>
        </r>
        <r>
          <rPr>
            <sz val="8"/>
            <color indexed="81"/>
            <rFont val="Tahoma"/>
            <family val="2"/>
          </rPr>
          <t xml:space="preserve">
</t>
        </r>
        <r>
          <rPr>
            <sz val="10"/>
            <color indexed="81"/>
            <rFont val="Tahoma"/>
            <family val="2"/>
          </rPr>
          <t xml:space="preserve">A and b are parameters of the Davies equation, used for activity coefficient estimation. They depend on temperature, dielectric constant, electrolyte, etc. 
The recommended values for water at 25ºC are: A=0.509; b=0.300.
The Davies eq. does not require the size of different hydrated ions but, to some degree, the A and b parameters may be empirically adjusted to more closely describe a given electrolyte.
For example: For NaCl + HCl solutions, A=0.43 and b=0.49 conducts to </t>
        </r>
        <r>
          <rPr>
            <sz val="14"/>
            <color indexed="81"/>
            <rFont val="Symbol"/>
            <family val="1"/>
            <charset val="2"/>
          </rPr>
          <t>g</t>
        </r>
        <r>
          <rPr>
            <sz val="10"/>
            <color indexed="81"/>
            <rFont val="Tahoma"/>
            <family val="2"/>
          </rPr>
          <t>H</t>
        </r>
        <r>
          <rPr>
            <vertAlign val="superscript"/>
            <sz val="12"/>
            <color indexed="81"/>
            <rFont val="Tahoma"/>
            <family val="2"/>
          </rPr>
          <t>+</t>
        </r>
        <r>
          <rPr>
            <sz val="10"/>
            <color indexed="81"/>
            <rFont val="Tahoma"/>
            <family val="2"/>
          </rPr>
          <t xml:space="preserve"> values in excellent agreement with those provided (up to 0.5 mol/kg) in http://www.iupac.org/projects/2000/Aq_Solutions.zip
on base of more complete equations fitted to experimental data. 
For phosphate solutions, A=0.51 and b=0.20 seems appropriate at pHs above neutrality.
</t>
        </r>
      </text>
    </comment>
    <comment ref="B17" authorId="0" shapeId="0" xr:uid="{00000000-0006-0000-0300-000029000000}">
      <text>
        <r>
          <rPr>
            <b/>
            <sz val="8"/>
            <color indexed="81"/>
            <rFont val="Tahoma"/>
            <family val="2"/>
          </rPr>
          <t>Gutz:</t>
        </r>
        <r>
          <rPr>
            <sz val="8"/>
            <color indexed="81"/>
            <rFont val="Tahoma"/>
            <family val="2"/>
          </rPr>
          <t xml:space="preserve">
</t>
        </r>
        <r>
          <rPr>
            <sz val="10"/>
            <color indexed="81"/>
            <rFont val="Tahoma"/>
            <family val="2"/>
          </rPr>
          <t>Leave blank unless you have replaced the base, its charge and pKas in cells S4 to S6 and H</t>
        </r>
        <r>
          <rPr>
            <vertAlign val="subscript"/>
            <sz val="10"/>
            <color indexed="81"/>
            <rFont val="Tahoma"/>
            <family val="2"/>
          </rPr>
          <t>2</t>
        </r>
        <r>
          <rPr>
            <sz val="10"/>
            <color indexed="81"/>
            <rFont val="Tahoma"/>
            <family val="2"/>
          </rPr>
          <t>B is and ingredient of the titrant.</t>
        </r>
      </text>
    </comment>
    <comment ref="C17" authorId="0" shapeId="0" xr:uid="{00000000-0006-0000-0300-00002A000000}">
      <text>
        <r>
          <rPr>
            <b/>
            <sz val="8"/>
            <color indexed="81"/>
            <rFont val="Tahoma"/>
            <family val="2"/>
          </rPr>
          <t>Gutz:</t>
        </r>
        <r>
          <rPr>
            <sz val="8"/>
            <color indexed="81"/>
            <rFont val="Tahoma"/>
            <family val="2"/>
          </rPr>
          <t xml:space="preserve">
</t>
        </r>
        <r>
          <rPr>
            <sz val="10"/>
            <color indexed="81"/>
            <rFont val="Tahoma"/>
            <family val="2"/>
          </rPr>
          <t>Leave blank unless you have replaced the base, its charge and pKas in cells S4 to S6 and H</t>
        </r>
        <r>
          <rPr>
            <vertAlign val="subscript"/>
            <sz val="10"/>
            <color indexed="81"/>
            <rFont val="Tahoma"/>
            <family val="2"/>
          </rPr>
          <t>2</t>
        </r>
        <r>
          <rPr>
            <sz val="10"/>
            <color indexed="81"/>
            <rFont val="Tahoma"/>
            <family val="2"/>
          </rPr>
          <t>B is and ingredient of the titrant.</t>
        </r>
      </text>
    </comment>
    <comment ref="D17" authorId="0" shapeId="0" xr:uid="{00000000-0006-0000-0300-00002B000000}">
      <text>
        <r>
          <rPr>
            <b/>
            <sz val="10"/>
            <color indexed="81"/>
            <rFont val="Tahoma"/>
            <family val="2"/>
          </rPr>
          <t>Gutz:</t>
        </r>
        <r>
          <rPr>
            <sz val="10"/>
            <color indexed="81"/>
            <rFont val="Tahoma"/>
            <family val="2"/>
          </rPr>
          <t xml:space="preserve">
Leave blank</t>
        </r>
        <r>
          <rPr>
            <b/>
            <sz val="10"/>
            <color indexed="81"/>
            <rFont val="Tahoma"/>
            <family val="2"/>
          </rPr>
          <t>/</t>
        </r>
        <r>
          <rPr>
            <sz val="10"/>
            <color indexed="81"/>
            <rFont val="Tahoma"/>
            <family val="2"/>
          </rPr>
          <t>fill out to simulate the absorption of CO</t>
        </r>
        <r>
          <rPr>
            <vertAlign val="subscript"/>
            <sz val="10"/>
            <color indexed="81"/>
            <rFont val="Tahoma"/>
            <family val="2"/>
          </rPr>
          <t>2</t>
        </r>
        <r>
          <rPr>
            <sz val="10"/>
            <color indexed="81"/>
            <rFont val="Tahoma"/>
            <family val="2"/>
          </rPr>
          <t xml:space="preserve"> by an alkaline titrant (effect visible on the curve for 1% or more of [H</t>
        </r>
        <r>
          <rPr>
            <vertAlign val="subscript"/>
            <sz val="10"/>
            <color indexed="81"/>
            <rFont val="Tahoma"/>
            <family val="2"/>
          </rPr>
          <t>2</t>
        </r>
        <r>
          <rPr>
            <sz val="10"/>
            <color indexed="81"/>
            <rFont val="Tahoma"/>
            <family val="2"/>
          </rPr>
          <t>CO</t>
        </r>
        <r>
          <rPr>
            <vertAlign val="subscript"/>
            <sz val="10"/>
            <color indexed="81"/>
            <rFont val="Tahoma"/>
            <family val="2"/>
          </rPr>
          <t>3</t>
        </r>
        <r>
          <rPr>
            <sz val="10"/>
            <color indexed="81"/>
            <rFont val="Tahoma"/>
            <family val="2"/>
          </rPr>
          <t xml:space="preserve">] relative to the titrant concentration)  
</t>
        </r>
      </text>
    </comment>
    <comment ref="F17" authorId="0" shapeId="0" xr:uid="{00000000-0006-0000-0300-00002C000000}">
      <text>
        <r>
          <rPr>
            <b/>
            <sz val="10"/>
            <color indexed="81"/>
            <rFont val="Tahoma"/>
            <family val="2"/>
          </rPr>
          <t>Gutz:</t>
        </r>
        <r>
          <rPr>
            <sz val="10"/>
            <color indexed="81"/>
            <rFont val="Tahoma"/>
            <family val="2"/>
          </rPr>
          <t xml:space="preserve">
Volume of the aliquot of sample (with the composition given above) to be titrated</t>
        </r>
      </text>
    </comment>
    <comment ref="G17" authorId="0" shapeId="0" xr:uid="{00000000-0006-0000-0300-00002D000000}">
      <text>
        <r>
          <rPr>
            <b/>
            <sz val="10"/>
            <color indexed="81"/>
            <rFont val="Tahoma"/>
            <family val="2"/>
          </rPr>
          <t>Gutz:</t>
        </r>
        <r>
          <rPr>
            <sz val="10"/>
            <color indexed="81"/>
            <rFont val="Tahoma"/>
            <family val="2"/>
          </rPr>
          <t xml:space="preserve">
Water is frequently added to the sample in potentiometric titrations until the glass electrode bulb and reference electrode junction are covered by the solution.
In rigorous titrations aiming the determination of pKas, instead of water, an electrolyte solution may be preferred to keep a nearly constant ionic strength I. 
The (undesirable) flattening effect of sample dilution on the titration curve can be observed by exaggerating this volume in a simulation, retaining the curve and repeating the titration without added water.</t>
        </r>
      </text>
    </comment>
    <comment ref="H17" authorId="0" shapeId="0" xr:uid="{00000000-0006-0000-0300-00002E000000}">
      <text>
        <r>
          <rPr>
            <b/>
            <sz val="8"/>
            <color indexed="81"/>
            <rFont val="Tahoma"/>
            <family val="2"/>
          </rPr>
          <t>Gutz:</t>
        </r>
        <r>
          <rPr>
            <sz val="10"/>
            <color indexed="81"/>
            <rFont val="Tahoma"/>
            <family val="2"/>
          </rPr>
          <t xml:space="preserve">
Total  volume before titration (F16+G16)</t>
        </r>
      </text>
    </comment>
    <comment ref="N17" authorId="0" shapeId="0" xr:uid="{00000000-0006-0000-0300-00002F000000}">
      <text>
        <r>
          <rPr>
            <b/>
            <sz val="10"/>
            <color indexed="81"/>
            <rFont val="Tahoma"/>
            <family val="2"/>
          </rPr>
          <t>Gutz:</t>
        </r>
        <r>
          <rPr>
            <sz val="10"/>
            <color indexed="81"/>
            <rFont val="Tahoma"/>
            <family val="2"/>
          </rPr>
          <t xml:space="preserve">
Optional simulation of random errors in volume measurements (buret meniscus reading), specified as standard deviation of the residues along the complete curve, e.g., 0.05 </t>
        </r>
      </text>
    </comment>
    <comment ref="O17" authorId="0" shapeId="0" xr:uid="{00000000-0006-0000-0300-000030000000}">
      <text>
        <r>
          <rPr>
            <b/>
            <sz val="8"/>
            <color indexed="81"/>
            <rFont val="Tahoma"/>
            <family val="2"/>
          </rPr>
          <t>Gutz:</t>
        </r>
        <r>
          <rPr>
            <sz val="8"/>
            <color indexed="81"/>
            <rFont val="Tahoma"/>
            <family val="2"/>
          </rPr>
          <t xml:space="preserve">
</t>
        </r>
        <r>
          <rPr>
            <sz val="10"/>
            <color indexed="81"/>
            <rFont val="Tahoma"/>
            <family val="2"/>
          </rPr>
          <t>Read comment  in cells O16 and P15.</t>
        </r>
      </text>
    </comment>
    <comment ref="A18" authorId="0" shapeId="0" xr:uid="{00000000-0006-0000-0300-000031000000}">
      <text>
        <r>
          <rPr>
            <b/>
            <sz val="8"/>
            <color indexed="81"/>
            <rFont val="Tahoma"/>
            <family val="2"/>
          </rPr>
          <t>Gutz:</t>
        </r>
        <r>
          <rPr>
            <sz val="8"/>
            <color indexed="81"/>
            <rFont val="Tahoma"/>
            <family val="2"/>
          </rPr>
          <t xml:space="preserve">
</t>
        </r>
        <r>
          <rPr>
            <sz val="10"/>
            <color indexed="81"/>
            <rFont val="Tahoma"/>
            <family val="2"/>
          </rPr>
          <t>Sum of concentrations of all forms of base B introduced in the titrant (e.g., [HB] + [H</t>
        </r>
        <r>
          <rPr>
            <vertAlign val="subscript"/>
            <sz val="10"/>
            <color indexed="81"/>
            <rFont val="Tahoma"/>
            <family val="2"/>
          </rPr>
          <t>2</t>
        </r>
        <r>
          <rPr>
            <sz val="10"/>
            <color indexed="81"/>
            <rFont val="Tahoma"/>
            <family val="2"/>
          </rPr>
          <t>B] + [H</t>
        </r>
        <r>
          <rPr>
            <vertAlign val="subscript"/>
            <sz val="10"/>
            <color indexed="81"/>
            <rFont val="Tahoma"/>
            <family val="2"/>
          </rPr>
          <t>3</t>
        </r>
        <r>
          <rPr>
            <sz val="10"/>
            <color indexed="81"/>
            <rFont val="Tahoma"/>
            <family val="2"/>
          </rPr>
          <t xml:space="preserve">B]) </t>
        </r>
      </text>
    </comment>
    <comment ref="J18" authorId="3" shapeId="0" xr:uid="{00000000-0006-0000-0300-000032000000}">
      <text>
        <r>
          <rPr>
            <b/>
            <sz val="9"/>
            <color indexed="81"/>
            <rFont val="Tahoma"/>
            <family val="2"/>
          </rPr>
          <t>Gutz:</t>
        </r>
        <r>
          <rPr>
            <sz val="9"/>
            <color indexed="81"/>
            <rFont val="Tahoma"/>
            <family val="2"/>
          </rPr>
          <t xml:space="preserve">
</t>
        </r>
        <r>
          <rPr>
            <sz val="10"/>
            <color indexed="81"/>
            <rFont val="Tahoma"/>
            <family val="2"/>
          </rPr>
          <t>Minimum counterion concentration calculated automatically to attain charge balance of the ingredients of the titrant specified in cells B15 to D17.
E.g., for a 0.1 mol/L NaOH solution indicated in C15, a 0.1 mol/L concentration (of monovalent cation like Na</t>
        </r>
        <r>
          <rPr>
            <vertAlign val="superscript"/>
            <sz val="10"/>
            <color indexed="81"/>
            <rFont val="Tahoma"/>
            <family val="2"/>
          </rPr>
          <t>+</t>
        </r>
        <r>
          <rPr>
            <sz val="10"/>
            <color indexed="81"/>
            <rFont val="Tahoma"/>
            <family val="2"/>
          </rPr>
          <t xml:space="preserve">) will appear in J19; cells K19 and K20 can remain zeroed or changed at will. </t>
        </r>
      </text>
    </comment>
    <comment ref="A19" authorId="0" shapeId="0" xr:uid="{00000000-0006-0000-0300-000033000000}">
      <text>
        <r>
          <rPr>
            <b/>
            <sz val="8"/>
            <color indexed="81"/>
            <rFont val="Tahoma"/>
            <family val="2"/>
          </rPr>
          <t>Gutz:</t>
        </r>
        <r>
          <rPr>
            <sz val="8"/>
            <color indexed="81"/>
            <rFont val="Tahoma"/>
            <family val="2"/>
          </rPr>
          <t xml:space="preserve">
</t>
        </r>
        <r>
          <rPr>
            <sz val="10"/>
            <color indexed="81"/>
            <rFont val="Tahoma"/>
            <family val="2"/>
          </rPr>
          <t>Maximum H</t>
        </r>
        <r>
          <rPr>
            <vertAlign val="superscript"/>
            <sz val="10"/>
            <color indexed="81"/>
            <rFont val="Tahoma"/>
            <family val="2"/>
          </rPr>
          <t>+</t>
        </r>
        <r>
          <rPr>
            <sz val="10"/>
            <color indexed="81"/>
            <rFont val="Tahoma"/>
            <family val="2"/>
          </rPr>
          <t xml:space="preserve"> concentration available from full deprotonation of all forms of H</t>
        </r>
        <r>
          <rPr>
            <vertAlign val="subscript"/>
            <sz val="10"/>
            <color indexed="81"/>
            <rFont val="Tahoma"/>
            <family val="2"/>
          </rPr>
          <t>i</t>
        </r>
        <r>
          <rPr>
            <sz val="10"/>
            <color indexed="81"/>
            <rFont val="Tahoma"/>
            <family val="2"/>
          </rPr>
          <t>B used in the formulation of the titrant (e.g., [HB] + 2[H</t>
        </r>
        <r>
          <rPr>
            <vertAlign val="subscript"/>
            <sz val="10"/>
            <color indexed="81"/>
            <rFont val="Tahoma"/>
            <family val="2"/>
          </rPr>
          <t>2</t>
        </r>
        <r>
          <rPr>
            <sz val="10"/>
            <color indexed="81"/>
            <rFont val="Tahoma"/>
            <family val="2"/>
          </rPr>
          <t>B] + 3[H</t>
        </r>
        <r>
          <rPr>
            <vertAlign val="subscript"/>
            <sz val="10"/>
            <color indexed="81"/>
            <rFont val="Tahoma"/>
            <family val="2"/>
          </rPr>
          <t>3</t>
        </r>
        <r>
          <rPr>
            <sz val="10"/>
            <color indexed="81"/>
            <rFont val="Tahoma"/>
            <family val="2"/>
          </rPr>
          <t>B])</t>
        </r>
      </text>
    </comment>
    <comment ref="N19" authorId="2" shapeId="0" xr:uid="{00000000-0006-0000-0300-000034000000}">
      <text>
        <r>
          <rPr>
            <b/>
            <sz val="8"/>
            <color indexed="81"/>
            <rFont val="Tahoma"/>
            <family val="2"/>
          </rPr>
          <t xml:space="preserve">Gutz:
</t>
        </r>
        <r>
          <rPr>
            <sz val="10"/>
            <color indexed="81"/>
            <rFont val="Tahoma"/>
            <family val="2"/>
          </rPr>
          <t>Keep delay = 0 for titration at maximum speed (dictated by the computer performance)
Choose a delay of 1 to 10 s to pause between additions of titrant, resembling the time required to wait for pH measurements to stabilize during a real titrations.
Press Escape during a titration to override the delay and continue at max. speed.</t>
        </r>
      </text>
    </comment>
    <comment ref="A20" authorId="0" shapeId="0" xr:uid="{00000000-0006-0000-0300-000035000000}">
      <text>
        <r>
          <rPr>
            <b/>
            <sz val="8"/>
            <color indexed="81"/>
            <rFont val="Tahoma"/>
            <family val="2"/>
          </rPr>
          <t>Gutz:</t>
        </r>
        <r>
          <rPr>
            <sz val="8"/>
            <color indexed="81"/>
            <rFont val="Tahoma"/>
            <family val="2"/>
          </rPr>
          <t xml:space="preserve">
</t>
        </r>
        <r>
          <rPr>
            <sz val="10"/>
            <color indexed="81"/>
            <rFont val="Tahoma"/>
            <family val="2"/>
          </rPr>
          <t>C</t>
        </r>
        <r>
          <rPr>
            <vertAlign val="subscript"/>
            <sz val="12"/>
            <color indexed="81"/>
            <rFont val="Tahoma"/>
            <family val="2"/>
          </rPr>
          <t>i</t>
        </r>
        <r>
          <rPr>
            <sz val="10"/>
            <color indexed="81"/>
            <rFont val="Tahoma"/>
            <family val="2"/>
          </rPr>
          <t>z</t>
        </r>
        <r>
          <rPr>
            <vertAlign val="subscript"/>
            <sz val="12"/>
            <color indexed="81"/>
            <rFont val="Tahoma"/>
            <family val="2"/>
          </rPr>
          <t>i</t>
        </r>
        <r>
          <rPr>
            <sz val="10"/>
            <color indexed="81"/>
            <rFont val="Tahoma"/>
            <family val="2"/>
          </rPr>
          <t xml:space="preserve"> = ion concentration times charge of the ion (e.g., 2</t>
        </r>
        <r>
          <rPr>
            <vertAlign val="superscript"/>
            <sz val="10"/>
            <color indexed="81"/>
            <rFont val="Tahoma"/>
            <family val="2"/>
          </rPr>
          <t>.</t>
        </r>
        <r>
          <rPr>
            <sz val="10"/>
            <color indexed="81"/>
            <rFont val="Tahoma"/>
            <family val="2"/>
          </rPr>
          <t>[Ca</t>
        </r>
        <r>
          <rPr>
            <vertAlign val="superscript"/>
            <sz val="12"/>
            <color indexed="81"/>
            <rFont val="Tahoma"/>
            <family val="2"/>
          </rPr>
          <t>2+</t>
        </r>
        <r>
          <rPr>
            <sz val="10"/>
            <color indexed="81"/>
            <rFont val="Tahoma"/>
            <family val="2"/>
          </rPr>
          <t>]) in the titrant</t>
        </r>
      </text>
    </comment>
    <comment ref="F20" authorId="0" shapeId="0" xr:uid="{00000000-0006-0000-0300-000036000000}">
      <text>
        <r>
          <rPr>
            <b/>
            <sz val="8"/>
            <color indexed="81"/>
            <rFont val="Tahoma"/>
            <family val="2"/>
          </rPr>
          <t>Gutz:</t>
        </r>
        <r>
          <rPr>
            <sz val="8"/>
            <color indexed="81"/>
            <rFont val="Tahoma"/>
            <family val="2"/>
          </rPr>
          <t xml:space="preserve">
</t>
        </r>
        <r>
          <rPr>
            <sz val="10"/>
            <color indexed="81"/>
            <rFont val="Tahoma"/>
            <family val="2"/>
          </rPr>
          <t>Maximum volume (in mL) of titrant to be added up to the end of the titration (may be less or equal to the capacity of the buret ).</t>
        </r>
      </text>
    </comment>
    <comment ref="G20" authorId="0" shapeId="0" xr:uid="{00000000-0006-0000-0300-000037000000}">
      <text>
        <r>
          <rPr>
            <b/>
            <sz val="8"/>
            <color indexed="81"/>
            <rFont val="Tahoma"/>
            <family val="2"/>
          </rPr>
          <t xml:space="preserve">Gutz: 
</t>
        </r>
        <r>
          <rPr>
            <sz val="10"/>
            <color indexed="81"/>
            <rFont val="Tahoma"/>
            <family val="2"/>
          </rPr>
          <t xml:space="preserve">Total number of additions of the titrant from the buret (max.: 120; typical: 30 or 50).
You can choose constant volume additions (A24) or constant pH increment (A27). 
</t>
        </r>
      </text>
    </comment>
    <comment ref="B22" authorId="2" shapeId="0" xr:uid="{00000000-0006-0000-0300-000038000000}">
      <text>
        <r>
          <rPr>
            <b/>
            <sz val="8"/>
            <color indexed="81"/>
            <rFont val="Tahoma"/>
            <family val="2"/>
          </rPr>
          <t>Gutz:</t>
        </r>
        <r>
          <rPr>
            <sz val="8"/>
            <color indexed="81"/>
            <rFont val="Tahoma"/>
            <family val="2"/>
          </rPr>
          <t xml:space="preserve">
</t>
        </r>
        <r>
          <rPr>
            <b/>
            <sz val="10"/>
            <color indexed="81"/>
            <rFont val="Tahoma"/>
            <family val="2"/>
          </rPr>
          <t>"pH"</t>
        </r>
        <r>
          <rPr>
            <sz val="10"/>
            <color indexed="81"/>
            <rFont val="Tahoma"/>
            <family val="2"/>
          </rPr>
          <t xml:space="preserve"> values are calculated by using concentrations in the law of mass action expressions supplied with thermodynamic equilibrium constants. Such constants (like most of those in the Database) are obtained by extrapolation to infinite dilution and, therefore, appropriate only for very diluted solutions. In the </t>
        </r>
        <r>
          <rPr>
            <b/>
            <sz val="10"/>
            <color indexed="81"/>
            <rFont val="Tahoma"/>
            <family val="2"/>
          </rPr>
          <t xml:space="preserve">pH </t>
        </r>
        <r>
          <rPr>
            <sz val="10"/>
            <color indexed="81"/>
            <rFont val="Tahoma"/>
            <family val="2"/>
          </rPr>
          <t>and</t>
        </r>
        <r>
          <rPr>
            <b/>
            <sz val="10"/>
            <color indexed="81"/>
            <rFont val="Tahoma"/>
            <family val="2"/>
          </rPr>
          <t xml:space="preserve"> p[H]</t>
        </r>
        <r>
          <rPr>
            <sz val="10"/>
            <color indexed="81"/>
            <rFont val="Tahoma"/>
            <family val="2"/>
          </rPr>
          <t xml:space="preserve"> calculations, the constants are corrected for the estimated effect of ion-ion interactions at the ionic strength, I, of the solution. 
Furthermore the </t>
        </r>
        <r>
          <rPr>
            <b/>
            <sz val="10"/>
            <color indexed="81"/>
            <rFont val="Tahoma"/>
            <family val="2"/>
          </rPr>
          <t>pH</t>
        </r>
        <r>
          <rPr>
            <sz val="10"/>
            <color indexed="81"/>
            <rFont val="Tahoma"/>
            <family val="2"/>
          </rPr>
          <t xml:space="preserve"> calculation takes in account that the ddp of the usual pH sensor, a combined glass electrode, is directly proportional to -log a</t>
        </r>
        <r>
          <rPr>
            <vertAlign val="subscript"/>
            <sz val="12"/>
            <color indexed="81"/>
            <rFont val="Tahoma"/>
            <family val="2"/>
          </rPr>
          <t xml:space="preserve">H+ </t>
        </r>
        <r>
          <rPr>
            <sz val="10"/>
            <color indexed="81"/>
            <rFont val="Tahoma"/>
            <family val="2"/>
          </rPr>
          <t xml:space="preserve">(while </t>
        </r>
        <r>
          <rPr>
            <b/>
            <sz val="10"/>
            <color indexed="81"/>
            <rFont val="Tahoma"/>
            <family val="2"/>
          </rPr>
          <t xml:space="preserve">p[H] </t>
        </r>
        <r>
          <rPr>
            <sz val="10"/>
            <color indexed="81"/>
            <rFont val="Tahoma"/>
            <family val="2"/>
          </rPr>
          <t>= -log [H</t>
        </r>
        <r>
          <rPr>
            <vertAlign val="superscript"/>
            <sz val="10"/>
            <color indexed="81"/>
            <rFont val="Tahoma"/>
            <family val="2"/>
          </rPr>
          <t>+</t>
        </r>
        <r>
          <rPr>
            <sz val="10"/>
            <color indexed="81"/>
            <rFont val="Tahoma"/>
            <family val="2"/>
          </rPr>
          <t>], see more information in the pH_calc module). 
The activity of hydrated protons or hydronium ions is given by a</t>
        </r>
        <r>
          <rPr>
            <vertAlign val="subscript"/>
            <sz val="12"/>
            <color indexed="81"/>
            <rFont val="Tahoma"/>
            <family val="2"/>
          </rPr>
          <t>H+</t>
        </r>
        <r>
          <rPr>
            <sz val="10"/>
            <color indexed="81"/>
            <rFont val="Tahoma"/>
            <family val="2"/>
          </rPr>
          <t xml:space="preserve"> = [H</t>
        </r>
        <r>
          <rPr>
            <vertAlign val="superscript"/>
            <sz val="12"/>
            <color indexed="81"/>
            <rFont val="Tahoma"/>
            <family val="2"/>
          </rPr>
          <t>+</t>
        </r>
        <r>
          <rPr>
            <sz val="10"/>
            <color indexed="81"/>
            <rFont val="Tahoma"/>
            <family val="2"/>
          </rPr>
          <t xml:space="preserve">] </t>
        </r>
        <r>
          <rPr>
            <sz val="10"/>
            <color indexed="81"/>
            <rFont val="Symbol"/>
            <family val="1"/>
            <charset val="2"/>
          </rPr>
          <t>g</t>
        </r>
        <r>
          <rPr>
            <vertAlign val="subscript"/>
            <sz val="12"/>
            <color indexed="81"/>
            <rFont val="Tahoma"/>
            <family val="2"/>
          </rPr>
          <t>H+</t>
        </r>
        <r>
          <rPr>
            <sz val="10"/>
            <color indexed="81"/>
            <rFont val="Tahoma"/>
            <family val="2"/>
          </rPr>
          <t xml:space="preserve"> and the activity coefficient </t>
        </r>
        <r>
          <rPr>
            <sz val="10"/>
            <color indexed="81"/>
            <rFont val="Symbol"/>
            <family val="1"/>
            <charset val="2"/>
          </rPr>
          <t>g</t>
        </r>
        <r>
          <rPr>
            <sz val="10"/>
            <color indexed="81"/>
            <rFont val="Tahoma"/>
            <family val="2"/>
          </rPr>
          <t xml:space="preserve"> is estimated in CurTiPot by using the Davies equation and shown in column T, starting at line 41. See related comments in cells P15, O16 and O17.</t>
        </r>
      </text>
    </comment>
    <comment ref="B23" authorId="3" shapeId="0" xr:uid="{00000000-0006-0000-0300-000039000000}">
      <text>
        <r>
          <rPr>
            <b/>
            <sz val="9"/>
            <color indexed="81"/>
            <rFont val="Tahoma"/>
            <family val="2"/>
          </rPr>
          <t>Gutz:</t>
        </r>
        <r>
          <rPr>
            <sz val="9"/>
            <color indexed="81"/>
            <rFont val="Tahoma"/>
            <family val="2"/>
          </rPr>
          <t xml:space="preserve">
</t>
        </r>
        <r>
          <rPr>
            <sz val="10"/>
            <color indexed="81"/>
            <rFont val="Tahoma"/>
            <family val="2"/>
          </rPr>
          <t>Read comment in cell B22 and check cells K16, 17, 19 e 20 for correct calculation of I, required for estimation of activities and pH.</t>
        </r>
      </text>
    </comment>
    <comment ref="B34" authorId="2" shapeId="0" xr:uid="{00000000-0006-0000-0300-00003A000000}">
      <text>
        <r>
          <rPr>
            <b/>
            <sz val="8"/>
            <color indexed="81"/>
            <rFont val="Tahoma"/>
            <family val="2"/>
          </rPr>
          <t>Gutz:</t>
        </r>
        <r>
          <rPr>
            <sz val="8"/>
            <color indexed="81"/>
            <rFont val="Tahoma"/>
            <family val="2"/>
          </rPr>
          <t xml:space="preserve">
</t>
        </r>
        <r>
          <rPr>
            <sz val="10"/>
            <color indexed="81"/>
            <rFont val="Tahoma"/>
            <family val="2"/>
          </rPr>
          <t>Hover the mouse on a curve and point any data point to readout its ID and coordinates.
To add labels to your graphics, activate the drawing tools of Excel and insert text boxes.</t>
        </r>
      </text>
    </comment>
    <comment ref="B35" authorId="2" shapeId="0" xr:uid="{00000000-0006-0000-0300-00003B000000}">
      <text>
        <r>
          <rPr>
            <b/>
            <sz val="8"/>
            <color indexed="81"/>
            <rFont val="Tahoma"/>
            <family val="2"/>
          </rPr>
          <t>Gutz:</t>
        </r>
        <r>
          <rPr>
            <sz val="8"/>
            <color indexed="81"/>
            <rFont val="Tahoma"/>
            <family val="2"/>
          </rPr>
          <t xml:space="preserve">
</t>
        </r>
        <r>
          <rPr>
            <sz val="10"/>
            <color indexed="81"/>
            <rFont val="Tahoma"/>
            <family val="2"/>
          </rPr>
          <t xml:space="preserve">To copy graphics with simulated curves and paste them into other documents (e.g.: Word or Excel without links to the original:
- Fill out the header of the figure (optional)
- Click in the box of the figure near the margins, to select it
  (of Excel older than 12 from 2007 - Repeat the last simulation of a curve) </t>
        </r>
        <r>
          <rPr>
            <b/>
            <sz val="10"/>
            <color indexed="81"/>
            <rFont val="Tahoma"/>
            <family val="2"/>
          </rPr>
          <t xml:space="preserve">
</t>
        </r>
        <r>
          <rPr>
            <sz val="10"/>
            <color indexed="81"/>
            <rFont val="Tahoma"/>
            <family val="2"/>
          </rPr>
          <t xml:space="preserve">- Press Ctrl+C (and wait for processing)
- Switch to the Word document or another Excel spreadsheet 
- Select Insert/Paste Special/Picture (enhanced metafile)
Obs.: do NOT use Ctrl+C and Ctrl+V, because the figure may become coupled with CurTiPot and respond to changes
</t>
        </r>
      </text>
    </comment>
    <comment ref="B36" authorId="2" shapeId="0" xr:uid="{00000000-0006-0000-0300-00003C000000}">
      <text>
        <r>
          <rPr>
            <b/>
            <sz val="10"/>
            <color indexed="81"/>
            <rFont val="Tahoma"/>
            <family val="2"/>
          </rPr>
          <t>Gutz:</t>
        </r>
        <r>
          <rPr>
            <sz val="10"/>
            <color indexed="81"/>
            <rFont val="Tahoma"/>
            <family val="2"/>
          </rPr>
          <t xml:space="preserve">
Click twice on the volume or pH scale to redefine it.
Use Ctrl+Z (as many times as needed) to undo scale expansion.</t>
        </r>
      </text>
    </comment>
    <comment ref="B37" authorId="2" shapeId="0" xr:uid="{00000000-0006-0000-0300-00003D000000}">
      <text>
        <r>
          <rPr>
            <b/>
            <sz val="10"/>
            <color indexed="81"/>
            <rFont val="Tahoma"/>
            <family val="2"/>
          </rPr>
          <t>Gutz:</t>
        </r>
        <r>
          <rPr>
            <sz val="10"/>
            <color indexed="81"/>
            <rFont val="Tahoma"/>
            <family val="2"/>
          </rPr>
          <t xml:space="preserve">
- Use the </t>
        </r>
        <r>
          <rPr>
            <b/>
            <sz val="10"/>
            <color indexed="81"/>
            <rFont val="Tahoma"/>
            <family val="2"/>
          </rPr>
          <t>Graphics</t>
        </r>
        <r>
          <rPr>
            <sz val="10"/>
            <color indexed="81"/>
            <rFont val="Tahoma"/>
            <family val="2"/>
          </rPr>
          <t xml:space="preserve"> spreadsheet to plot derivatives by the </t>
        </r>
        <r>
          <rPr>
            <sz val="10"/>
            <color indexed="81"/>
            <rFont val="Symbol"/>
            <family val="1"/>
            <charset val="2"/>
          </rPr>
          <t>D</t>
        </r>
        <r>
          <rPr>
            <sz val="10"/>
            <color indexed="81"/>
            <rFont val="Tahoma"/>
            <family val="2"/>
          </rPr>
          <t>pH/</t>
        </r>
        <r>
          <rPr>
            <sz val="10"/>
            <color indexed="81"/>
            <rFont val="Symbol"/>
            <family val="1"/>
            <charset val="2"/>
          </rPr>
          <t>D</t>
        </r>
        <r>
          <rPr>
            <sz val="10"/>
            <color indexed="81"/>
            <rFont val="Tahoma"/>
            <family val="2"/>
          </rPr>
          <t>V</t>
        </r>
        <r>
          <rPr>
            <sz val="10"/>
            <color indexed="81"/>
            <rFont val="Tahoma"/>
            <family val="2"/>
          </rPr>
          <t xml:space="preserve"> approximation and to overlay curves.
- Use </t>
        </r>
        <r>
          <rPr>
            <b/>
            <sz val="10"/>
            <color indexed="81"/>
            <rFont val="Tahoma"/>
            <family val="2"/>
          </rPr>
          <t>Evaluation</t>
        </r>
        <r>
          <rPr>
            <sz val="10"/>
            <color indexed="81"/>
            <rFont val="Tahoma"/>
            <family val="2"/>
          </rPr>
          <t xml:space="preserve"> to generate first and second derivative curves with interpolation and smoothing and to accurately locate inflection points of real and simulated titration curves.
- Use </t>
        </r>
        <r>
          <rPr>
            <b/>
            <sz val="10"/>
            <color indexed="81"/>
            <rFont val="Tahoma"/>
            <family val="2"/>
          </rPr>
          <t>Distribution</t>
        </r>
        <r>
          <rPr>
            <sz val="10"/>
            <color indexed="81"/>
            <rFont val="Tahoma"/>
            <family val="2"/>
          </rPr>
          <t xml:space="preserve"> to obtain de fractional composition and the mean protonation level of the bases during the titration as well as in function of pH.</t>
        </r>
      </text>
    </comment>
    <comment ref="B38" authorId="2" shapeId="0" xr:uid="{00000000-0006-0000-0300-00003E000000}">
      <text>
        <r>
          <rPr>
            <b/>
            <sz val="8"/>
            <color indexed="81"/>
            <rFont val="Tahoma"/>
            <family val="2"/>
          </rPr>
          <t>Gutz:</t>
        </r>
        <r>
          <rPr>
            <sz val="8"/>
            <color indexed="81"/>
            <rFont val="Tahoma"/>
            <family val="2"/>
          </rPr>
          <t xml:space="preserve">
</t>
        </r>
        <r>
          <rPr>
            <sz val="10"/>
            <color indexed="81"/>
            <rFont val="Tahoma"/>
            <family val="2"/>
          </rPr>
          <t xml:space="preserve">- Use </t>
        </r>
        <r>
          <rPr>
            <b/>
            <sz val="10"/>
            <color indexed="81"/>
            <rFont val="Tahoma"/>
            <family val="2"/>
          </rPr>
          <t>Evaluation</t>
        </r>
        <r>
          <rPr>
            <sz val="10"/>
            <color indexed="81"/>
            <rFont val="Tahoma"/>
            <family val="2"/>
          </rPr>
          <t xml:space="preserve"> to accurately evaluate well defined inflection points on real and simulated titration curves, assisted by cubic splines smoothing and interpolation
- Use </t>
        </r>
        <r>
          <rPr>
            <b/>
            <sz val="10"/>
            <color indexed="81"/>
            <rFont val="Tahoma"/>
            <family val="2"/>
          </rPr>
          <t>Regression</t>
        </r>
        <r>
          <rPr>
            <sz val="10"/>
            <color indexed="81"/>
            <rFont val="Tahoma"/>
            <family val="2"/>
          </rPr>
          <t xml:space="preserve"> to refine the concentrations of analytes and/or pK values of real or simulated titration curves by nonlinear multiparametric regression and to analyze complex curves, with hidden inflections (some learning required)
Data transfer from </t>
        </r>
        <r>
          <rPr>
            <b/>
            <sz val="10"/>
            <color indexed="81"/>
            <rFont val="Tahoma"/>
            <family val="2"/>
          </rPr>
          <t>Simulation</t>
        </r>
        <r>
          <rPr>
            <sz val="10"/>
            <color indexed="81"/>
            <rFont val="Tahoma"/>
            <family val="2"/>
          </rPr>
          <t xml:space="preserve"> to </t>
        </r>
        <r>
          <rPr>
            <b/>
            <sz val="10"/>
            <color indexed="81"/>
            <rFont val="Tahoma"/>
            <family val="2"/>
          </rPr>
          <t xml:space="preserve">Evaluation </t>
        </r>
        <r>
          <rPr>
            <sz val="10"/>
            <color indexed="81"/>
            <rFont val="Tahoma"/>
            <family val="2"/>
          </rPr>
          <t xml:space="preserve">or </t>
        </r>
        <r>
          <rPr>
            <b/>
            <sz val="10"/>
            <color indexed="81"/>
            <rFont val="Tahoma"/>
            <family val="2"/>
          </rPr>
          <t>Regression</t>
        </r>
        <r>
          <rPr>
            <sz val="10"/>
            <color indexed="81"/>
            <rFont val="Tahoma"/>
            <family val="2"/>
          </rPr>
          <t>:
- Copy data of columns A and B from line 41 on
- When evaluating the effect of dispersion (simulation of experimental errors), copy columns A and D instead (select column A, press Ctrl and select column D)</t>
        </r>
      </text>
    </comment>
    <comment ref="A39" authorId="2" shapeId="0" xr:uid="{00000000-0006-0000-0300-00003F000000}">
      <text>
        <r>
          <rPr>
            <b/>
            <sz val="8"/>
            <color indexed="81"/>
            <rFont val="Tahoma"/>
            <family val="2"/>
          </rPr>
          <t>Gutz:</t>
        </r>
        <r>
          <rPr>
            <sz val="8"/>
            <color indexed="81"/>
            <rFont val="Tahoma"/>
            <family val="2"/>
          </rPr>
          <t xml:space="preserve">
</t>
        </r>
        <r>
          <rPr>
            <sz val="10"/>
            <color indexed="81"/>
            <rFont val="Tahoma"/>
            <family val="2"/>
          </rPr>
          <t xml:space="preserve">Data can be transferred from </t>
        </r>
        <r>
          <rPr>
            <b/>
            <sz val="10"/>
            <color indexed="81"/>
            <rFont val="Tahoma"/>
            <family val="2"/>
          </rPr>
          <t>Simulation</t>
        </r>
        <r>
          <rPr>
            <sz val="10"/>
            <color indexed="81"/>
            <rFont val="Tahoma"/>
            <family val="2"/>
          </rPr>
          <t xml:space="preserve"> to </t>
        </r>
        <r>
          <rPr>
            <b/>
            <sz val="10"/>
            <color indexed="81"/>
            <rFont val="Tahoma"/>
            <family val="2"/>
          </rPr>
          <t>Evaluation</t>
        </r>
        <r>
          <rPr>
            <sz val="10"/>
            <color indexed="81"/>
            <rFont val="Tahoma"/>
            <family val="2"/>
          </rPr>
          <t xml:space="preserve"> or </t>
        </r>
        <r>
          <rPr>
            <b/>
            <sz val="10"/>
            <color indexed="81"/>
            <rFont val="Tahoma"/>
            <family val="2"/>
          </rPr>
          <t xml:space="preserve">Regression </t>
        </r>
        <r>
          <rPr>
            <sz val="10"/>
            <color indexed="81"/>
            <rFont val="Tahoma"/>
            <family val="2"/>
          </rPr>
          <t>automatically by clicking on specific buttons available in these modules, or manually, as follows:
- Copy data of columns A and B starting at line 41
- When evaluating the effect of dispersion (simulation of experimental errors), copy columns A and D instead (select column A, press Ctrl and select column D)
- Paste data in columns A and B of the destination spreadsheet</t>
        </r>
      </text>
    </comment>
    <comment ref="B39" authorId="0" shapeId="0" xr:uid="{00000000-0006-0000-0300-000040000000}">
      <text>
        <r>
          <rPr>
            <b/>
            <sz val="8"/>
            <color indexed="81"/>
            <rFont val="Tahoma"/>
            <family val="2"/>
          </rPr>
          <t>Gutz:</t>
        </r>
        <r>
          <rPr>
            <sz val="8"/>
            <color indexed="81"/>
            <rFont val="Tahoma"/>
            <family val="2"/>
          </rPr>
          <t xml:space="preserve">
</t>
        </r>
        <r>
          <rPr>
            <sz val="10"/>
            <color indexed="81"/>
            <rFont val="Tahoma"/>
            <family val="2"/>
          </rPr>
          <t>CurTiPot's Virtual Titrator does not (yet) correct for the effect of ionic strength, I, on activity coefficients, taken as unity. Therefore, the "pH" is closer to =-log of the concentration of H</t>
        </r>
        <r>
          <rPr>
            <vertAlign val="superscript"/>
            <sz val="10"/>
            <color indexed="81"/>
            <rFont val="Tahoma"/>
            <family val="2"/>
          </rPr>
          <t>+</t>
        </r>
        <r>
          <rPr>
            <sz val="10"/>
            <color indexed="81"/>
            <rFont val="Tahoma"/>
            <family val="2"/>
          </rPr>
          <t xml:space="preserve"> than to=-log activity of H</t>
        </r>
        <r>
          <rPr>
            <vertAlign val="superscript"/>
            <sz val="10"/>
            <color indexed="81"/>
            <rFont val="Tahoma"/>
            <family val="2"/>
          </rPr>
          <t>+</t>
        </r>
        <r>
          <rPr>
            <sz val="10"/>
            <color indexed="81"/>
            <rFont val="Tahoma"/>
            <family val="2"/>
          </rPr>
          <t>. This does not change the volume of the inflections, nor the general shape of the curves although a slight vertical shift of some regions of the curve is expected. 
The apparent pKas and pKw for a given I can be computed in pH_Calc and pasted  here in cells K3 to Q10 of this spreadsheet to correct this limitation and obtain  p[H].
Refer to the</t>
        </r>
        <r>
          <rPr>
            <b/>
            <sz val="10"/>
            <color indexed="81"/>
            <rFont val="Tahoma"/>
            <family val="2"/>
          </rPr>
          <t xml:space="preserve"> pH_Calc </t>
        </r>
        <r>
          <rPr>
            <sz val="10"/>
            <color indexed="81"/>
            <rFont val="Tahoma"/>
            <family val="2"/>
          </rPr>
          <t xml:space="preserve">module to calculate the pH and activity coefficients of any aqueous solution and to </t>
        </r>
        <r>
          <rPr>
            <b/>
            <sz val="10"/>
            <color indexed="81"/>
            <rFont val="Tahoma"/>
            <family val="2"/>
          </rPr>
          <t>Regression</t>
        </r>
        <r>
          <rPr>
            <sz val="10"/>
            <color indexed="81"/>
            <rFont val="Tahoma"/>
            <family val="2"/>
          </rPr>
          <t xml:space="preserve"> to analyze data taking activity coefficients in account.
</t>
        </r>
      </text>
    </comment>
    <comment ref="C39" authorId="2" shapeId="0" xr:uid="{00000000-0006-0000-0300-000041000000}">
      <text>
        <r>
          <rPr>
            <b/>
            <sz val="8"/>
            <color indexed="81"/>
            <rFont val="Tahoma"/>
            <family val="2"/>
          </rPr>
          <t>Gutz:</t>
        </r>
        <r>
          <rPr>
            <sz val="8"/>
            <color indexed="81"/>
            <rFont val="Tahoma"/>
            <family val="2"/>
          </rPr>
          <t xml:space="preserve">
</t>
        </r>
        <r>
          <rPr>
            <sz val="10"/>
            <color indexed="81"/>
            <rFont val="Tahoma"/>
            <family val="2"/>
          </rPr>
          <t xml:space="preserve">Do </t>
        </r>
        <r>
          <rPr>
            <b/>
            <sz val="10"/>
            <color indexed="81"/>
            <rFont val="Tahoma"/>
            <family val="2"/>
          </rPr>
          <t>NOT</t>
        </r>
        <r>
          <rPr>
            <sz val="10"/>
            <color indexed="81"/>
            <rFont val="Tahoma"/>
            <family val="2"/>
          </rPr>
          <t xml:space="preserve"> use this column for Evaluation or Regression. 
Values displayed  to illustrate the simulated dispersion in the volume dispensing by the "buret".
This column will remain blank when null dispersion is chosen in J17 and J18.</t>
        </r>
      </text>
    </comment>
    <comment ref="D39" authorId="2" shapeId="0" xr:uid="{00000000-0006-0000-0300-000042000000}">
      <text>
        <r>
          <rPr>
            <b/>
            <sz val="8"/>
            <color indexed="81"/>
            <rFont val="Tahoma"/>
            <family val="2"/>
          </rPr>
          <t>Gutz:</t>
        </r>
        <r>
          <rPr>
            <sz val="8"/>
            <color indexed="81"/>
            <rFont val="Tahoma"/>
            <family val="2"/>
          </rPr>
          <t xml:space="preserve">
</t>
        </r>
        <r>
          <rPr>
            <sz val="10"/>
            <color indexed="81"/>
            <rFont val="Tahoma"/>
            <family val="2"/>
          </rPr>
          <t>These pH values with dispersion will be overlaid in the graphic
This column will remain blank when null dispersion is chosen in J17 and J18</t>
        </r>
      </text>
    </comment>
    <comment ref="E39" authorId="2" shapeId="0" xr:uid="{00000000-0006-0000-0300-000043000000}">
      <text>
        <r>
          <rPr>
            <b/>
            <sz val="8"/>
            <color indexed="81"/>
            <rFont val="Tahoma"/>
            <family val="2"/>
          </rPr>
          <t>Gutz:</t>
        </r>
        <r>
          <rPr>
            <sz val="8"/>
            <color indexed="81"/>
            <rFont val="Tahoma"/>
            <family val="2"/>
          </rPr>
          <t xml:space="preserve">
</t>
        </r>
        <r>
          <rPr>
            <sz val="10"/>
            <color indexed="81"/>
            <rFont val="Tahoma"/>
            <family val="2"/>
          </rPr>
          <t>Free hydrated proton concentration (or activity)</t>
        </r>
      </text>
    </comment>
    <comment ref="F39" authorId="2" shapeId="0" xr:uid="{00000000-0006-0000-0300-000044000000}">
      <text>
        <r>
          <rPr>
            <b/>
            <sz val="8"/>
            <color indexed="81"/>
            <rFont val="Tahoma"/>
            <family val="2"/>
          </rPr>
          <t>Gutz:</t>
        </r>
        <r>
          <rPr>
            <sz val="8"/>
            <color indexed="81"/>
            <rFont val="Tahoma"/>
            <family val="2"/>
          </rPr>
          <t xml:space="preserve">
</t>
        </r>
        <r>
          <rPr>
            <sz val="10"/>
            <color indexed="81"/>
            <rFont val="Tahoma"/>
            <family val="2"/>
          </rPr>
          <t>Total concentration of H+ required to satisfy all protonation equilibria, using the general equation, the concentration s of line 11 and the pKas given or under refinement.</t>
        </r>
      </text>
    </comment>
    <comment ref="G39" authorId="2" shapeId="0" xr:uid="{00000000-0006-0000-0300-000045000000}">
      <text>
        <r>
          <rPr>
            <b/>
            <sz val="10"/>
            <color indexed="81"/>
            <rFont val="Tahoma"/>
            <family val="2"/>
          </rPr>
          <t>Gutz:</t>
        </r>
        <r>
          <rPr>
            <sz val="10"/>
            <color indexed="81"/>
            <rFont val="Tahoma"/>
            <family val="2"/>
          </rPr>
          <t xml:space="preserve">
Dilution factor of the titrant when added to the sample (+water). For example, when the added titrant equals the volume of sample (+water), the factor is 0.5
</t>
        </r>
      </text>
    </comment>
    <comment ref="H39" authorId="2" shapeId="0" xr:uid="{00000000-0006-0000-0300-000046000000}">
      <text>
        <r>
          <rPr>
            <b/>
            <sz val="8"/>
            <color indexed="81"/>
            <rFont val="Tahoma"/>
            <family val="2"/>
          </rPr>
          <t>Gutz:</t>
        </r>
        <r>
          <rPr>
            <sz val="8"/>
            <color indexed="81"/>
            <rFont val="Tahoma"/>
            <family val="2"/>
          </rPr>
          <t xml:space="preserve">
</t>
        </r>
        <r>
          <rPr>
            <sz val="10"/>
            <color indexed="81"/>
            <rFont val="Tahoma"/>
            <family val="2"/>
          </rPr>
          <t>Dilution factor of the sample by optional addition of water (at the beginning) and addition of titrant during the experiment</t>
        </r>
      </text>
    </comment>
    <comment ref="I39" authorId="2" shapeId="0" xr:uid="{00000000-0006-0000-0300-000047000000}">
      <text>
        <r>
          <rPr>
            <b/>
            <sz val="8"/>
            <color indexed="81"/>
            <rFont val="Tahoma"/>
            <family val="2"/>
          </rPr>
          <t>Gutz:</t>
        </r>
        <r>
          <rPr>
            <sz val="8"/>
            <color indexed="81"/>
            <rFont val="Tahoma"/>
            <family val="2"/>
          </rPr>
          <t xml:space="preserve">
</t>
        </r>
        <r>
          <rPr>
            <sz val="10"/>
            <color indexed="81"/>
            <rFont val="Tahoma"/>
            <family val="2"/>
          </rPr>
          <t xml:space="preserve">Mean proton number, </t>
        </r>
        <r>
          <rPr>
            <strike/>
            <sz val="10"/>
            <color indexed="81"/>
            <rFont val="Tahoma"/>
            <family val="2"/>
          </rPr>
          <t>h</t>
        </r>
        <r>
          <rPr>
            <sz val="10"/>
            <color indexed="81"/>
            <rFont val="Tahoma"/>
            <family val="2"/>
          </rPr>
          <t xml:space="preserve">,  associated with a  base B at given pH. 
Consider HiB as partially dissociated at a given pH; </t>
        </r>
        <r>
          <rPr>
            <strike/>
            <sz val="10"/>
            <color indexed="81"/>
            <rFont val="Tahoma"/>
            <family val="2"/>
          </rPr>
          <t>h</t>
        </r>
        <r>
          <rPr>
            <sz val="10"/>
            <color indexed="81"/>
            <rFont val="Tahoma"/>
            <family val="2"/>
          </rPr>
          <t xml:space="preserve"> is the sum of the molar fraction times</t>
        </r>
        <r>
          <rPr>
            <b/>
            <sz val="10"/>
            <color indexed="81"/>
            <rFont val="Tahoma"/>
            <family val="2"/>
          </rPr>
          <t xml:space="preserve"> i</t>
        </r>
        <r>
          <rPr>
            <sz val="10"/>
            <color indexed="81"/>
            <rFont val="Tahoma"/>
            <family val="2"/>
          </rPr>
          <t xml:space="preserve"> of each species.</t>
        </r>
      </text>
    </comment>
    <comment ref="T40" authorId="1" shapeId="0" xr:uid="{00000000-0006-0000-0300-000048000000}">
      <text>
        <r>
          <rPr>
            <b/>
            <sz val="8"/>
            <color indexed="81"/>
            <rFont val="Tahoma"/>
            <family val="2"/>
          </rPr>
          <t>Gutz:</t>
        </r>
        <r>
          <rPr>
            <b/>
            <sz val="10"/>
            <color indexed="81"/>
            <rFont val="Tahoma"/>
            <family val="2"/>
          </rPr>
          <t xml:space="preserve">
</t>
        </r>
        <r>
          <rPr>
            <sz val="10"/>
            <color indexed="81"/>
            <rFont val="Tahoma"/>
            <family val="2"/>
          </rPr>
          <t>Summation of counterions and extra ions already taken in account in I (column S). See J14 for more information.</t>
        </r>
        <r>
          <rPr>
            <sz val="8"/>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Gutz</author>
    <author>Ivano Gebhardt Rolf Gutz</author>
    <author>GPQAI-51</author>
    <author>Ivano G. R. Gutz</author>
  </authors>
  <commentList>
    <comment ref="G1" authorId="0" shapeId="0" xr:uid="{00000000-0006-0000-0400-000001000000}">
      <text>
        <r>
          <rPr>
            <b/>
            <sz val="8"/>
            <color indexed="81"/>
            <rFont val="Tahoma"/>
            <family val="2"/>
          </rPr>
          <t>Gutz:</t>
        </r>
        <r>
          <rPr>
            <sz val="8"/>
            <color indexed="81"/>
            <rFont val="Tahoma"/>
            <family val="2"/>
          </rPr>
          <t xml:space="preserve">
</t>
        </r>
        <r>
          <rPr>
            <sz val="10"/>
            <color indexed="81"/>
            <rFont val="Tahoma"/>
            <family val="2"/>
          </rPr>
          <t xml:space="preserve">This module generates Distribution Diagrams, Buffer Capacity Curves and Protonation Curves as a function of pH for any acid-base system and also presents the same curves as a function of added titrant volume during a titration (real or virtual). To unravel the species equilibria along a titration curve with more than one weak acid or base in the sample, the systems can be plotted one at a time. The color transition of visual indicators can be also be inferred, helping to chose the right one for a given stoichiometric point.
Like most modules of CurTiPot </t>
        </r>
        <r>
          <rPr>
            <b/>
            <sz val="10"/>
            <color indexed="81"/>
            <rFont val="Tahoma"/>
            <family val="2"/>
          </rPr>
          <t>Distribution</t>
        </r>
        <r>
          <rPr>
            <sz val="10"/>
            <color indexed="81"/>
            <rFont val="Tahoma"/>
            <family val="2"/>
          </rPr>
          <t xml:space="preserve"> will not run properly until  macros are enabled following instructions at cell A22 of module pH_calc.
Remark: all curves are computed at a fixed ionic strength chosen in C7 (more information in cell B7).</t>
        </r>
        <r>
          <rPr>
            <sz val="8"/>
            <color indexed="81"/>
            <rFont val="Tahoma"/>
            <family val="2"/>
          </rPr>
          <t xml:space="preserve">
</t>
        </r>
        <r>
          <rPr>
            <sz val="10"/>
            <color indexed="81"/>
            <rFont val="Tahoma"/>
            <family val="2"/>
          </rPr>
          <t xml:space="preserve">The distribution diagrams (or alpha plots) of acids and bases reveal the molar fraction of each species in equilibrium at any pH of the solution. For example, a phosphoric acid / phosphate system at pH 7.0 (considering I=0 for a very dilutes solution):
</t>
        </r>
        <r>
          <rPr>
            <sz val="10"/>
            <color indexed="81"/>
            <rFont val="Symbol"/>
            <family val="1"/>
            <charset val="2"/>
          </rPr>
          <t>a</t>
        </r>
        <r>
          <rPr>
            <vertAlign val="subscript"/>
            <sz val="12"/>
            <color indexed="81"/>
            <rFont val="Symbol"/>
            <family val="1"/>
            <charset val="2"/>
          </rPr>
          <t>0</t>
        </r>
        <r>
          <rPr>
            <sz val="10"/>
            <color indexed="81"/>
            <rFont val="Symbol"/>
            <family val="1"/>
            <charset val="2"/>
          </rPr>
          <t xml:space="preserve"> </t>
        </r>
        <r>
          <rPr>
            <sz val="10"/>
            <color indexed="81"/>
            <rFont val="Tahoma"/>
            <family val="2"/>
          </rPr>
          <t>= 0.00  or 0% of phosphate; log</t>
        </r>
        <r>
          <rPr>
            <sz val="10"/>
            <color indexed="81"/>
            <rFont val="Symbol"/>
            <family val="1"/>
            <charset val="2"/>
          </rPr>
          <t xml:space="preserve"> a</t>
        </r>
        <r>
          <rPr>
            <vertAlign val="subscript"/>
            <sz val="12"/>
            <color indexed="81"/>
            <rFont val="Symbol"/>
            <family val="1"/>
            <charset val="2"/>
          </rPr>
          <t>0</t>
        </r>
        <r>
          <rPr>
            <sz val="10"/>
            <color indexed="81"/>
            <rFont val="Symbol"/>
            <family val="1"/>
            <charset val="2"/>
          </rPr>
          <t xml:space="preserve"> = -5.76 
a</t>
        </r>
        <r>
          <rPr>
            <vertAlign val="subscript"/>
            <sz val="12"/>
            <color indexed="81"/>
            <rFont val="Symbol"/>
            <family val="1"/>
            <charset val="2"/>
          </rPr>
          <t>1</t>
        </r>
        <r>
          <rPr>
            <sz val="10"/>
            <color indexed="81"/>
            <rFont val="Tahoma"/>
            <family val="2"/>
          </rPr>
          <t xml:space="preserve"> = 0.387  or 38.7% of hydrogen phosphate; log</t>
        </r>
        <r>
          <rPr>
            <sz val="10"/>
            <color indexed="81"/>
            <rFont val="Symbol"/>
            <family val="1"/>
            <charset val="2"/>
          </rPr>
          <t xml:space="preserve"> a</t>
        </r>
        <r>
          <rPr>
            <vertAlign val="subscript"/>
            <sz val="12"/>
            <color indexed="81"/>
            <rFont val="Symbol"/>
            <family val="1"/>
            <charset val="2"/>
          </rPr>
          <t>1</t>
        </r>
        <r>
          <rPr>
            <sz val="10"/>
            <color indexed="81"/>
            <rFont val="Tahoma"/>
            <family val="2"/>
          </rPr>
          <t xml:space="preserve"> = -0,412 </t>
        </r>
        <r>
          <rPr>
            <sz val="10"/>
            <color indexed="81"/>
            <rFont val="Symbol"/>
            <family val="1"/>
            <charset val="2"/>
          </rPr>
          <t xml:space="preserve">
a</t>
        </r>
        <r>
          <rPr>
            <vertAlign val="subscript"/>
            <sz val="12"/>
            <color indexed="81"/>
            <rFont val="Symbol"/>
            <family val="1"/>
            <charset val="2"/>
          </rPr>
          <t>2</t>
        </r>
        <r>
          <rPr>
            <sz val="10"/>
            <color indexed="81"/>
            <rFont val="Symbol"/>
            <family val="1"/>
            <charset val="2"/>
          </rPr>
          <t xml:space="preserve"> </t>
        </r>
        <r>
          <rPr>
            <sz val="10"/>
            <color indexed="81"/>
            <rFont val="Tahoma"/>
            <family val="2"/>
          </rPr>
          <t xml:space="preserve">= 0.613 or 61.3% of dihydrogen phosphate; log </t>
        </r>
        <r>
          <rPr>
            <sz val="10"/>
            <color indexed="81"/>
            <rFont val="Symbol"/>
            <family val="1"/>
            <charset val="2"/>
          </rPr>
          <t>a</t>
        </r>
        <r>
          <rPr>
            <vertAlign val="subscript"/>
            <sz val="12"/>
            <color indexed="81"/>
            <rFont val="Symbol"/>
            <family val="1"/>
            <charset val="2"/>
          </rPr>
          <t>2</t>
        </r>
        <r>
          <rPr>
            <sz val="10"/>
            <color indexed="81"/>
            <rFont val="Tahoma"/>
            <family val="2"/>
          </rPr>
          <t xml:space="preserve"> = -0,213</t>
        </r>
        <r>
          <rPr>
            <sz val="10"/>
            <color indexed="81"/>
            <rFont val="Symbol"/>
            <family val="1"/>
            <charset val="2"/>
          </rPr>
          <t xml:space="preserve">
a</t>
        </r>
        <r>
          <rPr>
            <vertAlign val="subscript"/>
            <sz val="12"/>
            <color indexed="81"/>
            <rFont val="Symbol"/>
            <family val="1"/>
            <charset val="2"/>
          </rPr>
          <t>3</t>
        </r>
        <r>
          <rPr>
            <sz val="10"/>
            <color indexed="81"/>
            <rFont val="Symbol"/>
            <family val="1"/>
            <charset val="2"/>
          </rPr>
          <t xml:space="preserve"> </t>
        </r>
        <r>
          <rPr>
            <sz val="10"/>
            <color indexed="81"/>
            <rFont val="Tahoma"/>
            <family val="2"/>
          </rPr>
          <t xml:space="preserve">= 0.00   or 0% of phosphoric acid; log </t>
        </r>
        <r>
          <rPr>
            <sz val="10"/>
            <color indexed="81"/>
            <rFont val="Symbol"/>
            <family val="1"/>
            <charset val="2"/>
          </rPr>
          <t>a</t>
        </r>
        <r>
          <rPr>
            <vertAlign val="subscript"/>
            <sz val="12"/>
            <color indexed="81"/>
            <rFont val="Symbol"/>
            <family val="1"/>
            <charset val="2"/>
          </rPr>
          <t>3</t>
        </r>
        <r>
          <rPr>
            <sz val="10"/>
            <color indexed="81"/>
            <rFont val="Tahoma"/>
            <family val="2"/>
          </rPr>
          <t xml:space="preserve"> = -5.07</t>
        </r>
        <r>
          <rPr>
            <sz val="10"/>
            <color indexed="81"/>
            <rFont val="Symbol"/>
            <family val="1"/>
            <charset val="2"/>
          </rPr>
          <t xml:space="preserve">
</t>
        </r>
        <r>
          <rPr>
            <sz val="10"/>
            <color indexed="81"/>
            <rFont val="Tahoma"/>
            <family val="2"/>
          </rPr>
          <t xml:space="preserve">Since the index i of </t>
        </r>
        <r>
          <rPr>
            <sz val="12"/>
            <color indexed="81"/>
            <rFont val="Symbol"/>
            <family val="1"/>
            <charset val="2"/>
          </rPr>
          <t>a</t>
        </r>
        <r>
          <rPr>
            <vertAlign val="subscript"/>
            <sz val="12"/>
            <color indexed="81"/>
            <rFont val="Tahoma"/>
            <family val="2"/>
          </rPr>
          <t>i</t>
        </r>
        <r>
          <rPr>
            <sz val="10"/>
            <color indexed="81"/>
            <rFont val="Tahoma"/>
            <family val="2"/>
          </rPr>
          <t xml:space="preserve"> is the number or protons bound to the base, the dominant species is H</t>
        </r>
        <r>
          <rPr>
            <vertAlign val="subscript"/>
            <sz val="12"/>
            <color indexed="81"/>
            <rFont val="Tahoma"/>
            <family val="2"/>
          </rPr>
          <t>2</t>
        </r>
        <r>
          <rPr>
            <sz val="10"/>
            <color indexed="81"/>
            <rFont val="Tahoma"/>
            <family val="2"/>
          </rPr>
          <t>PO</t>
        </r>
        <r>
          <rPr>
            <vertAlign val="subscript"/>
            <sz val="12"/>
            <color indexed="81"/>
            <rFont val="Tahoma"/>
            <family val="2"/>
          </rPr>
          <t>4</t>
        </r>
        <r>
          <rPr>
            <vertAlign val="superscript"/>
            <sz val="12"/>
            <color indexed="81"/>
            <rFont val="Tahoma"/>
            <family val="2"/>
          </rPr>
          <t>–</t>
        </r>
        <r>
          <rPr>
            <sz val="10"/>
            <color indexed="81"/>
            <rFont val="Tahoma"/>
            <family val="2"/>
          </rPr>
          <t>, with 61.3%, followed by HPO</t>
        </r>
        <r>
          <rPr>
            <vertAlign val="subscript"/>
            <sz val="12"/>
            <color indexed="81"/>
            <rFont val="Tahoma"/>
            <family val="2"/>
          </rPr>
          <t>4</t>
        </r>
        <r>
          <rPr>
            <vertAlign val="superscript"/>
            <sz val="12"/>
            <color indexed="81"/>
            <rFont val="Tahoma"/>
            <family val="2"/>
          </rPr>
          <t>=</t>
        </r>
        <r>
          <rPr>
            <sz val="10"/>
            <color indexed="81"/>
            <rFont val="Tahoma"/>
            <family val="2"/>
          </rPr>
          <t xml:space="preserve"> with 38.7%, while only 0.0002%  of phosphate and 0.0009% of H</t>
        </r>
        <r>
          <rPr>
            <vertAlign val="subscript"/>
            <sz val="12"/>
            <color indexed="81"/>
            <rFont val="Tahoma"/>
            <family val="2"/>
          </rPr>
          <t>3</t>
        </r>
        <r>
          <rPr>
            <sz val="10"/>
            <color indexed="81"/>
            <rFont val="Tahoma"/>
            <family val="2"/>
          </rPr>
          <t>PO</t>
        </r>
        <r>
          <rPr>
            <vertAlign val="subscript"/>
            <sz val="12"/>
            <color indexed="81"/>
            <rFont val="Tahoma"/>
            <family val="2"/>
          </rPr>
          <t>4</t>
        </r>
        <r>
          <rPr>
            <sz val="10"/>
            <color indexed="81"/>
            <rFont val="Tahoma"/>
            <family val="2"/>
          </rPr>
          <t xml:space="preserve"> coexist at this pH; the average number of protons bound to each phosphate at this pH is 1.61, as shown in column P.
All numerical values of the graphs are available in columns O to BL.
</t>
        </r>
      </text>
    </comment>
    <comment ref="E2" authorId="0" shapeId="0" xr:uid="{00000000-0006-0000-0400-000002000000}">
      <text>
        <r>
          <rPr>
            <b/>
            <sz val="8"/>
            <color indexed="81"/>
            <rFont val="Tahoma"/>
            <family val="2"/>
          </rPr>
          <t>Gutz:</t>
        </r>
        <r>
          <rPr>
            <sz val="8"/>
            <color indexed="81"/>
            <rFont val="Tahoma"/>
            <family val="2"/>
          </rPr>
          <t xml:space="preserve">
</t>
        </r>
        <r>
          <rPr>
            <sz val="10"/>
            <color indexed="81"/>
            <rFont val="Tahoma"/>
            <family val="2"/>
          </rPr>
          <t>How to load pKas:
a) Click on control E3, slide along the list, click on a name; the  pKas will be loaded from the Database; finally, click on B3 to plot the curves;
b) Systems unavailable in the Database (real or hypothetical) should be added first to the Database; write the name and pKas in line 10 of the Database (or at the end of the list); return to Distribution and proceed as in a).
To add frequently used systems permanently to the Database, simply save the updated curtipot_.xlsm file.</t>
        </r>
      </text>
    </comment>
    <comment ref="G2" authorId="0" shapeId="0" xr:uid="{00000000-0006-0000-0400-000003000000}">
      <text>
        <r>
          <rPr>
            <b/>
            <sz val="8"/>
            <color indexed="81"/>
            <rFont val="Tahoma"/>
            <family val="2"/>
          </rPr>
          <t>Gutz:</t>
        </r>
        <r>
          <rPr>
            <sz val="8"/>
            <color indexed="81"/>
            <rFont val="Tahoma"/>
            <family val="2"/>
          </rPr>
          <t xml:space="preserve">
</t>
        </r>
        <r>
          <rPr>
            <sz val="10"/>
            <color indexed="81"/>
            <rFont val="Tahoma"/>
            <family val="2"/>
          </rPr>
          <t xml:space="preserve">The betas are cumulative (or global) protonation constants, obtained by multiplying the protonation constants Kp from 1 to i, with i stepping up from 1 to n (the maximum number of protons accepted by a (conjugated) base, same as the maximum number of dissociable protons of an acid, but in reversed order). 
Note that pKa = logKp for a monoprotic acid (because Kp = 1/Kd or pKd = 1/logKd ) and, for multiprotic systems, the first logKp is the last pKa.
</t>
        </r>
      </text>
    </comment>
    <comment ref="E4" authorId="0" shapeId="0" xr:uid="{00000000-0006-0000-0400-000004000000}">
      <text>
        <r>
          <rPr>
            <b/>
            <sz val="8"/>
            <color indexed="81"/>
            <rFont val="Tahoma"/>
            <family val="2"/>
          </rPr>
          <t>Gutz:</t>
        </r>
        <r>
          <rPr>
            <sz val="8"/>
            <color indexed="81"/>
            <rFont val="Tahoma"/>
            <family val="2"/>
          </rPr>
          <t xml:space="preserve">
</t>
        </r>
        <r>
          <rPr>
            <sz val="10"/>
            <color indexed="81"/>
            <rFont val="Tahoma"/>
            <family val="2"/>
          </rPr>
          <t xml:space="preserve">Do </t>
        </r>
        <r>
          <rPr>
            <b/>
            <sz val="10"/>
            <color indexed="81"/>
            <rFont val="Tahoma"/>
            <family val="2"/>
          </rPr>
          <t>not</t>
        </r>
        <r>
          <rPr>
            <sz val="10"/>
            <color indexed="81"/>
            <rFont val="Tahoma"/>
            <family val="2"/>
          </rPr>
          <t xml:space="preserve"> write here! 
Click on </t>
        </r>
        <r>
          <rPr>
            <b/>
            <sz val="10"/>
            <color indexed="81"/>
            <rFont val="Tahoma"/>
            <family val="2"/>
          </rPr>
          <t>D3</t>
        </r>
        <r>
          <rPr>
            <sz val="10"/>
            <color indexed="81"/>
            <rFont val="Tahoma"/>
            <family val="2"/>
          </rPr>
          <t xml:space="preserve"> to select an acid or base.
To try other real or hypothetical systems,  write their pKas in line 10 of the </t>
        </r>
        <r>
          <rPr>
            <b/>
            <sz val="10"/>
            <color indexed="81"/>
            <rFont val="Tahoma"/>
            <family val="2"/>
          </rPr>
          <t>Database</t>
        </r>
        <r>
          <rPr>
            <sz val="10"/>
            <color indexed="81"/>
            <rFont val="Tahoma"/>
            <family val="2"/>
          </rPr>
          <t xml:space="preserve"> (or at the end of the list); return to </t>
        </r>
        <r>
          <rPr>
            <b/>
            <sz val="10"/>
            <color indexed="81"/>
            <rFont val="Tahoma"/>
            <family val="2"/>
          </rPr>
          <t>Distribution</t>
        </r>
        <r>
          <rPr>
            <sz val="10"/>
            <color indexed="81"/>
            <rFont val="Tahoma"/>
            <family val="2"/>
          </rPr>
          <t xml:space="preserve"> and proceed as before. 
</t>
        </r>
      </text>
    </comment>
    <comment ref="F4" authorId="0" shapeId="0" xr:uid="{00000000-0006-0000-0400-000005000000}">
      <text>
        <r>
          <rPr>
            <b/>
            <sz val="8"/>
            <color indexed="81"/>
            <rFont val="Tahoma"/>
            <family val="2"/>
          </rPr>
          <t>Gutz:</t>
        </r>
        <r>
          <rPr>
            <sz val="8"/>
            <color indexed="81"/>
            <rFont val="Tahoma"/>
            <family val="2"/>
          </rPr>
          <t xml:space="preserve">
</t>
        </r>
        <r>
          <rPr>
            <sz val="10"/>
            <color indexed="81"/>
            <rFont val="Tahoma"/>
            <family val="2"/>
          </rPr>
          <t>Blank cells were filled with a neglectable constant ,10</t>
        </r>
        <r>
          <rPr>
            <vertAlign val="superscript"/>
            <sz val="12"/>
            <color indexed="81"/>
            <rFont val="Tahoma"/>
            <family val="2"/>
          </rPr>
          <t>-10</t>
        </r>
        <r>
          <rPr>
            <sz val="10"/>
            <color indexed="81"/>
            <rFont val="Tahoma"/>
            <family val="2"/>
          </rPr>
          <t>,  for calculation convenience.
The betas are cumulative (or global) protonation constants, obtained by the product of the protonation constants Kp from 1 to i, with i stepping up to n (the maximum number of protons accepted by a base, same as the maximum number of dissociable protons of an acid, but in reversed order).
Note that pKa = logKp for a monoprotic acid (because Kp = 1/Kd or pKd = 1/logKd ) and, for multiprotic systems, the first logKp is the last pKa.
Protonation constants, Kp, and betas are preferred here in agreement with the most extensive compilations of equilibrium constants, e.g., Critical Stability Constants, Vol. 1–4 (complete reference in the Database), and because the equations become unified with those used for metal-ligand-proton equilibria, based on formation (instead of dissociation) constants.</t>
        </r>
      </text>
    </comment>
    <comment ref="G4" authorId="1" shapeId="0" xr:uid="{00000000-0006-0000-0400-000006000000}">
      <text>
        <r>
          <rPr>
            <b/>
            <sz val="8"/>
            <color indexed="81"/>
            <rFont val="Tahoma"/>
            <family val="2"/>
          </rPr>
          <t>Gutz</t>
        </r>
        <r>
          <rPr>
            <b/>
            <sz val="8"/>
            <color indexed="81"/>
            <rFont val="Tahoma"/>
            <family val="2"/>
          </rPr>
          <t>:</t>
        </r>
        <r>
          <rPr>
            <sz val="8"/>
            <color indexed="81"/>
            <rFont val="Tahoma"/>
            <family val="2"/>
          </rPr>
          <t xml:space="preserve">
</t>
        </r>
        <r>
          <rPr>
            <sz val="10"/>
            <color indexed="81"/>
            <rFont val="Tahoma"/>
            <family val="2"/>
          </rPr>
          <t>Do NOT write in this cell or any other one of the same color, not to corrupt  the equations.</t>
        </r>
      </text>
    </comment>
    <comment ref="H4" authorId="1" shapeId="0" xr:uid="{00000000-0006-0000-0400-000007000000}">
      <text>
        <r>
          <rPr>
            <b/>
            <sz val="8"/>
            <color indexed="81"/>
            <rFont val="Tahoma"/>
            <family val="2"/>
          </rPr>
          <t>Gutz</t>
        </r>
        <r>
          <rPr>
            <b/>
            <sz val="8"/>
            <color indexed="81"/>
            <rFont val="Tahoma"/>
            <family val="2"/>
          </rPr>
          <t>:</t>
        </r>
        <r>
          <rPr>
            <sz val="8"/>
            <color indexed="81"/>
            <rFont val="Tahoma"/>
            <family val="2"/>
          </rPr>
          <t xml:space="preserve">
</t>
        </r>
        <r>
          <rPr>
            <sz val="10"/>
            <color indexed="81"/>
            <rFont val="Tahoma"/>
            <family val="2"/>
          </rPr>
          <t>Do NOT write in this cell or any other one of the same color, not to corrupt  the equations.</t>
        </r>
      </text>
    </comment>
    <comment ref="B7" authorId="2" shapeId="0" xr:uid="{00000000-0006-0000-0400-000008000000}">
      <text>
        <r>
          <rPr>
            <b/>
            <sz val="8"/>
            <color indexed="81"/>
            <rFont val="Tahoma"/>
            <family val="2"/>
          </rPr>
          <t>Gutz:</t>
        </r>
        <r>
          <rPr>
            <sz val="10"/>
            <color indexed="81"/>
            <rFont val="Tahoma"/>
            <family val="2"/>
          </rPr>
          <t xml:space="preserve">
All curves and the isoelectric point calculated using the Davies equation for the estimation of the activity coefficient at this fixed ionic strength, I, chosen in C7 (limitations of the Davies equation at I&gt;0,1 mol/L are commented in the pH_calc module).
Along a titration, while the pH is changing, uncharged species can be replaced by charged ones and vice versa, causing some variation of the ionic strength (not taken in account here, where I is assumed to be constant, but computed in the pH_calc, Simulation and Regression modules). 
However, when the aim of a titration is to determine equilibrium constants like pKas (instead of concentrations in a sample), an effort is usually made to keep I as constant as possible by addition of inert electrolyte (like KNO</t>
        </r>
        <r>
          <rPr>
            <vertAlign val="subscript"/>
            <sz val="12"/>
            <color indexed="81"/>
            <rFont val="Tahoma"/>
            <family val="2"/>
          </rPr>
          <t>3</t>
        </r>
        <r>
          <rPr>
            <sz val="10"/>
            <color indexed="81"/>
            <rFont val="Tahoma"/>
            <family val="2"/>
          </rPr>
          <t xml:space="preserve"> or NaClO</t>
        </r>
        <r>
          <rPr>
            <vertAlign val="subscript"/>
            <sz val="12"/>
            <color indexed="81"/>
            <rFont val="Tahoma"/>
            <family val="2"/>
          </rPr>
          <t>4</t>
        </r>
        <r>
          <rPr>
            <sz val="10"/>
            <color indexed="81"/>
            <rFont val="Tahoma"/>
            <family val="2"/>
          </rPr>
          <t>) to the titrant and titrand solutions. Eventually, many titrations as made at decreasing I and  extrapolation to I=0 is made to obtain thermodynamic pKas, like most in the Database of CurTiPot.</t>
        </r>
      </text>
    </comment>
    <comment ref="M7" authorId="1" shapeId="0" xr:uid="{00000000-0006-0000-0400-000009000000}">
      <text>
        <r>
          <rPr>
            <b/>
            <sz val="8"/>
            <color indexed="81"/>
            <rFont val="Tahoma"/>
            <family val="2"/>
          </rPr>
          <t>Gutz:</t>
        </r>
        <r>
          <rPr>
            <sz val="8"/>
            <color indexed="81"/>
            <rFont val="Tahoma"/>
            <family val="2"/>
          </rPr>
          <t xml:space="preserve">
</t>
        </r>
        <r>
          <rPr>
            <sz val="10"/>
            <color indexed="81"/>
            <rFont val="Tahoma"/>
            <family val="2"/>
          </rPr>
          <t>Hover the mouse on a curve and point any data point to readout its ID and coordinates.
To add labels to your graphics, activate the drawing tools of Excel and insert text boxes.</t>
        </r>
      </text>
    </comment>
    <comment ref="B8" authorId="3" shapeId="0" xr:uid="{00000000-0006-0000-0400-00000A000000}">
      <text>
        <r>
          <rPr>
            <b/>
            <sz val="8"/>
            <color indexed="81"/>
            <rFont val="Tahoma"/>
            <family val="2"/>
          </rPr>
          <t xml:space="preserve">Gutz:
</t>
        </r>
        <r>
          <rPr>
            <sz val="10"/>
            <color indexed="81"/>
            <rFont val="Tahoma"/>
            <family val="2"/>
          </rPr>
          <t>Buffer Capacity=Buffer Strength x ln(10)</t>
        </r>
        <r>
          <rPr>
            <b/>
            <sz val="8"/>
            <color indexed="81"/>
            <rFont val="Tahoma"/>
            <family val="2"/>
          </rPr>
          <t xml:space="preserve">
</t>
        </r>
        <r>
          <rPr>
            <sz val="10"/>
            <color indexed="81"/>
            <rFont val="Tahoma"/>
            <family val="2"/>
          </rPr>
          <t xml:space="preserve">The Buffer Capacity, BC, (or Buffer Index) can be understood as the concentration of strong acid or base that, when added to the solution under consideration, would shift the pH by one unit, in a hypothetical pH region of constant BC. Since the BC changes (sometimes, rapidly) with pH (as shown in Figures 2a, 2b, 4a and 4b), estimates of the resistance against acid or base addition are reasonably accurate only for a </t>
        </r>
        <r>
          <rPr>
            <sz val="10"/>
            <color indexed="81"/>
            <rFont val="Symbol"/>
            <family val="1"/>
            <charset val="2"/>
          </rPr>
          <t>D</t>
        </r>
        <r>
          <rPr>
            <sz val="10"/>
            <color indexed="81"/>
            <rFont val="Tahoma"/>
            <family val="2"/>
          </rPr>
          <t>pH of 0.1 or less. 
See an example of BC in comment of cell N37.
Use the pH_calc module to work out more examples (read also cell E27).
Detailed explanation and references, see, e.g., the open access article: Understanding, Deriving, and Computing Buffer Capacity, by Edward T. Urbansky and Michael R. Schock, Journal of Chemical Education, 2000, Vol. 77, 1640-44, http://pubs.acs.org/doi/pdf/10.1021/ed077p1640.</t>
        </r>
      </text>
    </comment>
    <comment ref="M8" authorId="1" shapeId="0" xr:uid="{00000000-0006-0000-0400-00000B000000}">
      <text>
        <r>
          <rPr>
            <b/>
            <sz val="8"/>
            <color indexed="81"/>
            <rFont val="Tahoma"/>
            <family val="2"/>
          </rPr>
          <t>Gutz:</t>
        </r>
        <r>
          <rPr>
            <sz val="8"/>
            <color indexed="81"/>
            <rFont val="Tahoma"/>
            <family val="2"/>
          </rPr>
          <t xml:space="preserve">
</t>
        </r>
        <r>
          <rPr>
            <sz val="10"/>
            <color indexed="81"/>
            <rFont val="Tahoma"/>
            <family val="2"/>
          </rPr>
          <t xml:space="preserve">To copy graphics with simulated curves and paste them into other documents (e.g.: Word or Excel without links to the original:
- Fill out the header of the figure (optional)
- Click in the box of the figure near the margins, to select it
  (for Excel versions older than 12 (2007) - Uncheck/check F25 to replot the curve) </t>
        </r>
        <r>
          <rPr>
            <b/>
            <sz val="10"/>
            <color indexed="81"/>
            <rFont val="Tahoma"/>
            <family val="2"/>
          </rPr>
          <t xml:space="preserve">
</t>
        </r>
        <r>
          <rPr>
            <sz val="10"/>
            <color indexed="81"/>
            <rFont val="Tahoma"/>
            <family val="2"/>
          </rPr>
          <t>- Press Ctrl+C (and wait for processing)
- Switch to the Word document or another Excel spreadsheet 
- Select Insert/Paste Special/Picture (enhanced metafile)
Obs.: do NOT use Ctrl+C and Ctrl+V, because the figure may become coupled with CurTiPot and respond to changes.</t>
        </r>
      </text>
    </comment>
    <comment ref="M9" authorId="1" shapeId="0" xr:uid="{00000000-0006-0000-0400-00000C000000}">
      <text>
        <r>
          <rPr>
            <b/>
            <sz val="10"/>
            <color indexed="81"/>
            <rFont val="Tahoma"/>
            <family val="2"/>
          </rPr>
          <t>Gutz:</t>
        </r>
        <r>
          <rPr>
            <sz val="10"/>
            <color indexed="81"/>
            <rFont val="Tahoma"/>
            <family val="2"/>
          </rPr>
          <t xml:space="preserve">
Click twice on the volume or pH scale to redefine it.
Use Ctrl+Z (as many times as needed) to undo scale expansion</t>
        </r>
      </text>
    </comment>
    <comment ref="D10" authorId="0" shapeId="0" xr:uid="{00000000-0006-0000-0400-00000D000000}">
      <text>
        <r>
          <rPr>
            <b/>
            <sz val="8"/>
            <color indexed="81"/>
            <rFont val="Tahoma"/>
            <family val="2"/>
          </rPr>
          <t xml:space="preserve">Gutz: 
</t>
        </r>
        <r>
          <rPr>
            <sz val="10"/>
            <color indexed="81"/>
            <rFont val="Tahoma"/>
            <family val="2"/>
          </rPr>
          <t>Charge of the most deprotonated species of an acid or base in accordance with the highest pKa for the system, e.g., 
 0 for NH3 or pyridine
-1 for acetate/acetic acid
-2 for carbonate//carbonic acid
-3 for phosphate///phosphoric acid 
-4 for EDTA</t>
        </r>
      </text>
    </comment>
    <comment ref="X10" authorId="3" shapeId="0" xr:uid="{00000000-0006-0000-0400-00000E000000}">
      <text>
        <r>
          <rPr>
            <b/>
            <sz val="8"/>
            <color indexed="81"/>
            <rFont val="Tahoma"/>
            <family val="2"/>
          </rPr>
          <t xml:space="preserve">Gutz:
</t>
        </r>
        <r>
          <rPr>
            <sz val="10"/>
            <color indexed="81"/>
            <rFont val="Tahoma"/>
            <family val="2"/>
          </rPr>
          <t xml:space="preserve">The Buffer Capacity, BC, (or Buffer Index, BI) can be understood as the concentration of (strong) acid or sodium hydroxide that, when added to the solution under consideration, would shift the pH by one unit, in a hypothetical pH region of constant BC. Since BC can change  rapidly with pH (as shown in Figures 3 and 7 in "Distribution"), estimates of the resistance against acid or base addition are reasonably accurate only for 0.1 </t>
        </r>
        <r>
          <rPr>
            <sz val="10"/>
            <color indexed="81"/>
            <rFont val="Symbol"/>
            <family val="1"/>
            <charset val="2"/>
          </rPr>
          <t>D</t>
        </r>
        <r>
          <rPr>
            <sz val="10"/>
            <color indexed="81"/>
            <rFont val="Tahoma"/>
            <family val="2"/>
          </rPr>
          <t>pH or less.
For example, a buffer solution of pH 7.001 prepared with 0.0200 mol/L NaH</t>
        </r>
        <r>
          <rPr>
            <vertAlign val="subscript"/>
            <sz val="12"/>
            <color indexed="81"/>
            <rFont val="Tahoma"/>
            <family val="2"/>
          </rPr>
          <t>2</t>
        </r>
        <r>
          <rPr>
            <sz val="10"/>
            <color indexed="81"/>
            <rFont val="Tahoma"/>
            <family val="2"/>
          </rPr>
          <t>PO</t>
        </r>
        <r>
          <rPr>
            <vertAlign val="subscript"/>
            <sz val="12"/>
            <color indexed="81"/>
            <rFont val="Tahoma"/>
            <family val="2"/>
          </rPr>
          <t>4</t>
        </r>
        <r>
          <rPr>
            <sz val="10"/>
            <color indexed="81"/>
            <rFont val="Tahoma"/>
            <family val="2"/>
          </rPr>
          <t xml:space="preserve">  and 0.0265 mol/L Na</t>
        </r>
        <r>
          <rPr>
            <vertAlign val="subscript"/>
            <sz val="12"/>
            <color indexed="81"/>
            <rFont val="Tahoma"/>
            <family val="2"/>
          </rPr>
          <t>2</t>
        </r>
        <r>
          <rPr>
            <sz val="10"/>
            <color indexed="81"/>
            <rFont val="Tahoma"/>
            <family val="2"/>
          </rPr>
          <t>HPO</t>
        </r>
        <r>
          <rPr>
            <vertAlign val="subscript"/>
            <sz val="12"/>
            <color indexed="81"/>
            <rFont val="Tahoma"/>
            <family val="2"/>
          </rPr>
          <t>4</t>
        </r>
        <r>
          <rPr>
            <sz val="10"/>
            <color indexed="81"/>
            <rFont val="Tahoma"/>
            <family val="2"/>
          </rPr>
          <t xml:space="preserve"> presents a BC= 0.02625. 
i) The addition of acid or base in a BC/10 concentration, aiming a </t>
        </r>
        <r>
          <rPr>
            <sz val="10"/>
            <color indexed="81"/>
            <rFont val="Symbol"/>
            <family val="1"/>
            <charset val="2"/>
          </rPr>
          <t>D</t>
        </r>
        <r>
          <rPr>
            <sz val="10"/>
            <color indexed="81"/>
            <rFont val="Tahoma"/>
            <family val="2"/>
          </rPr>
          <t xml:space="preserve">pH of 0.1, renders an accurate result. Calculation of the pH of the described buffer plus 0.002625 mol/L HCl shows a pH to  6.904, close to the expected 6.901; a similar concentration of NaOH increases the pH to 7.098, practically 7.101.
ii) The addition of a concentration equal to BC of strong acid or base produces a </t>
        </r>
        <r>
          <rPr>
            <sz val="10"/>
            <color indexed="81"/>
            <rFont val="Symbol"/>
            <family val="1"/>
            <charset val="2"/>
          </rPr>
          <t>D</t>
        </r>
        <r>
          <rPr>
            <sz val="10"/>
            <color indexed="81"/>
            <rFont val="Tahoma"/>
            <family val="2"/>
          </rPr>
          <t>pH larger than the aimed one unit, because, for the example under consideration, BC presents a maximum at pH 6.87 (see Distribution). Addition of [HCl]=0.02625 mol/L renders a pH of 4.79 instead of 6.00 while addition of [NaOH]=0.02625 mol/L raises the pH to 10.86 (an overshot of 2.9 units, worse than in the acidic side because there is more HPO</t>
        </r>
        <r>
          <rPr>
            <vertAlign val="subscript"/>
            <sz val="12"/>
            <color indexed="81"/>
            <rFont val="Tahoma"/>
            <family val="2"/>
          </rPr>
          <t>4</t>
        </r>
        <r>
          <rPr>
            <vertAlign val="superscript"/>
            <sz val="12"/>
            <color indexed="81"/>
            <rFont val="Tahoma"/>
            <family val="2"/>
          </rPr>
          <t>2-</t>
        </r>
        <r>
          <rPr>
            <sz val="10"/>
            <color indexed="81"/>
            <rFont val="Tahoma"/>
            <family val="2"/>
          </rPr>
          <t xml:space="preserve"> than H</t>
        </r>
        <r>
          <rPr>
            <vertAlign val="subscript"/>
            <sz val="12"/>
            <color indexed="81"/>
            <rFont val="Tahoma"/>
            <family val="2"/>
          </rPr>
          <t>2</t>
        </r>
        <r>
          <rPr>
            <sz val="10"/>
            <color indexed="81"/>
            <rFont val="Tahoma"/>
            <family val="2"/>
          </rPr>
          <t>PO</t>
        </r>
        <r>
          <rPr>
            <vertAlign val="subscript"/>
            <sz val="12"/>
            <color indexed="81"/>
            <rFont val="Tahoma"/>
            <family val="2"/>
          </rPr>
          <t>4</t>
        </r>
        <r>
          <rPr>
            <vertAlign val="superscript"/>
            <sz val="12"/>
            <color indexed="81"/>
            <rFont val="Tahoma"/>
            <family val="2"/>
          </rPr>
          <t>-</t>
        </r>
        <r>
          <rPr>
            <sz val="10"/>
            <color indexed="81"/>
            <rFont val="Tahoma"/>
            <family val="2"/>
          </rPr>
          <t xml:space="preserve"> in the buffer). 
More about, e.g.: Understanding, Deriving, and Computing Buffer Capacity, by Edward T. Urbansky and Michael R. Schock, Journal of Chemical Education,  2000, Vol. 77, 1640-44 and references cited therein.</t>
        </r>
      </text>
    </comment>
    <comment ref="BI11" authorId="2" shapeId="0" xr:uid="{00000000-0006-0000-0400-00000F000000}">
      <text>
        <r>
          <rPr>
            <b/>
            <sz val="8"/>
            <color indexed="81"/>
            <rFont val="Tahoma"/>
            <family val="2"/>
          </rPr>
          <t>Gutz:</t>
        </r>
        <r>
          <rPr>
            <sz val="8"/>
            <color indexed="81"/>
            <rFont val="Tahoma"/>
            <family val="2"/>
          </rPr>
          <t xml:space="preserve">
</t>
        </r>
        <r>
          <rPr>
            <sz val="10"/>
            <color indexed="81"/>
            <rFont val="Tahoma"/>
            <family val="2"/>
          </rPr>
          <t>Mean charge of species HiB at each pH.</t>
        </r>
      </text>
    </comment>
    <comment ref="BK11" authorId="2" shapeId="0" xr:uid="{00000000-0006-0000-0400-000010000000}">
      <text>
        <r>
          <rPr>
            <b/>
            <sz val="8"/>
            <color indexed="81"/>
            <rFont val="Tahoma"/>
            <family val="2"/>
          </rPr>
          <t>Gutz:</t>
        </r>
        <r>
          <rPr>
            <sz val="8"/>
            <color indexed="81"/>
            <rFont val="Tahoma"/>
            <family val="2"/>
          </rPr>
          <t xml:space="preserve">
</t>
        </r>
        <r>
          <rPr>
            <sz val="10"/>
            <color indexed="81"/>
            <rFont val="Tahoma"/>
            <family val="2"/>
          </rPr>
          <t>Mean charge of species HiB at each volume.</t>
        </r>
      </text>
    </comment>
    <comment ref="C12" authorId="1" shapeId="0" xr:uid="{00000000-0006-0000-0400-000011000000}">
      <text>
        <r>
          <rPr>
            <b/>
            <sz val="8"/>
            <color indexed="81"/>
            <rFont val="Tahoma"/>
            <family val="2"/>
          </rPr>
          <t>Gutz:</t>
        </r>
        <r>
          <rPr>
            <sz val="8"/>
            <color indexed="81"/>
            <rFont val="Tahoma"/>
            <family val="2"/>
          </rPr>
          <t xml:space="preserve">
</t>
        </r>
        <r>
          <rPr>
            <sz val="10"/>
            <color indexed="81"/>
            <rFont val="Tahoma"/>
            <family val="2"/>
          </rPr>
          <t xml:space="preserve">The </t>
        </r>
        <r>
          <rPr>
            <b/>
            <sz val="10"/>
            <color indexed="81"/>
            <rFont val="Tahoma"/>
            <family val="2"/>
          </rPr>
          <t xml:space="preserve">isoelectric point </t>
        </r>
        <r>
          <rPr>
            <sz val="10"/>
            <color indexed="81"/>
            <rFont val="Tahoma"/>
            <family val="2"/>
          </rPr>
          <t>(pI) corresponds to the pH value where polyfunctional species  (zwitterions) like amino acids, in average, present no unbalance of positive and negative charges in the molecules, so that the mean charge, z</t>
        </r>
        <r>
          <rPr>
            <vertAlign val="subscript"/>
            <sz val="12"/>
            <color indexed="81"/>
            <rFont val="Tahoma"/>
            <family val="2"/>
          </rPr>
          <t>m</t>
        </r>
        <r>
          <rPr>
            <sz val="10"/>
            <color indexed="81"/>
            <rFont val="Tahoma"/>
            <family val="2"/>
          </rPr>
          <t xml:space="preserve"> = 0.
Complete curves of mean charge versus pH or titrant volume are generated at the end of this page using the equation z</t>
        </r>
        <r>
          <rPr>
            <vertAlign val="subscript"/>
            <sz val="12"/>
            <color indexed="81"/>
            <rFont val="Tahoma"/>
            <family val="2"/>
          </rPr>
          <t>m</t>
        </r>
        <r>
          <rPr>
            <sz val="10"/>
            <color indexed="81"/>
            <rFont val="Tahoma"/>
            <family val="2"/>
          </rPr>
          <t xml:space="preserve"> = z +  h</t>
        </r>
        <r>
          <rPr>
            <vertAlign val="subscript"/>
            <sz val="12"/>
            <color indexed="81"/>
            <rFont val="Tahoma"/>
            <family val="2"/>
          </rPr>
          <t>m</t>
        </r>
        <r>
          <rPr>
            <sz val="10"/>
            <color indexed="81"/>
            <rFont val="Tahoma"/>
            <family val="2"/>
          </rPr>
          <t xml:space="preserve"> where  z is the charge of the base B (cell E10) and h</t>
        </r>
        <r>
          <rPr>
            <vertAlign val="subscript"/>
            <sz val="12"/>
            <color indexed="81"/>
            <rFont val="Tahoma"/>
            <family val="2"/>
          </rPr>
          <t>m</t>
        </r>
        <r>
          <rPr>
            <sz val="10"/>
            <color indexed="81"/>
            <rFont val="Tahoma"/>
            <family val="2"/>
          </rPr>
          <t xml:space="preserve"> is the mean number of protons bound to the base, as shown in figures 9 and 10.
For non-zwitterionic species, the program indicates the pH range where  99,9% or more of a acid / base  are in a neutral form, e.g., [OH-] at pH less than 11.6, where H</t>
        </r>
        <r>
          <rPr>
            <vertAlign val="subscript"/>
            <sz val="12"/>
            <color indexed="81"/>
            <rFont val="Tahoma"/>
            <family val="2"/>
          </rPr>
          <t>2</t>
        </r>
        <r>
          <rPr>
            <sz val="10"/>
            <color indexed="81"/>
            <rFont val="Tahoma"/>
            <family val="2"/>
          </rPr>
          <t>O largely predominates.</t>
        </r>
      </text>
    </comment>
    <comment ref="N37" authorId="3" shapeId="0" xr:uid="{00000000-0006-0000-0400-000012000000}">
      <text>
        <r>
          <rPr>
            <b/>
            <sz val="8"/>
            <color indexed="81"/>
            <rFont val="Tahoma"/>
            <family val="2"/>
          </rPr>
          <t xml:space="preserve">Gutz:
</t>
        </r>
        <r>
          <rPr>
            <sz val="10"/>
            <color indexed="81"/>
            <rFont val="Tahoma"/>
            <family val="2"/>
          </rPr>
          <t xml:space="preserve">The Buffer Capacity, BC, (or Buffer Index, BI) can be understood as the concentration of (strong) acid or sodium hydroxide that, when added to the solution under consideration, would shift the pH by one unit, in a hypothetical pH region of constant BC. Since BC can change  rapidly with pH (as shown in Figures 3 and 7 in "Distribution"), estimates of the resistance against acid or base addition are reasonably accurate only for 0.1 </t>
        </r>
        <r>
          <rPr>
            <sz val="10"/>
            <color indexed="81"/>
            <rFont val="Symbol"/>
            <family val="1"/>
            <charset val="2"/>
          </rPr>
          <t>D</t>
        </r>
        <r>
          <rPr>
            <sz val="10"/>
            <color indexed="81"/>
            <rFont val="Tahoma"/>
            <family val="2"/>
          </rPr>
          <t>pH or less.
For example, a buffer solution of pH 7.001 prepared with 0.0200 mol/L NaH</t>
        </r>
        <r>
          <rPr>
            <vertAlign val="subscript"/>
            <sz val="12"/>
            <color indexed="81"/>
            <rFont val="Tahoma"/>
            <family val="2"/>
          </rPr>
          <t>2</t>
        </r>
        <r>
          <rPr>
            <sz val="10"/>
            <color indexed="81"/>
            <rFont val="Tahoma"/>
            <family val="2"/>
          </rPr>
          <t>PO</t>
        </r>
        <r>
          <rPr>
            <vertAlign val="subscript"/>
            <sz val="12"/>
            <color indexed="81"/>
            <rFont val="Tahoma"/>
            <family val="2"/>
          </rPr>
          <t>4</t>
        </r>
        <r>
          <rPr>
            <sz val="10"/>
            <color indexed="81"/>
            <rFont val="Tahoma"/>
            <family val="2"/>
          </rPr>
          <t xml:space="preserve">  and 0.0265 mol/L Na</t>
        </r>
        <r>
          <rPr>
            <vertAlign val="subscript"/>
            <sz val="12"/>
            <color indexed="81"/>
            <rFont val="Tahoma"/>
            <family val="2"/>
          </rPr>
          <t>2</t>
        </r>
        <r>
          <rPr>
            <sz val="10"/>
            <color indexed="81"/>
            <rFont val="Tahoma"/>
            <family val="2"/>
          </rPr>
          <t>HPO</t>
        </r>
        <r>
          <rPr>
            <vertAlign val="subscript"/>
            <sz val="12"/>
            <color indexed="81"/>
            <rFont val="Tahoma"/>
            <family val="2"/>
          </rPr>
          <t>4</t>
        </r>
        <r>
          <rPr>
            <sz val="10"/>
            <color indexed="81"/>
            <rFont val="Tahoma"/>
            <family val="2"/>
          </rPr>
          <t xml:space="preserve"> presents a BC= 0.02625. 
i) The addition of acid or base in a BC/10 concentration, aiming a </t>
        </r>
        <r>
          <rPr>
            <sz val="10"/>
            <color indexed="81"/>
            <rFont val="Symbol"/>
            <family val="1"/>
            <charset val="2"/>
          </rPr>
          <t>D</t>
        </r>
        <r>
          <rPr>
            <sz val="10"/>
            <color indexed="81"/>
            <rFont val="Tahoma"/>
            <family val="2"/>
          </rPr>
          <t xml:space="preserve">pH of 0.1, renders an accurate result. Calculation of the pH of the described buffer plus 0.002625 mol/L HCl shows a pH to  6.904, close to the expected 6.901; a similar concentration of NaOH increases the pH to 7.098, practically 7.101.
ii) The addition of a concentration equal to BC of strong acid or base produces a </t>
        </r>
        <r>
          <rPr>
            <sz val="10"/>
            <color indexed="81"/>
            <rFont val="Symbol"/>
            <family val="1"/>
            <charset val="2"/>
          </rPr>
          <t>D</t>
        </r>
        <r>
          <rPr>
            <sz val="10"/>
            <color indexed="81"/>
            <rFont val="Tahoma"/>
            <family val="2"/>
          </rPr>
          <t>pH larger than the aimed one unit, because, for the example under consideration, BC presents a maximum at pH 6.87 (see Distribution). Addition of [HCl]=0.02625 mol/L renders a pH of 4.79 instead of 6.00 while addition of [NaOH]=0.02625 mol/L raises the pH to 10.86 (an overshot of 2.9 units, worse than in the acidic side because there is more HPO</t>
        </r>
        <r>
          <rPr>
            <vertAlign val="subscript"/>
            <sz val="12"/>
            <color indexed="81"/>
            <rFont val="Tahoma"/>
            <family val="2"/>
          </rPr>
          <t>4</t>
        </r>
        <r>
          <rPr>
            <vertAlign val="superscript"/>
            <sz val="12"/>
            <color indexed="81"/>
            <rFont val="Tahoma"/>
            <family val="2"/>
          </rPr>
          <t>2-</t>
        </r>
        <r>
          <rPr>
            <sz val="10"/>
            <color indexed="81"/>
            <rFont val="Tahoma"/>
            <family val="2"/>
          </rPr>
          <t xml:space="preserve"> than H</t>
        </r>
        <r>
          <rPr>
            <vertAlign val="subscript"/>
            <sz val="12"/>
            <color indexed="81"/>
            <rFont val="Tahoma"/>
            <family val="2"/>
          </rPr>
          <t>2</t>
        </r>
        <r>
          <rPr>
            <sz val="10"/>
            <color indexed="81"/>
            <rFont val="Tahoma"/>
            <family val="2"/>
          </rPr>
          <t>PO</t>
        </r>
        <r>
          <rPr>
            <vertAlign val="subscript"/>
            <sz val="12"/>
            <color indexed="81"/>
            <rFont val="Tahoma"/>
            <family val="2"/>
          </rPr>
          <t>4</t>
        </r>
        <r>
          <rPr>
            <vertAlign val="superscript"/>
            <sz val="12"/>
            <color indexed="81"/>
            <rFont val="Tahoma"/>
            <family val="2"/>
          </rPr>
          <t>-</t>
        </r>
        <r>
          <rPr>
            <sz val="10"/>
            <color indexed="81"/>
            <rFont val="Tahoma"/>
            <family val="2"/>
          </rPr>
          <t xml:space="preserve"> in the buffer). 
More about, e.g.: Understanding, Deriving, and Computing Buffer Capacity, by Edward T. Urbansky and Michael R. Schock, Journal of Chemical Education,  2000, Vol. 77, 1640-44 and references cited therein.</t>
        </r>
      </text>
    </comment>
    <comment ref="N107" authorId="1" shapeId="0" xr:uid="{00000000-0006-0000-0400-000013000000}">
      <text>
        <r>
          <rPr>
            <b/>
            <sz val="8"/>
            <color indexed="81"/>
            <rFont val="Tahoma"/>
            <family val="2"/>
          </rPr>
          <t>Gutz:</t>
        </r>
        <r>
          <rPr>
            <sz val="8"/>
            <color indexed="81"/>
            <rFont val="Tahoma"/>
            <family val="2"/>
          </rPr>
          <t xml:space="preserve">
</t>
        </r>
        <r>
          <rPr>
            <sz val="10"/>
            <color indexed="81"/>
            <rFont val="Tahoma"/>
            <family val="2"/>
          </rPr>
          <t>h</t>
        </r>
        <r>
          <rPr>
            <vertAlign val="subscript"/>
            <sz val="12"/>
            <color indexed="81"/>
            <rFont val="Tahoma"/>
            <family val="2"/>
          </rPr>
          <t>m</t>
        </r>
        <r>
          <rPr>
            <sz val="10"/>
            <color indexed="81"/>
            <rFont val="Tahoma"/>
            <family val="2"/>
          </rPr>
          <t xml:space="preserve"> or </t>
        </r>
        <r>
          <rPr>
            <strike/>
            <sz val="10"/>
            <color indexed="81"/>
            <rFont val="Tahoma"/>
            <family val="2"/>
          </rPr>
          <t>h</t>
        </r>
        <r>
          <rPr>
            <sz val="10"/>
            <color indexed="81"/>
            <rFont val="Tahoma"/>
            <family val="2"/>
          </rPr>
          <t>,  is the mean number of protons bound with a  base B at given pH. 
For two or more H</t>
        </r>
        <r>
          <rPr>
            <vertAlign val="subscript"/>
            <sz val="14"/>
            <color indexed="81"/>
            <rFont val="Tahoma"/>
            <family val="2"/>
          </rPr>
          <t>i</t>
        </r>
        <r>
          <rPr>
            <sz val="10"/>
            <color indexed="81"/>
            <rFont val="Tahoma"/>
            <family val="2"/>
          </rPr>
          <t xml:space="preserve">B with different number of protons </t>
        </r>
        <r>
          <rPr>
            <b/>
            <sz val="10"/>
            <color indexed="81"/>
            <rFont val="Tahoma"/>
            <family val="2"/>
          </rPr>
          <t>i</t>
        </r>
        <r>
          <rPr>
            <sz val="10"/>
            <color indexed="81"/>
            <rFont val="Tahoma"/>
            <family val="2"/>
          </rPr>
          <t xml:space="preserve"> coexisting at this pH; </t>
        </r>
        <r>
          <rPr>
            <strike/>
            <sz val="10"/>
            <color indexed="81"/>
            <rFont val="Tahoma"/>
            <family val="2"/>
          </rPr>
          <t>h</t>
        </r>
        <r>
          <rPr>
            <sz val="10"/>
            <color indexed="81"/>
            <rFont val="Tahoma"/>
            <family val="2"/>
          </rPr>
          <t xml:space="preserve"> is the sum of the molar fraction (cells in lines 44 to 60) times the</t>
        </r>
        <r>
          <rPr>
            <b/>
            <sz val="10"/>
            <color indexed="81"/>
            <rFont val="Tahoma"/>
            <family val="2"/>
          </rPr>
          <t xml:space="preserve"> i</t>
        </r>
        <r>
          <rPr>
            <sz val="10"/>
            <color indexed="81"/>
            <rFont val="Tahoma"/>
            <family val="2"/>
          </rPr>
          <t xml:space="preserve"> of each species.</t>
        </r>
      </text>
    </comment>
    <comment ref="N132" authorId="1" shapeId="0" xr:uid="{00000000-0006-0000-0400-000014000000}">
      <text>
        <r>
          <rPr>
            <b/>
            <sz val="8"/>
            <color indexed="81"/>
            <rFont val="Tahoma"/>
            <family val="2"/>
          </rPr>
          <t>Gutz:</t>
        </r>
        <r>
          <rPr>
            <sz val="8"/>
            <color indexed="81"/>
            <rFont val="Tahoma"/>
            <family val="2"/>
          </rPr>
          <t xml:space="preserve">
</t>
        </r>
        <r>
          <rPr>
            <sz val="10"/>
            <color indexed="81"/>
            <rFont val="Tahoma"/>
            <family val="2"/>
          </rPr>
          <t xml:space="preserve">The </t>
        </r>
        <r>
          <rPr>
            <b/>
            <sz val="10"/>
            <color indexed="81"/>
            <rFont val="Tahoma"/>
            <family val="2"/>
          </rPr>
          <t xml:space="preserve">isoelectric point </t>
        </r>
        <r>
          <rPr>
            <sz val="10"/>
            <color indexed="81"/>
            <rFont val="Tahoma"/>
            <family val="2"/>
          </rPr>
          <t>(Ip) of polyfunctional species  (zwitterions) like amino acids is the pH where there is no unbalance of positive and negative charges in the molecules, so that the mean charge, z</t>
        </r>
        <r>
          <rPr>
            <vertAlign val="subscript"/>
            <sz val="12"/>
            <color indexed="81"/>
            <rFont val="Tahoma"/>
            <family val="2"/>
          </rPr>
          <t>m</t>
        </r>
        <r>
          <rPr>
            <sz val="10"/>
            <color indexed="81"/>
            <rFont val="Tahoma"/>
            <family val="2"/>
          </rPr>
          <t xml:space="preserve"> = 0.
Complete curves of mean charge versus pH or titrant volume are generated using the equation z</t>
        </r>
        <r>
          <rPr>
            <vertAlign val="subscript"/>
            <sz val="12"/>
            <color indexed="81"/>
            <rFont val="Tahoma"/>
            <family val="2"/>
          </rPr>
          <t>m</t>
        </r>
        <r>
          <rPr>
            <sz val="10"/>
            <color indexed="81"/>
            <rFont val="Tahoma"/>
            <family val="2"/>
          </rPr>
          <t xml:space="preserve"> = z +  h</t>
        </r>
        <r>
          <rPr>
            <vertAlign val="subscript"/>
            <sz val="12"/>
            <color indexed="81"/>
            <rFont val="Tahoma"/>
            <family val="2"/>
          </rPr>
          <t>m</t>
        </r>
        <r>
          <rPr>
            <sz val="10"/>
            <color indexed="81"/>
            <rFont val="Tahoma"/>
            <family val="2"/>
          </rPr>
          <t xml:space="preserve"> where  Z is the charge of the base B (cell E10) and h</t>
        </r>
        <r>
          <rPr>
            <vertAlign val="subscript"/>
            <sz val="12"/>
            <color indexed="81"/>
            <rFont val="Tahoma"/>
            <family val="2"/>
          </rPr>
          <t>m</t>
        </r>
        <r>
          <rPr>
            <sz val="10"/>
            <color indexed="81"/>
            <rFont val="Tahoma"/>
            <family val="2"/>
          </rPr>
          <t xml:space="preserve"> is the mean number of protons bound to the base, as shown in figures 9 and 10.
For non-zwitterionic species, the program indicates the pH range where  99,9% or more of a base is in a neutral form, e.g., [OH-] at pH less than 11,6, where H</t>
        </r>
        <r>
          <rPr>
            <vertAlign val="subscript"/>
            <sz val="12"/>
            <color indexed="81"/>
            <rFont val="Tahoma"/>
            <family val="2"/>
          </rPr>
          <t>2</t>
        </r>
        <r>
          <rPr>
            <sz val="10"/>
            <color indexed="81"/>
            <rFont val="Tahoma"/>
            <family val="2"/>
          </rPr>
          <t>O largely predominates.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Gutz</author>
    <author>Ivano Gebhardt Rolf Gutz</author>
    <author>gtz</author>
  </authors>
  <commentList>
    <comment ref="F2" authorId="0" shapeId="0" xr:uid="{00000000-0006-0000-0500-000001000000}">
      <text>
        <r>
          <rPr>
            <b/>
            <sz val="8"/>
            <color indexed="81"/>
            <rFont val="Tahoma"/>
            <family val="2"/>
          </rPr>
          <t>Gutz:</t>
        </r>
        <r>
          <rPr>
            <sz val="8"/>
            <color indexed="81"/>
            <rFont val="Tahoma"/>
            <family val="2"/>
          </rPr>
          <t xml:space="preserve">
</t>
        </r>
        <r>
          <rPr>
            <sz val="10"/>
            <color indexed="81"/>
            <rFont val="Tahoma"/>
            <family val="2"/>
          </rPr>
          <t xml:space="preserve">Interpolation with smoothing is a valuable tool to more precisely locate visible inflections on titration curves with low to moderate dispersion. The algorithm of Evaluation is based on cubic spline smoothing [http://en.wikipedia.org/wiki/Smoothing_spline].
Evaluation, like any other module of CurTiPot, will not run until you enable macros following instructions at cell A22 of module pH_calc;
Multiple inflections, displayed in column P after clicking </t>
        </r>
        <r>
          <rPr>
            <b/>
            <sz val="10"/>
            <color indexed="81"/>
            <rFont val="Tahoma"/>
            <family val="2"/>
          </rPr>
          <t>Process</t>
        </r>
        <r>
          <rPr>
            <sz val="10"/>
            <color indexed="81"/>
            <rFont val="Tahoma"/>
            <family val="2"/>
          </rPr>
          <t xml:space="preserve"> (cell E3), may reflect the stepwise deprotonation of a multiprotic acid like phosphoric or the stepwise protonation of bases like ethylenediamine or EDTA, or may instead be originated by a mixture of various acids or bases with different pKas in a sample. Data dispersion (scatter, noise) can produce artifacts like false inflections and there are suggestions in cell P3 on how to handle such situation, but do not expect accurate results from poor data.
The program accepts from 4 up to 300 experimental (or simulated) data pairs; the degree of smoothing is adjustable; up to one thousand points can be interpolated; and 0 to 15 inflections can be detected.
To assist the calculations of the sample (titrand) ingredients concentration, there is a spreadsheet starting at cell O21.
Warning: care should be exercised with unknown samples because there may be hidden/unresolved inflections (e.g., citric acid, see example in Regression). It is advisable to compare the experimental curve with the simulated one based on the supposed interpretation of the results. This can be done superimposing the Simulation and Evaluation data in the Graphs module or, even better for skilled users, analyzing the experimental data with the Regression module. 
Although Regression is superior to Evaluation for hidden or overlapped inflections, no chemometric tool can extract accurate results from poor data (insufficient measurements, data with high scatter, etc.).
</t>
        </r>
      </text>
    </comment>
    <comment ref="B3" authorId="0" shapeId="0" xr:uid="{00000000-0006-0000-0500-000002000000}">
      <text>
        <r>
          <rPr>
            <b/>
            <sz val="8"/>
            <color indexed="81"/>
            <rFont val="Tahoma"/>
            <family val="2"/>
          </rPr>
          <t>Gutz:</t>
        </r>
        <r>
          <rPr>
            <sz val="8"/>
            <color indexed="81"/>
            <rFont val="Tahoma"/>
            <family val="2"/>
          </rPr>
          <t xml:space="preserve">
</t>
        </r>
        <r>
          <rPr>
            <sz val="10"/>
            <color indexed="81"/>
            <rFont val="Tahoma"/>
            <family val="2"/>
          </rPr>
          <t xml:space="preserve">Click on </t>
        </r>
        <r>
          <rPr>
            <b/>
            <sz val="10"/>
            <color indexed="81"/>
            <rFont val="Tahoma"/>
            <family val="2"/>
          </rPr>
          <t>Clear</t>
        </r>
        <r>
          <rPr>
            <sz val="10"/>
            <color indexed="81"/>
            <rFont val="Tahoma"/>
            <family val="2"/>
          </rPr>
          <t xml:space="preserve"> to remove previous data and results and chose one option:
- Enter your experimental data (during a titration, type as you measure and click </t>
        </r>
        <r>
          <rPr>
            <b/>
            <sz val="10"/>
            <color indexed="81"/>
            <rFont val="Tahoma"/>
            <family val="2"/>
          </rPr>
          <t>Process</t>
        </r>
        <r>
          <rPr>
            <sz val="10"/>
            <color indexed="81"/>
            <rFont val="Tahoma"/>
            <family val="2"/>
          </rPr>
          <t xml:space="preserve"> at any time to fit a curve).
- Copy data previously generated in the </t>
        </r>
        <r>
          <rPr>
            <b/>
            <sz val="10"/>
            <color indexed="81"/>
            <rFont val="Tahoma"/>
            <family val="2"/>
          </rPr>
          <t>Simulation</t>
        </r>
        <r>
          <rPr>
            <sz val="10"/>
            <color indexed="81"/>
            <rFont val="Tahoma"/>
            <family val="2"/>
          </rPr>
          <t xml:space="preserve"> or </t>
        </r>
        <r>
          <rPr>
            <b/>
            <sz val="10"/>
            <color indexed="81"/>
            <rFont val="Tahoma"/>
            <family val="2"/>
          </rPr>
          <t>Titration</t>
        </r>
        <r>
          <rPr>
            <sz val="10"/>
            <color indexed="81"/>
            <rFont val="Tahoma"/>
            <family val="2"/>
          </rPr>
          <t xml:space="preserve"> modules by clicking on the respective </t>
        </r>
        <r>
          <rPr>
            <b/>
            <sz val="10"/>
            <color indexed="81"/>
            <rFont val="Tahoma"/>
            <family val="2"/>
          </rPr>
          <t>Copy</t>
        </r>
        <r>
          <rPr>
            <sz val="10"/>
            <color indexed="81"/>
            <rFont val="Tahoma"/>
            <family val="2"/>
          </rPr>
          <t xml:space="preserve"> buttons.
- Paste data sets of </t>
        </r>
        <r>
          <rPr>
            <b/>
            <sz val="10"/>
            <color indexed="81"/>
            <rFont val="Tahoma"/>
            <family val="2"/>
          </rPr>
          <t>Vol</t>
        </r>
        <r>
          <rPr>
            <sz val="10"/>
            <color indexed="81"/>
            <rFont val="Tahoma"/>
            <family val="2"/>
          </rPr>
          <t xml:space="preserve">. and </t>
        </r>
        <r>
          <rPr>
            <b/>
            <sz val="10"/>
            <color indexed="81"/>
            <rFont val="Tahoma"/>
            <family val="2"/>
          </rPr>
          <t>pH</t>
        </r>
        <r>
          <rPr>
            <sz val="10"/>
            <color indexed="81"/>
            <rFont val="Tahoma"/>
            <family val="2"/>
          </rPr>
          <t xml:space="preserve"> (or other parameters) from a real or simulated titration (or other experiment). 
Minimum number of points: 4
Maximum number of points: 300</t>
        </r>
      </text>
    </comment>
    <comment ref="H3" authorId="1" shapeId="0" xr:uid="{00000000-0006-0000-0500-000003000000}">
      <text>
        <r>
          <rPr>
            <b/>
            <sz val="8"/>
            <color indexed="81"/>
            <rFont val="Tahoma"/>
            <family val="2"/>
          </rPr>
          <t>Gutz:</t>
        </r>
        <r>
          <rPr>
            <sz val="8"/>
            <color indexed="81"/>
            <rFont val="Tahoma"/>
            <family val="2"/>
          </rPr>
          <t xml:space="preserve">
</t>
        </r>
        <r>
          <rPr>
            <sz val="10"/>
            <color indexed="81"/>
            <rFont val="Tahoma"/>
            <family val="2"/>
          </rPr>
          <t>The smoothing factor is selected empirically, by visual inspection (the correlation coefficient, shown in cell N4, does not help much). Begin, for example, with 80%, process, observe figures 1 and 2, and increase/decrease this value until you reach o compromise of best filtering-out of the data dispersion (scatter) without noticeable distortion (systematic flattening) of the region of the inflection. 
For curves presenting a sharp and a tiny inflection, select one at a time (selecting the volume range in cells K3 and K4) and adjust the degree of smoothing individually.  
0% - minimum filtering, cubic spline curve passes though all points.
100%- maximum filtering; the fitted curve approaches linearity; de correlation coefficient decreases.</t>
        </r>
      </text>
    </comment>
    <comment ref="J3" authorId="1" shapeId="0" xr:uid="{00000000-0006-0000-0500-000004000000}">
      <text>
        <r>
          <rPr>
            <b/>
            <sz val="8"/>
            <color indexed="81"/>
            <rFont val="Tahoma"/>
            <family val="2"/>
          </rPr>
          <t>Gutz:</t>
        </r>
        <r>
          <rPr>
            <sz val="8"/>
            <color indexed="81"/>
            <rFont val="Tahoma"/>
            <family val="2"/>
          </rPr>
          <t xml:space="preserve">
</t>
        </r>
        <r>
          <rPr>
            <sz val="10"/>
            <color indexed="81"/>
            <rFont val="Tahoma"/>
            <family val="2"/>
          </rPr>
          <t>Starting volume for the smoothing/interpolation/inflection detection process. 
Zero is the typical value.</t>
        </r>
      </text>
    </comment>
    <comment ref="P3" authorId="2" shapeId="0" xr:uid="{00000000-0006-0000-0500-000005000000}">
      <text>
        <r>
          <rPr>
            <b/>
            <sz val="9"/>
            <color indexed="81"/>
            <rFont val="Tahoma"/>
            <family val="2"/>
          </rPr>
          <t>Gutz:</t>
        </r>
        <r>
          <rPr>
            <sz val="9"/>
            <color indexed="81"/>
            <rFont val="Tahoma"/>
            <family val="2"/>
          </rPr>
          <t xml:space="preserve">
</t>
        </r>
        <r>
          <rPr>
            <sz val="10"/>
            <color indexed="81"/>
            <rFont val="Tahoma"/>
            <family val="2"/>
          </rPr>
          <t xml:space="preserve">This is the setting of the minimum peak amplitude to be detected as valid on the 1st derivative curve by the algorithm of the auto-finder. 
Copy the ‘guess value’ from cell S3 to cell Q3 or chose a dpH/dV value in figure 2 so that it is exceeded only by the maxima (or minima) you want to detect (but not by scatter or other artifacts). Click on Process (cell E3) to observe the effect.
 If necessary, adjust values in cells Q3 and I3 and Process again. </t>
        </r>
      </text>
    </comment>
    <comment ref="H4" authorId="1" shapeId="0" xr:uid="{00000000-0006-0000-0500-000006000000}">
      <text>
        <r>
          <rPr>
            <b/>
            <sz val="8"/>
            <color indexed="81"/>
            <rFont val="Tahoma"/>
            <family val="2"/>
          </rPr>
          <t>Gutz:</t>
        </r>
        <r>
          <rPr>
            <sz val="8"/>
            <color indexed="81"/>
            <rFont val="Tahoma"/>
            <family val="2"/>
          </rPr>
          <t xml:space="preserve">
</t>
        </r>
        <r>
          <rPr>
            <sz val="10"/>
            <color indexed="81"/>
            <rFont val="Tahoma"/>
            <family val="2"/>
          </rPr>
          <t xml:space="preserve">Defines the number of points to be interpolated between the initial (K3) and the final volume (K4). 
Default: 300 (for slow computers use 200 or 100); minimum: 4; maximum: 1000 (columns T to W will be calculated but graphics will display the first 300 points; click on each curve with the right mouse button, chose Select data, edit each data set by increasing T, U, V and W from 306 to 1006.
</t>
        </r>
      </text>
    </comment>
    <comment ref="J4" authorId="1" shapeId="0" xr:uid="{00000000-0006-0000-0500-000007000000}">
      <text>
        <r>
          <rPr>
            <b/>
            <sz val="8"/>
            <color indexed="81"/>
            <rFont val="Tahoma"/>
            <family val="2"/>
          </rPr>
          <t>Gutz:</t>
        </r>
        <r>
          <rPr>
            <sz val="8"/>
            <color indexed="81"/>
            <rFont val="Tahoma"/>
            <family val="2"/>
          </rPr>
          <t xml:space="preserve">
</t>
        </r>
        <r>
          <rPr>
            <sz val="10"/>
            <color indexed="81"/>
            <rFont val="Tahoma"/>
            <family val="2"/>
          </rPr>
          <t xml:space="preserve">Upper volume limit for the smoothing /interpolation/ inflection detection process. 
For curves presenting sharp tiny inflections together, select one at a time (by volume range) and adjust the degree of smoothing.  </t>
        </r>
      </text>
    </comment>
    <comment ref="R4" authorId="1" shapeId="0" xr:uid="{00000000-0006-0000-0500-000008000000}">
      <text>
        <r>
          <rPr>
            <b/>
            <sz val="8"/>
            <color indexed="81"/>
            <rFont val="Tahoma"/>
            <family val="2"/>
          </rPr>
          <t>Gutz:</t>
        </r>
        <r>
          <rPr>
            <sz val="8"/>
            <color indexed="81"/>
            <rFont val="Tahoma"/>
            <family val="2"/>
          </rPr>
          <t xml:space="preserve">
</t>
        </r>
        <r>
          <rPr>
            <sz val="10"/>
            <color indexed="81"/>
            <rFont val="Tahoma"/>
            <family val="2"/>
          </rPr>
          <t xml:space="preserve">Stoichiometric points (or "end points") of potentiometric acid-base titrations correspond to the volumes where the pH vs. Vol curves present inflections, easily located by looking for maxima in the first derivative curves (or a minima, when a base is titrated with an acid) as well as detecting zero crossing points in the second derivative curves. 
Once the degree of smoothing (cell I3) of the spline interpolation is tuned to the data set and the peak amplitude filter (cell Q3) is set to discard false peaks in the derivative curve (caused by scattered/noisy data), the auto-finder interpolates the inflections in the pH vs. Vol. curve automatically and with improved accuracy in comparison with the direct dpH/dV calculation suggested in textbooks or linearization methods, like Gran I and II. Of course, plentiful accurate measurements near the inflections are decisive. 
Oversmoothing of (scattered) data is to be avoided. To exclude outliers from a set, simply delete the data pair and shift the remaining data one row up to exclude the empty cells. 
The (more complex) Regression module may provide superior results, due to fitting to a general equation describing the entire curve instead of empirical splines fitted with an arbitrary smoothing factor (that influences the result for poor data or undefined inflections).
</t>
        </r>
      </text>
    </comment>
    <comment ref="A5" authorId="1" shapeId="0" xr:uid="{00000000-0006-0000-0500-000009000000}">
      <text>
        <r>
          <rPr>
            <b/>
            <sz val="8"/>
            <color indexed="81"/>
            <rFont val="Tahoma"/>
            <family val="2"/>
          </rPr>
          <t>Gutz:</t>
        </r>
        <r>
          <rPr>
            <sz val="8"/>
            <color indexed="81"/>
            <rFont val="Tahoma"/>
            <family val="2"/>
          </rPr>
          <t xml:space="preserve">
</t>
        </r>
        <r>
          <rPr>
            <sz val="10"/>
            <color indexed="81"/>
            <rFont val="Tahoma"/>
            <family val="2"/>
          </rPr>
          <t>Delete existing data (or click the Clear button) before you write or paste experimental data, or copy data from Simulation by clicking on the buttons above.
Volume values in mL are expected, but mass of titrant or number o coulombs (coulometric titration) can be used instead.</t>
        </r>
      </text>
    </comment>
    <comment ref="B5" authorId="1" shapeId="0" xr:uid="{00000000-0006-0000-0500-00000A000000}">
      <text>
        <r>
          <rPr>
            <b/>
            <sz val="8"/>
            <color indexed="81"/>
            <rFont val="Tahoma"/>
            <family val="2"/>
          </rPr>
          <t>Gutz:</t>
        </r>
        <r>
          <rPr>
            <sz val="8"/>
            <color indexed="81"/>
            <rFont val="Tahoma"/>
            <family val="2"/>
          </rPr>
          <t xml:space="preserve">
</t>
        </r>
        <r>
          <rPr>
            <sz val="10"/>
            <color indexed="81"/>
            <rFont val="Tahoma"/>
            <family val="2"/>
          </rPr>
          <t>Copy or paste pH values, experimental or simulated, with our without dispersion (simulated random errors).
Uncalibrated pH electrodes do not impair the determination of concentrations at sharp inflections, but will offset pKa values estimated graphically.
Electrode potentials can replace pH values when evaluating data from other ion selective electrodes.</t>
        </r>
      </text>
    </comment>
    <comment ref="R5" authorId="1" shapeId="0" xr:uid="{00000000-0006-0000-0500-00000B000000}">
      <text>
        <r>
          <rPr>
            <b/>
            <sz val="8"/>
            <color indexed="81"/>
            <rFont val="Tahoma"/>
            <family val="2"/>
          </rPr>
          <t>Gutz:</t>
        </r>
        <r>
          <rPr>
            <sz val="8"/>
            <color indexed="81"/>
            <rFont val="Tahoma"/>
            <family val="2"/>
          </rPr>
          <t xml:space="preserve">
</t>
        </r>
        <r>
          <rPr>
            <sz val="10"/>
            <color indexed="81"/>
            <rFont val="Tahoma"/>
            <family val="2"/>
          </rPr>
          <t xml:space="preserve">Maximum value of the first derivative of the curve at the inflection volume, as calculated from the fitted cubic spline. Precision is higher than for the conventional dpH/dV calculation suggested in textbooks.
The Regression module may provide even better  results in the hand of skilled users, since a general equation describing the theoretical curve is fitted to data, instead of empirical splines.
Of course, good data near the inflections is decisive for all approaches. </t>
        </r>
      </text>
    </comment>
    <comment ref="S5" authorId="1" shapeId="0" xr:uid="{00000000-0006-0000-0500-00000C000000}">
      <text>
        <r>
          <rPr>
            <b/>
            <sz val="8"/>
            <color indexed="81"/>
            <rFont val="Tahoma"/>
            <family val="2"/>
          </rPr>
          <t>Gutz:</t>
        </r>
        <r>
          <rPr>
            <sz val="8"/>
            <color indexed="81"/>
            <rFont val="Tahoma"/>
            <family val="2"/>
          </rPr>
          <t xml:space="preserve">
</t>
        </r>
        <r>
          <rPr>
            <sz val="10"/>
            <color indexed="81"/>
            <rFont val="Tahoma"/>
            <family val="2"/>
          </rPr>
          <t>Second derivatives estimated from the splines fitted with smoothing to the original data. Inflections correspond to zero crossing 2nd derivative. Therefore, low values are expected.</t>
        </r>
      </text>
    </comment>
    <comment ref="T5" authorId="1" shapeId="0" xr:uid="{00000000-0006-0000-0500-00000D000000}">
      <text>
        <r>
          <rPr>
            <b/>
            <sz val="10"/>
            <color indexed="81"/>
            <rFont val="Tahoma"/>
            <family val="2"/>
          </rPr>
          <t>Gutz:</t>
        </r>
        <r>
          <rPr>
            <sz val="10"/>
            <color indexed="81"/>
            <rFont val="Tahoma"/>
            <family val="2"/>
          </rPr>
          <t xml:space="preserve">
The number of interpolated points can be chosen from 4 to 1000 in cell I4.</t>
        </r>
      </text>
    </comment>
    <comment ref="P6" authorId="1" shapeId="0" xr:uid="{00000000-0006-0000-0500-00000E000000}">
      <text>
        <r>
          <rPr>
            <b/>
            <sz val="10"/>
            <color indexed="81"/>
            <rFont val="Tahoma"/>
            <family val="2"/>
          </rPr>
          <t>Gutz:</t>
        </r>
        <r>
          <rPr>
            <sz val="10"/>
            <color indexed="81"/>
            <rFont val="Tahoma"/>
            <family val="2"/>
          </rPr>
          <t xml:space="preserve">
Copy and paste the volumes of the inflections from cells P6, P7, etc. into cells P28, P29, etc., and fill out R24 and 25 to make simple stoichiometric calculations. </t>
        </r>
      </text>
    </comment>
    <comment ref="R22" authorId="1" shapeId="0" xr:uid="{00000000-0006-0000-0500-00000F000000}">
      <text>
        <r>
          <rPr>
            <b/>
            <sz val="10"/>
            <color indexed="81"/>
            <rFont val="Tahoma"/>
            <family val="2"/>
          </rPr>
          <t>Gutz:</t>
        </r>
        <r>
          <rPr>
            <sz val="10"/>
            <color indexed="81"/>
            <rFont val="Tahoma"/>
            <family val="2"/>
          </rPr>
          <t xml:space="preserve">
This spreadsheet assists trivial stoichiometric calculations, like the concentration of acids/bases in the titrand or sample. 
Click </t>
        </r>
        <r>
          <rPr>
            <b/>
            <sz val="10"/>
            <color indexed="81"/>
            <rFont val="Tahoma"/>
            <family val="2"/>
          </rPr>
          <t>Copy volumes</t>
        </r>
        <r>
          <rPr>
            <sz val="10"/>
            <color indexed="81"/>
            <rFont val="Tahoma"/>
            <family val="2"/>
          </rPr>
          <t xml:space="preserve"> or copy the volumes of inflections from P6, P7, etc. and paste them in  P27, P28, etc. 
Fill out the blanks in R24 and R25.</t>
        </r>
      </text>
    </comment>
    <comment ref="P27" authorId="1" shapeId="0" xr:uid="{00000000-0006-0000-0500-000010000000}">
      <text>
        <r>
          <rPr>
            <b/>
            <sz val="8"/>
            <color indexed="81"/>
            <rFont val="Tahoma"/>
            <family val="2"/>
          </rPr>
          <t xml:space="preserve"> Gutz:</t>
        </r>
        <r>
          <rPr>
            <sz val="8"/>
            <color indexed="81"/>
            <rFont val="Tahoma"/>
            <family val="2"/>
          </rPr>
          <t xml:space="preserve">
</t>
        </r>
        <r>
          <rPr>
            <sz val="10"/>
            <color indexed="81"/>
            <rFont val="Tahoma"/>
            <family val="2"/>
          </rPr>
          <t>Fill out with the volumes of the inflections (in mL)</t>
        </r>
      </text>
    </comment>
    <comment ref="Q27" authorId="1" shapeId="0" xr:uid="{00000000-0006-0000-0500-000011000000}">
      <text>
        <r>
          <rPr>
            <b/>
            <sz val="8"/>
            <color indexed="81"/>
            <rFont val="Tahoma"/>
            <family val="2"/>
          </rPr>
          <t xml:space="preserve"> Gutz:</t>
        </r>
        <r>
          <rPr>
            <sz val="8"/>
            <color indexed="81"/>
            <rFont val="Tahoma"/>
            <family val="2"/>
          </rPr>
          <t xml:space="preserve">
</t>
        </r>
        <r>
          <rPr>
            <sz val="10"/>
            <color indexed="81"/>
            <rFont val="Tahoma"/>
            <family val="2"/>
          </rPr>
          <t>Cumulative number of mols of titrant added from the beginning of the titration up to a given inflection.</t>
        </r>
      </text>
    </comment>
    <comment ref="R27" authorId="1" shapeId="0" xr:uid="{00000000-0006-0000-0500-000012000000}">
      <text>
        <r>
          <rPr>
            <b/>
            <sz val="8"/>
            <color indexed="81"/>
            <rFont val="Tahoma"/>
            <family val="2"/>
          </rPr>
          <t>Gutz:</t>
        </r>
        <r>
          <rPr>
            <sz val="8"/>
            <color indexed="81"/>
            <rFont val="Tahoma"/>
            <family val="2"/>
          </rPr>
          <t xml:space="preserve">
</t>
        </r>
        <r>
          <rPr>
            <sz val="10"/>
            <color indexed="81"/>
            <rFont val="Tahoma"/>
            <family val="2"/>
          </rPr>
          <t>Number of mols of titrant added from the previous inflection to the current one.</t>
        </r>
      </text>
    </comment>
    <comment ref="S27" authorId="1" shapeId="0" xr:uid="{00000000-0006-0000-0500-000013000000}">
      <text>
        <r>
          <rPr>
            <b/>
            <sz val="8"/>
            <color indexed="81"/>
            <rFont val="Tahoma"/>
            <family val="2"/>
          </rPr>
          <t>Gutz:</t>
        </r>
        <r>
          <rPr>
            <sz val="8"/>
            <color indexed="81"/>
            <rFont val="Tahoma"/>
            <family val="2"/>
          </rPr>
          <t xml:space="preserve">
</t>
        </r>
        <r>
          <rPr>
            <sz val="10"/>
            <color indexed="81"/>
            <rFont val="Tahoma"/>
            <family val="2"/>
          </rPr>
          <t xml:space="preserve">Concentration (in mol/L) of a titrand (titrated specie) in the sample pipetted into the titration cell (subsequent addition of water, to immerge the sensor does not matter), obtained by dividing the number of mols of titrant consumed to reach an inflection by the volume of sample. 
Successive inflections may correspond to the stepwise deprotonation of a multiprotic acid like phosphoric (or stepwise protonation of  bases like ethylenediamine or EDTA), but they may result as well from a mixture of  acids or bases of different strengths. 
Warning: care should be exercised with unknown samples because there may be hidden/unresolved inflections (e.g., citric acid, see example in Regression). It is advisable to compare the experimental curve with the simulated one based on the supposed interpretation of the results. This can be done superimposing the Simulation and Evaluation data in the Graphs module or, even better for skilled users, analyzing the experimental data with the Regression module. 
</t>
        </r>
      </text>
    </comment>
    <comment ref="R43" authorId="1" shapeId="0" xr:uid="{00000000-0006-0000-0500-000014000000}">
      <text>
        <r>
          <rPr>
            <b/>
            <sz val="10"/>
            <color indexed="81"/>
            <rFont val="Tahoma"/>
            <family val="2"/>
          </rPr>
          <t>Gutz:</t>
        </r>
        <r>
          <rPr>
            <sz val="10"/>
            <color indexed="81"/>
            <rFont val="Tahoma"/>
            <family val="2"/>
          </rPr>
          <t xml:space="preserve">
Click twice on the dpH/dV or pH scale to redefine it.
Use Ctrl+Z (as many times as needed) to undo scale expansion</t>
        </r>
      </text>
    </comment>
    <comment ref="R44" authorId="1" shapeId="0" xr:uid="{00000000-0006-0000-0500-000015000000}">
      <text>
        <r>
          <rPr>
            <b/>
            <sz val="8"/>
            <color indexed="81"/>
            <rFont val="Tahoma"/>
            <family val="2"/>
          </rPr>
          <t>Gutz:</t>
        </r>
        <r>
          <rPr>
            <sz val="8"/>
            <color indexed="81"/>
            <rFont val="Tahoma"/>
            <family val="2"/>
          </rPr>
          <t xml:space="preserve">
</t>
        </r>
        <r>
          <rPr>
            <sz val="10"/>
            <color indexed="81"/>
            <rFont val="Tahoma"/>
            <family val="2"/>
          </rPr>
          <t>To copy graphics with one or more curves and paste them into other documents (e.g.: Word o Excel) without links to the original:
- Fill out the header of the graphic (optional)
- Click in the box of the graphic near the margins, to select it
- (only Excel versions older than 12, from 2007: Click on Process once more) 
- Press Ctrl+C and wait processing 
- Switch to the Word document 
- Select Insert/Paste Special/Picture (enhanced metafile)</t>
        </r>
        <r>
          <rPr>
            <sz val="8"/>
            <color indexed="81"/>
            <rFont val="Tahoma"/>
            <family val="2"/>
          </rPr>
          <t xml:space="preserve">
</t>
        </r>
      </text>
    </comment>
    <comment ref="R45" authorId="1" shapeId="0" xr:uid="{00000000-0006-0000-0500-000016000000}">
      <text>
        <r>
          <rPr>
            <b/>
            <sz val="8"/>
            <color indexed="81"/>
            <rFont val="Tahoma"/>
            <family val="2"/>
          </rPr>
          <t>Gutz:</t>
        </r>
        <r>
          <rPr>
            <sz val="8"/>
            <color indexed="81"/>
            <rFont val="Tahoma"/>
            <family val="2"/>
          </rPr>
          <t xml:space="preserve">
</t>
        </r>
        <r>
          <rPr>
            <sz val="10"/>
            <color indexed="81"/>
            <rFont val="Tahoma"/>
            <family val="2"/>
          </rPr>
          <t>Hover the mouse on a curve and point any data point to readout its ID and coordinates.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Gutz</author>
    <author>Ivano Gebhardt Rolf Gutz</author>
    <author>gtz</author>
  </authors>
  <commentList>
    <comment ref="F2" authorId="0" shapeId="0" xr:uid="{00000000-0006-0000-0600-000001000000}">
      <text>
        <r>
          <rPr>
            <b/>
            <sz val="8"/>
            <color indexed="81"/>
            <rFont val="Tahoma"/>
            <family val="2"/>
          </rPr>
          <t>Gutz:</t>
        </r>
        <r>
          <rPr>
            <sz val="8"/>
            <color indexed="81"/>
            <rFont val="Tahoma"/>
            <family val="2"/>
          </rPr>
          <t xml:space="preserve">
</t>
        </r>
        <r>
          <rPr>
            <sz val="10"/>
            <color indexed="81"/>
            <rFont val="Tahoma"/>
            <family val="2"/>
          </rPr>
          <t xml:space="preserve">Interpolation with smoothing is a valuable tool to more precisely locate visible inflections on titration curves with low to moderate dispersion. The algorithm of Evaluation is based on cubic spline smoothing [http://en.wikipedia.org/wiki/Smoothing_spline].
Evaluation, like any other module of CurTiPot, will not run until you enable macros following instructions at cell A22 of module pH_calc;
Multiple inflections, displayed in column P after clicking </t>
        </r>
        <r>
          <rPr>
            <b/>
            <sz val="10"/>
            <color indexed="81"/>
            <rFont val="Tahoma"/>
            <family val="2"/>
          </rPr>
          <t>Process</t>
        </r>
        <r>
          <rPr>
            <sz val="10"/>
            <color indexed="81"/>
            <rFont val="Tahoma"/>
            <family val="2"/>
          </rPr>
          <t xml:space="preserve"> (cell E3), may reflect the stepwise deprotonation of a multiprotic acid like phosphoric or the stepwise protonation of bases like ethylenediamine or EDTA, or may instead be originated by a mixture of various acids or bases with different pKas in a sample. Data dispersion (scatter, noise) can produce artifacts like false inflections and there are suggestions in cell P3 on how to handle such situation, but do not expect accurate results from poor data.
The program accepts from 4 up to 300 experimental (or simulated) data pairs; the degree of smoothing is adjustable; up to one thousand points can be interpolated; and 0 to 15 inflections can be detected.
To assist the calculations of the sample (titrand) ingredients concentration, there is a spreadsheet starting at cell O21.
Warning: care should be exercised with unknown samples because there may be hidden/unresolved inflections (e.g., citric acid, see example in Regression). It is advisable to compare the experimental curve with the simulated one based on the supposed interpretation of the results. This can be done superimposing the Simulation and Evaluation data in the Graphs module or, even better for skilled users, analyzing the experimental data with the Regression module. 
Although Regression is superior to Evaluation for hidden or overlapped inflections, no chemometric tool can extract accurate results from poor data (insufficient measurements, data with high scatter, etc.).
</t>
        </r>
      </text>
    </comment>
    <comment ref="B3" authorId="0" shapeId="0" xr:uid="{00000000-0006-0000-0600-000002000000}">
      <text>
        <r>
          <rPr>
            <b/>
            <sz val="8"/>
            <color indexed="81"/>
            <rFont val="Tahoma"/>
            <family val="2"/>
          </rPr>
          <t>Gutz:</t>
        </r>
        <r>
          <rPr>
            <sz val="8"/>
            <color indexed="81"/>
            <rFont val="Tahoma"/>
            <family val="2"/>
          </rPr>
          <t xml:space="preserve">
</t>
        </r>
        <r>
          <rPr>
            <sz val="10"/>
            <color indexed="81"/>
            <rFont val="Tahoma"/>
            <family val="2"/>
          </rPr>
          <t xml:space="preserve">Click on </t>
        </r>
        <r>
          <rPr>
            <b/>
            <sz val="10"/>
            <color indexed="81"/>
            <rFont val="Tahoma"/>
            <family val="2"/>
          </rPr>
          <t>Clear</t>
        </r>
        <r>
          <rPr>
            <sz val="10"/>
            <color indexed="81"/>
            <rFont val="Tahoma"/>
            <family val="2"/>
          </rPr>
          <t xml:space="preserve"> to remove previous data and results and chose one option:
- Enter your experimental data (during a titration, type as you measure and click </t>
        </r>
        <r>
          <rPr>
            <b/>
            <sz val="10"/>
            <color indexed="81"/>
            <rFont val="Tahoma"/>
            <family val="2"/>
          </rPr>
          <t>Process</t>
        </r>
        <r>
          <rPr>
            <sz val="10"/>
            <color indexed="81"/>
            <rFont val="Tahoma"/>
            <family val="2"/>
          </rPr>
          <t xml:space="preserve"> at any time to fit a curve).
- Copy data previously generated in the </t>
        </r>
        <r>
          <rPr>
            <b/>
            <sz val="10"/>
            <color indexed="81"/>
            <rFont val="Tahoma"/>
            <family val="2"/>
          </rPr>
          <t>Simulation</t>
        </r>
        <r>
          <rPr>
            <sz val="10"/>
            <color indexed="81"/>
            <rFont val="Tahoma"/>
            <family val="2"/>
          </rPr>
          <t xml:space="preserve"> or </t>
        </r>
        <r>
          <rPr>
            <b/>
            <sz val="10"/>
            <color indexed="81"/>
            <rFont val="Tahoma"/>
            <family val="2"/>
          </rPr>
          <t>Titration</t>
        </r>
        <r>
          <rPr>
            <sz val="10"/>
            <color indexed="81"/>
            <rFont val="Tahoma"/>
            <family val="2"/>
          </rPr>
          <t xml:space="preserve"> modules by clicking on the respective </t>
        </r>
        <r>
          <rPr>
            <b/>
            <sz val="10"/>
            <color indexed="81"/>
            <rFont val="Tahoma"/>
            <family val="2"/>
          </rPr>
          <t>Copy</t>
        </r>
        <r>
          <rPr>
            <sz val="10"/>
            <color indexed="81"/>
            <rFont val="Tahoma"/>
            <family val="2"/>
          </rPr>
          <t xml:space="preserve"> buttons.
- Paste data sets of </t>
        </r>
        <r>
          <rPr>
            <b/>
            <sz val="10"/>
            <color indexed="81"/>
            <rFont val="Tahoma"/>
            <family val="2"/>
          </rPr>
          <t>Vol</t>
        </r>
        <r>
          <rPr>
            <sz val="10"/>
            <color indexed="81"/>
            <rFont val="Tahoma"/>
            <family val="2"/>
          </rPr>
          <t xml:space="preserve">. and </t>
        </r>
        <r>
          <rPr>
            <b/>
            <sz val="10"/>
            <color indexed="81"/>
            <rFont val="Tahoma"/>
            <family val="2"/>
          </rPr>
          <t>pH</t>
        </r>
        <r>
          <rPr>
            <sz val="10"/>
            <color indexed="81"/>
            <rFont val="Tahoma"/>
            <family val="2"/>
          </rPr>
          <t xml:space="preserve"> (or other parameters) from a real or simulated titration (or other experiment). 
Minimum number of points: 4
Maximum number of points: 300</t>
        </r>
      </text>
    </comment>
    <comment ref="H3" authorId="1" shapeId="0" xr:uid="{00000000-0006-0000-0600-000003000000}">
      <text>
        <r>
          <rPr>
            <b/>
            <sz val="8"/>
            <color indexed="81"/>
            <rFont val="Tahoma"/>
            <family val="2"/>
          </rPr>
          <t>Gutz:</t>
        </r>
        <r>
          <rPr>
            <sz val="8"/>
            <color indexed="81"/>
            <rFont val="Tahoma"/>
            <family val="2"/>
          </rPr>
          <t xml:space="preserve">
</t>
        </r>
        <r>
          <rPr>
            <sz val="10"/>
            <color indexed="81"/>
            <rFont val="Tahoma"/>
            <family val="2"/>
          </rPr>
          <t>The smoothing factor is selected empirically, by visual inspection (the correlation coefficient, shown in cell N4, does not help much). Begin, for example, with 80%, process, observe figures 1 and 2, and increase/decrease this value until you reach o compromise of best filtering-out of the data dispersion (scatter) without noticeable distortion (systematic flattening) of the region of the inflection. 
For curves presenting a sharp and a tiny inflection, select one at a time (selecting the volume range in cells K3 and K4) and adjust the degree of smoothing individually.  
0% - minimum filtering, cubic spline curve passes though all points.
100%- maximum filtering; the fitted curve approaches linearity; de correlation coefficient decreases.</t>
        </r>
      </text>
    </comment>
    <comment ref="J3" authorId="1" shapeId="0" xr:uid="{00000000-0006-0000-0600-000004000000}">
      <text>
        <r>
          <rPr>
            <b/>
            <sz val="8"/>
            <color indexed="81"/>
            <rFont val="Tahoma"/>
            <family val="2"/>
          </rPr>
          <t>Gutz:</t>
        </r>
        <r>
          <rPr>
            <sz val="8"/>
            <color indexed="81"/>
            <rFont val="Tahoma"/>
            <family val="2"/>
          </rPr>
          <t xml:space="preserve">
</t>
        </r>
        <r>
          <rPr>
            <sz val="10"/>
            <color indexed="81"/>
            <rFont val="Tahoma"/>
            <family val="2"/>
          </rPr>
          <t>Starting volume for the smoothing/interpolation/inflection detection process. 
Zero is the typical value.</t>
        </r>
      </text>
    </comment>
    <comment ref="P3" authorId="2" shapeId="0" xr:uid="{00000000-0006-0000-0600-000005000000}">
      <text>
        <r>
          <rPr>
            <b/>
            <sz val="9"/>
            <color indexed="81"/>
            <rFont val="Tahoma"/>
            <family val="2"/>
          </rPr>
          <t>Gutz:</t>
        </r>
        <r>
          <rPr>
            <sz val="9"/>
            <color indexed="81"/>
            <rFont val="Tahoma"/>
            <family val="2"/>
          </rPr>
          <t xml:space="preserve">
</t>
        </r>
        <r>
          <rPr>
            <sz val="10"/>
            <color indexed="81"/>
            <rFont val="Tahoma"/>
            <family val="2"/>
          </rPr>
          <t xml:space="preserve">This is the setting of the minimum peak amplitude to be detected as valid on the 1st derivative curve by the algorithm of the auto-finder. 
Copy the ‘guess value’ from cell S3 to cell Q3 or chose a dpH/dV value in figure 2 so that it is exceeded only by the maxima (or minima) you want to detect (but not by scatter or other artifacts). Click on Process (cell E3) to observe the effect.
 If necessary, adjust values in cells Q3 and I3 and Process again. </t>
        </r>
      </text>
    </comment>
    <comment ref="H4" authorId="1" shapeId="0" xr:uid="{00000000-0006-0000-0600-000006000000}">
      <text>
        <r>
          <rPr>
            <b/>
            <sz val="8"/>
            <color indexed="81"/>
            <rFont val="Tahoma"/>
            <family val="2"/>
          </rPr>
          <t>Gutz:</t>
        </r>
        <r>
          <rPr>
            <sz val="8"/>
            <color indexed="81"/>
            <rFont val="Tahoma"/>
            <family val="2"/>
          </rPr>
          <t xml:space="preserve">
</t>
        </r>
        <r>
          <rPr>
            <sz val="10"/>
            <color indexed="81"/>
            <rFont val="Tahoma"/>
            <family val="2"/>
          </rPr>
          <t xml:space="preserve">Defines the number of points to be interpolated between the initial (K3) and the final volume (K4). 
Default: 300 (for slow computers use 200 or 100); minimum: 4; maximum: 1000 (columns T to W will be calculated but graphics will display the first 300 points; click on each curve with the right mouse button, chose Select data, edit each data set by increasing T, U, V and W from 306 to 1006.
</t>
        </r>
      </text>
    </comment>
    <comment ref="J4" authorId="1" shapeId="0" xr:uid="{00000000-0006-0000-0600-000007000000}">
      <text>
        <r>
          <rPr>
            <b/>
            <sz val="8"/>
            <color indexed="81"/>
            <rFont val="Tahoma"/>
            <family val="2"/>
          </rPr>
          <t>Gutz:</t>
        </r>
        <r>
          <rPr>
            <sz val="8"/>
            <color indexed="81"/>
            <rFont val="Tahoma"/>
            <family val="2"/>
          </rPr>
          <t xml:space="preserve">
</t>
        </r>
        <r>
          <rPr>
            <sz val="10"/>
            <color indexed="81"/>
            <rFont val="Tahoma"/>
            <family val="2"/>
          </rPr>
          <t xml:space="preserve">Upper volume limit for the smoothing /interpolation/ inflection detection process. 
For curves presenting sharp tiny inflections together, select one at a time (by volume range) and adjust the degree of smoothing.  </t>
        </r>
      </text>
    </comment>
    <comment ref="R4" authorId="1" shapeId="0" xr:uid="{00000000-0006-0000-0600-000008000000}">
      <text>
        <r>
          <rPr>
            <b/>
            <sz val="8"/>
            <color indexed="81"/>
            <rFont val="Tahoma"/>
            <family val="2"/>
          </rPr>
          <t>Gutz:</t>
        </r>
        <r>
          <rPr>
            <sz val="8"/>
            <color indexed="81"/>
            <rFont val="Tahoma"/>
            <family val="2"/>
          </rPr>
          <t xml:space="preserve">
</t>
        </r>
        <r>
          <rPr>
            <sz val="10"/>
            <color indexed="81"/>
            <rFont val="Tahoma"/>
            <family val="2"/>
          </rPr>
          <t xml:space="preserve">Stoichiometric points (or "end points") of potentiometric acid-base titrations correspond to the volumes where the pH vs. Vol curves present inflections, easily located by looking for maxima in the first derivative curves (or a minima, when a base is titrated with an acid) as well as detecting zero crossing points in the second derivative curves. 
Once the degree of smoothing (cell I3) of the spline interpolation is tuned to the data set and the peak amplitude filter (cell Q3) is set to discard false peaks in the derivative curve (caused by scattered/noisy data), the auto-finder interpolates the inflections in the pH vs. Vol. curve automatically and with improved accuracy in comparison with the direct dpH/dV calculation suggested in textbooks or linearization methods, like Gran I and II. Of course, plentiful accurate measurements near the inflections are decisive. 
Oversmoothing of (scattered) data is to be avoided. To exclude outliers from a set, simply delete the data pair and shift the remaining data one row up to exclude the empty cells. 
The (more complex) Regression module may provide superior results, due to fitting to a general equation describing the entire curve instead of empirical splines fitted with an arbitrary smoothing factor (that influences the result for poor data or undefined inflections).
</t>
        </r>
      </text>
    </comment>
    <comment ref="A5" authorId="1" shapeId="0" xr:uid="{00000000-0006-0000-0600-000009000000}">
      <text>
        <r>
          <rPr>
            <b/>
            <sz val="8"/>
            <color indexed="81"/>
            <rFont val="Tahoma"/>
            <family val="2"/>
          </rPr>
          <t>Gutz:</t>
        </r>
        <r>
          <rPr>
            <sz val="8"/>
            <color indexed="81"/>
            <rFont val="Tahoma"/>
            <family val="2"/>
          </rPr>
          <t xml:space="preserve">
</t>
        </r>
        <r>
          <rPr>
            <sz val="10"/>
            <color indexed="81"/>
            <rFont val="Tahoma"/>
            <family val="2"/>
          </rPr>
          <t>Delete existing data (or click the Clear button) before you write or paste experimental data, or copy data from Simulation by clicking on the buttons above.
Volume values in mL are expected, but mass of titrant or number o coulombs (coulometric titration) can be used instead.</t>
        </r>
      </text>
    </comment>
    <comment ref="B5" authorId="1" shapeId="0" xr:uid="{00000000-0006-0000-0600-00000A000000}">
      <text>
        <r>
          <rPr>
            <b/>
            <sz val="8"/>
            <color indexed="81"/>
            <rFont val="Tahoma"/>
            <family val="2"/>
          </rPr>
          <t>Gutz:</t>
        </r>
        <r>
          <rPr>
            <sz val="8"/>
            <color indexed="81"/>
            <rFont val="Tahoma"/>
            <family val="2"/>
          </rPr>
          <t xml:space="preserve">
</t>
        </r>
        <r>
          <rPr>
            <sz val="10"/>
            <color indexed="81"/>
            <rFont val="Tahoma"/>
            <family val="2"/>
          </rPr>
          <t>Copy or paste pH values, experimental or simulated, with our without dispersion (simulated random errors).
Uncalibrated pH electrodes do not impair the determination of concentrations at sharp inflections, but will offset pKa values estimated graphically.
Electrode potentials can replace pH values when evaluating data from other ion selective electrodes.</t>
        </r>
      </text>
    </comment>
    <comment ref="R5" authorId="1" shapeId="0" xr:uid="{00000000-0006-0000-0600-00000B000000}">
      <text>
        <r>
          <rPr>
            <b/>
            <sz val="8"/>
            <color indexed="81"/>
            <rFont val="Tahoma"/>
            <family val="2"/>
          </rPr>
          <t>Gutz:</t>
        </r>
        <r>
          <rPr>
            <sz val="8"/>
            <color indexed="81"/>
            <rFont val="Tahoma"/>
            <family val="2"/>
          </rPr>
          <t xml:space="preserve">
</t>
        </r>
        <r>
          <rPr>
            <sz val="10"/>
            <color indexed="81"/>
            <rFont val="Tahoma"/>
            <family val="2"/>
          </rPr>
          <t xml:space="preserve">Maximum value of the first derivative of the curve at the inflection volume, as calculated from the fitted cubic spline. Precision is higher than for the conventional dpH/dV calculation suggested in textbooks.
The Regression module may provide even better  results in the hand of skilled users, since a general equation describing the theoretical curve is fitted to data, instead of empirical splines.
Of course, good data near the inflections is decisive for all approaches. </t>
        </r>
      </text>
    </comment>
    <comment ref="S5" authorId="1" shapeId="0" xr:uid="{00000000-0006-0000-0600-00000C000000}">
      <text>
        <r>
          <rPr>
            <b/>
            <sz val="8"/>
            <color indexed="81"/>
            <rFont val="Tahoma"/>
            <family val="2"/>
          </rPr>
          <t>Gutz:</t>
        </r>
        <r>
          <rPr>
            <sz val="8"/>
            <color indexed="81"/>
            <rFont val="Tahoma"/>
            <family val="2"/>
          </rPr>
          <t xml:space="preserve">
</t>
        </r>
        <r>
          <rPr>
            <sz val="10"/>
            <color indexed="81"/>
            <rFont val="Tahoma"/>
            <family val="2"/>
          </rPr>
          <t>Second derivatives estimated from the splines fitted with smoothing to the original data. Inflections correspond to zero crossing 2nd derivative. Therefore, low values are expected.</t>
        </r>
      </text>
    </comment>
    <comment ref="T5" authorId="1" shapeId="0" xr:uid="{00000000-0006-0000-0600-00000D000000}">
      <text>
        <r>
          <rPr>
            <b/>
            <sz val="10"/>
            <color indexed="81"/>
            <rFont val="Tahoma"/>
            <family val="2"/>
          </rPr>
          <t>Gutz:</t>
        </r>
        <r>
          <rPr>
            <sz val="10"/>
            <color indexed="81"/>
            <rFont val="Tahoma"/>
            <family val="2"/>
          </rPr>
          <t xml:space="preserve">
The number of interpolated points can be chosen from 4 to 1000 in cell I4.</t>
        </r>
      </text>
    </comment>
    <comment ref="P6" authorId="1" shapeId="0" xr:uid="{00000000-0006-0000-0600-00000E000000}">
      <text>
        <r>
          <rPr>
            <b/>
            <sz val="10"/>
            <color indexed="81"/>
            <rFont val="Tahoma"/>
            <family val="2"/>
          </rPr>
          <t>Gutz:</t>
        </r>
        <r>
          <rPr>
            <sz val="10"/>
            <color indexed="81"/>
            <rFont val="Tahoma"/>
            <family val="2"/>
          </rPr>
          <t xml:space="preserve">
Copy and paste the volumes of the inflections from cells P6, P7, etc. into cells P28, P29, etc., and fill out R24 and 25 to make simple stoichiometric calculations. </t>
        </r>
      </text>
    </comment>
    <comment ref="R22" authorId="1" shapeId="0" xr:uid="{00000000-0006-0000-0600-00000F000000}">
      <text>
        <r>
          <rPr>
            <b/>
            <sz val="10"/>
            <color indexed="81"/>
            <rFont val="Tahoma"/>
            <family val="2"/>
          </rPr>
          <t>Gutz:</t>
        </r>
        <r>
          <rPr>
            <sz val="10"/>
            <color indexed="81"/>
            <rFont val="Tahoma"/>
            <family val="2"/>
          </rPr>
          <t xml:space="preserve">
This spreadsheet assists trivial stoichiometric calculations, like the concentration of acids/bases in the titrand or sample. 
Click </t>
        </r>
        <r>
          <rPr>
            <b/>
            <sz val="10"/>
            <color indexed="81"/>
            <rFont val="Tahoma"/>
            <family val="2"/>
          </rPr>
          <t>Copy volumes</t>
        </r>
        <r>
          <rPr>
            <sz val="10"/>
            <color indexed="81"/>
            <rFont val="Tahoma"/>
            <family val="2"/>
          </rPr>
          <t xml:space="preserve"> or copy the volumes of inflections from P6, P7, etc. and paste them in  P27, P28, etc. 
Fill out the blanks in R24 and R25.</t>
        </r>
      </text>
    </comment>
    <comment ref="P27" authorId="1" shapeId="0" xr:uid="{00000000-0006-0000-0600-000010000000}">
      <text>
        <r>
          <rPr>
            <b/>
            <sz val="8"/>
            <color indexed="81"/>
            <rFont val="Tahoma"/>
            <family val="2"/>
          </rPr>
          <t xml:space="preserve"> Gutz:</t>
        </r>
        <r>
          <rPr>
            <sz val="8"/>
            <color indexed="81"/>
            <rFont val="Tahoma"/>
            <family val="2"/>
          </rPr>
          <t xml:space="preserve">
</t>
        </r>
        <r>
          <rPr>
            <sz val="10"/>
            <color indexed="81"/>
            <rFont val="Tahoma"/>
            <family val="2"/>
          </rPr>
          <t>Fill out with the volumes of the inflections (in mL)</t>
        </r>
      </text>
    </comment>
    <comment ref="Q27" authorId="1" shapeId="0" xr:uid="{00000000-0006-0000-0600-000011000000}">
      <text>
        <r>
          <rPr>
            <b/>
            <sz val="8"/>
            <color indexed="81"/>
            <rFont val="Tahoma"/>
            <family val="2"/>
          </rPr>
          <t xml:space="preserve"> Gutz:</t>
        </r>
        <r>
          <rPr>
            <sz val="8"/>
            <color indexed="81"/>
            <rFont val="Tahoma"/>
            <family val="2"/>
          </rPr>
          <t xml:space="preserve">
</t>
        </r>
        <r>
          <rPr>
            <sz val="10"/>
            <color indexed="81"/>
            <rFont val="Tahoma"/>
            <family val="2"/>
          </rPr>
          <t>Cumulative number of mols of titrant added from the beginning of the titration up to a given inflection.</t>
        </r>
      </text>
    </comment>
    <comment ref="R27" authorId="1" shapeId="0" xr:uid="{00000000-0006-0000-0600-000012000000}">
      <text>
        <r>
          <rPr>
            <b/>
            <sz val="8"/>
            <color indexed="81"/>
            <rFont val="Tahoma"/>
            <family val="2"/>
          </rPr>
          <t>Gutz:</t>
        </r>
        <r>
          <rPr>
            <sz val="8"/>
            <color indexed="81"/>
            <rFont val="Tahoma"/>
            <family val="2"/>
          </rPr>
          <t xml:space="preserve">
</t>
        </r>
        <r>
          <rPr>
            <sz val="10"/>
            <color indexed="81"/>
            <rFont val="Tahoma"/>
            <family val="2"/>
          </rPr>
          <t>Number of mols of titrant added from the previous inflection to the current one.</t>
        </r>
      </text>
    </comment>
    <comment ref="S27" authorId="1" shapeId="0" xr:uid="{00000000-0006-0000-0600-000013000000}">
      <text>
        <r>
          <rPr>
            <b/>
            <sz val="8"/>
            <color indexed="81"/>
            <rFont val="Tahoma"/>
            <family val="2"/>
          </rPr>
          <t>Gutz:</t>
        </r>
        <r>
          <rPr>
            <sz val="8"/>
            <color indexed="81"/>
            <rFont val="Tahoma"/>
            <family val="2"/>
          </rPr>
          <t xml:space="preserve">
</t>
        </r>
        <r>
          <rPr>
            <sz val="10"/>
            <color indexed="81"/>
            <rFont val="Tahoma"/>
            <family val="2"/>
          </rPr>
          <t xml:space="preserve">Concentration (in mol/L) of a titrand (titrated specie) in the sample pipetted into the titration cell (subsequent addition of water, to immerge the sensor does not matter), obtained by dividing the number of mols of titrant consumed to reach an inflection by the volume of sample. 
Successive inflections may correspond to the stepwise deprotonation of a multiprotic acid like phosphoric (or stepwise protonation of  bases like ethylenediamine or EDTA), but they may result as well from a mixture of  acids or bases of different strengths. 
Warning: care should be exercised with unknown samples because there may be hidden/unresolved inflections (e.g., citric acid, see example in Regression). It is advisable to compare the experimental curve with the simulated one based on the supposed interpretation of the results. This can be done superimposing the Simulation and Evaluation data in the Graphs module or, even better for skilled users, analyzing the experimental data with the Regression module. 
</t>
        </r>
      </text>
    </comment>
    <comment ref="R43" authorId="1" shapeId="0" xr:uid="{00000000-0006-0000-0600-000014000000}">
      <text>
        <r>
          <rPr>
            <b/>
            <sz val="10"/>
            <color indexed="81"/>
            <rFont val="Tahoma"/>
            <family val="2"/>
          </rPr>
          <t>Gutz:</t>
        </r>
        <r>
          <rPr>
            <sz val="10"/>
            <color indexed="81"/>
            <rFont val="Tahoma"/>
            <family val="2"/>
          </rPr>
          <t xml:space="preserve">
Click twice on the dpH/dV or pH scale to redefine it.
Use Ctrl+Z (as many times as needed) to undo scale expansion</t>
        </r>
      </text>
    </comment>
    <comment ref="R44" authorId="1" shapeId="0" xr:uid="{00000000-0006-0000-0600-000015000000}">
      <text>
        <r>
          <rPr>
            <b/>
            <sz val="8"/>
            <color indexed="81"/>
            <rFont val="Tahoma"/>
            <family val="2"/>
          </rPr>
          <t>Gutz:</t>
        </r>
        <r>
          <rPr>
            <sz val="8"/>
            <color indexed="81"/>
            <rFont val="Tahoma"/>
            <family val="2"/>
          </rPr>
          <t xml:space="preserve">
</t>
        </r>
        <r>
          <rPr>
            <sz val="10"/>
            <color indexed="81"/>
            <rFont val="Tahoma"/>
            <family val="2"/>
          </rPr>
          <t>To copy graphics with one or more curves and paste them into other documents (e.g.: Word o Excel) without links to the original:
- Fill out the header of the graphic (optional)
- Click in the box of the graphic near the margins, to select it
- (only Excel versions older than 12, from 2007: Click on Process once more) 
- Press Ctrl+C and wait processing 
- Switch to the Word document 
- Select Insert/Paste Special/Picture (enhanced metafile)</t>
        </r>
        <r>
          <rPr>
            <sz val="8"/>
            <color indexed="81"/>
            <rFont val="Tahoma"/>
            <family val="2"/>
          </rPr>
          <t xml:space="preserve">
</t>
        </r>
      </text>
    </comment>
    <comment ref="R45" authorId="1" shapeId="0" xr:uid="{00000000-0006-0000-0600-000016000000}">
      <text>
        <r>
          <rPr>
            <b/>
            <sz val="8"/>
            <color indexed="81"/>
            <rFont val="Tahoma"/>
            <family val="2"/>
          </rPr>
          <t>Gutz:</t>
        </r>
        <r>
          <rPr>
            <sz val="8"/>
            <color indexed="81"/>
            <rFont val="Tahoma"/>
            <family val="2"/>
          </rPr>
          <t xml:space="preserve">
</t>
        </r>
        <r>
          <rPr>
            <sz val="10"/>
            <color indexed="81"/>
            <rFont val="Tahoma"/>
            <family val="2"/>
          </rPr>
          <t>Hover the mouse on a curve and point any data point to readout its ID and coordinates.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Gutz</author>
    <author>Ivano Gebhardt Rolf Gutz</author>
    <author>gtz</author>
    <author>GPQAI-51</author>
    <author>Ivano G. R. Gutz</author>
  </authors>
  <commentList>
    <comment ref="F1" authorId="0" shapeId="0" xr:uid="{00000000-0006-0000-0700-000001000000}">
      <text>
        <r>
          <rPr>
            <b/>
            <sz val="8"/>
            <color indexed="81"/>
            <rFont val="Tahoma"/>
            <family val="2"/>
          </rPr>
          <t>Gutz:</t>
        </r>
        <r>
          <rPr>
            <sz val="8"/>
            <color indexed="81"/>
            <rFont val="Tahoma"/>
            <family val="2"/>
          </rPr>
          <t xml:space="preserve">
</t>
        </r>
        <r>
          <rPr>
            <sz val="10"/>
            <color indexed="81"/>
            <rFont val="Tahoma"/>
            <family val="2"/>
          </rPr>
          <t>Always use the most recent version of CurTiPot available at the author’s site http://www.iq.usp.br/gutz/Curtipot_.html, choosing between CurTiPot and CurTiPot option i – the same full program plus balloons with first steps for beginners.</t>
        </r>
        <r>
          <rPr>
            <sz val="8"/>
            <color indexed="81"/>
            <rFont val="Tahoma"/>
            <family val="2"/>
          </rPr>
          <t xml:space="preserve">
</t>
        </r>
        <r>
          <rPr>
            <sz val="10"/>
            <color indexed="81"/>
            <rFont val="Tahoma"/>
            <family val="2"/>
          </rPr>
          <t xml:space="preserve">This module employs multiparametric nonlinear regression (MPNLR or NLR or simply Reg) for the determination of the concentrations of acidic and basic components (and, optionally, their pKa's) in samples from pH data of volumetric acid-base titrations. Excel's free </t>
        </r>
        <r>
          <rPr>
            <b/>
            <sz val="10"/>
            <color indexed="81"/>
            <rFont val="Tahoma"/>
            <family val="2"/>
          </rPr>
          <t>Solver</t>
        </r>
        <r>
          <rPr>
            <sz val="10"/>
            <color indexed="81"/>
            <rFont val="Tahoma"/>
            <family val="2"/>
          </rPr>
          <t xml:space="preserve"> add-in is used for NLR and it </t>
        </r>
        <r>
          <rPr>
            <b/>
            <sz val="10"/>
            <color indexed="81"/>
            <rFont val="Tahoma"/>
            <family val="2"/>
          </rPr>
          <t>must be activated</t>
        </r>
        <r>
          <rPr>
            <sz val="10"/>
            <color indexed="81"/>
            <rFont val="Tahoma"/>
            <family val="2"/>
          </rPr>
          <t xml:space="preserve"> first (only once for each computer), following instructions starting at cell AP1.
Learning to use CurTiPot's </t>
        </r>
        <r>
          <rPr>
            <u/>
            <sz val="10"/>
            <color indexed="81"/>
            <rFont val="Tahoma"/>
            <family val="2"/>
          </rPr>
          <t>Regression</t>
        </r>
        <r>
          <rPr>
            <sz val="10"/>
            <color indexed="81"/>
            <rFont val="Tahoma"/>
            <family val="2"/>
          </rPr>
          <t xml:space="preserve"> module (by reading the "red dot" cells with help and comments) is worthwhile especially if applications out of the reach of </t>
        </r>
        <r>
          <rPr>
            <u/>
            <sz val="10"/>
            <color indexed="81"/>
            <rFont val="Tahoma"/>
            <family val="2"/>
          </rPr>
          <t>Evaluation</t>
        </r>
        <r>
          <rPr>
            <sz val="10"/>
            <color indexed="81"/>
            <rFont val="Tahoma"/>
            <family val="2"/>
          </rPr>
          <t xml:space="preserve"> are aimed, like:
- samples with multiple components to quantify;
- unsharp inflections, due to close pKa values;
- very diluted samples; 
- determination or refinement of pKa values (within the pH range of the titration curve);
- detection (and, possibly, quantification) of minor components that may have been overlooked in the graphical evaluation. e.g. CO</t>
        </r>
        <r>
          <rPr>
            <vertAlign val="subscript"/>
            <sz val="11"/>
            <color indexed="81"/>
            <rFont val="Tahoma"/>
            <family val="2"/>
          </rPr>
          <t>2</t>
        </r>
        <r>
          <rPr>
            <sz val="10"/>
            <color indexed="81"/>
            <rFont val="Tahoma"/>
            <family val="2"/>
          </rPr>
          <t xml:space="preserve"> (absorbed by the titrand or titrant;
- detection of curve distortions caused by malfunctioning or calibration problems of the pH sensor;
- more accurate and faster results (once a procedure is optimized for a given routine application). 
Extra instructions for the quantification of titrands with pKa values that fall outside the pH range of the titration curve, like strong acids and strong bases, appear in cells  I14, H18 and H19.      
The Regression module takes the ionic strength I of the medium and its effects on acid-base equilibrium  into account (like the pH_calc and Simulation modules). For real samples with unknown I, the constants loaded from the Database (mostly thermodynamic ones, strictly valid only at I=0) may not generate the best possible fit to experimental curves. Improvements are expected by fitting also ionic strength (cell S12) or refining the pKas after a first fit of the concentrations (viable only when their values fall within the pH region explored during the titration). 
In this module pH is taken as minus the logarithm of the hydrated hydrogen ion activity (see definition, http://www.iupac.org/goldbook/P04524.pdf) as measured with a calibrated pH meter connected to a combined glass electrode. Information about the differences and interconversion of pH, p[H] and "pH" is available in the pH_calc module.
Especially for the determination/refinement of pKa values, experimental pH values are assumed to be obtained in thermostated conditions and free of calibration, junction potential and alkaline errors of the sensor (to be corrected previously for best results). Inaccurate calibration of the sensor (unreliable buffer solutions, temperature different from specified, etc.) and deviation from Nersntian response of the glass electrode cause systematic errors that may be detected and corrected to some extent by inclusion of P12 and P13 as variable cells in the Solver, at a refinement stage of the fitting of otherwise high quality titration data of titrant and titrand of known concentrations. 
Warning: no chemometric tool can extract accurate results from poor data (insufficient measurements, data with high scatter, systematic errors, etc.). Before you analyze difficult titration data with Regression, collect the best data you can in the laboratory, after careful planning (assisted by Simulation) and well executed experiments with calibrated instrumentation and high purity, well standardized reagents.
Essentially the program fits the user-selected parameters by minimizing the squares of the difference of calculated and fitted total dissociable H</t>
        </r>
        <r>
          <rPr>
            <vertAlign val="superscript"/>
            <sz val="10"/>
            <color indexed="81"/>
            <rFont val="Tahoma"/>
            <family val="2"/>
          </rPr>
          <t>+</t>
        </r>
        <r>
          <rPr>
            <sz val="10"/>
            <color indexed="81"/>
            <rFont val="Tahoma"/>
            <family val="2"/>
          </rPr>
          <t xml:space="preserve"> concentrations, but various weighting options are available in cells I20, K20 and M20.</t>
        </r>
      </text>
    </comment>
    <comment ref="M1" authorId="0" shapeId="0" xr:uid="{00000000-0006-0000-0700-000002000000}">
      <text>
        <r>
          <rPr>
            <b/>
            <sz val="8"/>
            <color indexed="81"/>
            <rFont val="Tahoma"/>
            <family val="2"/>
          </rPr>
          <t>Gutz:</t>
        </r>
        <r>
          <rPr>
            <sz val="8"/>
            <color indexed="81"/>
            <rFont val="Tahoma"/>
            <family val="2"/>
          </rPr>
          <t xml:space="preserve">
</t>
        </r>
        <r>
          <rPr>
            <sz val="10"/>
            <color indexed="81"/>
            <rFont val="Tahoma"/>
            <family val="2"/>
          </rPr>
          <t xml:space="preserve">Options for selecting/editing names, charges and pKas:
a) Write directly in the cells K3 to Q10 and R3 to T6 (ignoring line 2 settings); 
b) Click on names in line 2, slide along the list, click on another name (or a blank line); finally, click on J2 to load the constants from the </t>
        </r>
        <r>
          <rPr>
            <b/>
            <sz val="10"/>
            <color indexed="81"/>
            <rFont val="Tahoma"/>
            <family val="2"/>
          </rPr>
          <t>Database</t>
        </r>
        <r>
          <rPr>
            <sz val="10"/>
            <color indexed="81"/>
            <rFont val="Tahoma"/>
            <family val="2"/>
          </rPr>
          <t>;
c) When applicable (see comments F1 and I18) , refine the pKas loaded by options a or b, by including them in the regression.
Frequently used acids missing in the Database should be added to it.</t>
        </r>
      </text>
    </comment>
    <comment ref="S2" authorId="0" shapeId="0" xr:uid="{00000000-0006-0000-0700-000003000000}">
      <text>
        <r>
          <rPr>
            <b/>
            <sz val="8"/>
            <color indexed="81"/>
            <rFont val="Tahoma"/>
            <family val="2"/>
          </rPr>
          <t>Gutz:</t>
        </r>
        <r>
          <rPr>
            <sz val="8"/>
            <color indexed="81"/>
            <rFont val="Tahoma"/>
            <family val="2"/>
          </rPr>
          <t xml:space="preserve">
</t>
        </r>
        <r>
          <rPr>
            <sz val="10"/>
            <color indexed="81"/>
            <rFont val="Tahoma"/>
            <family val="2"/>
          </rPr>
          <t>The titrant may contain up to three diprotic reagents (other than the default ones).
Names and constants must be changed manually (load pKas from the database as a titrand and copy them to the titrant cells)</t>
        </r>
      </text>
    </comment>
    <comment ref="AF2" authorId="0" shapeId="0" xr:uid="{00000000-0006-0000-0700-000004000000}">
      <text>
        <r>
          <rPr>
            <b/>
            <sz val="8"/>
            <color indexed="81"/>
            <rFont val="Tahoma"/>
            <family val="2"/>
          </rPr>
          <t xml:space="preserve">Gutz: 
</t>
        </r>
        <r>
          <rPr>
            <sz val="10"/>
            <color indexed="81"/>
            <rFont val="Tahoma"/>
            <family val="2"/>
          </rPr>
          <t>The pKas shown here are copied automatically from the Database by changing K2 to Q2. 
See U5 to understand why 
pKa1 = -logKpn</t>
        </r>
      </text>
    </comment>
    <comment ref="B3" authorId="0" shapeId="0" xr:uid="{00000000-0006-0000-0700-000005000000}">
      <text>
        <r>
          <rPr>
            <b/>
            <sz val="8"/>
            <color indexed="81"/>
            <rFont val="Tahoma"/>
            <family val="2"/>
          </rPr>
          <t>Gutz:</t>
        </r>
        <r>
          <rPr>
            <sz val="8"/>
            <color indexed="81"/>
            <rFont val="Tahoma"/>
            <family val="2"/>
          </rPr>
          <t xml:space="preserve">
</t>
        </r>
        <r>
          <rPr>
            <sz val="10"/>
            <color indexed="81"/>
            <rFont val="Tahoma"/>
            <family val="2"/>
          </rPr>
          <t>Do not write here. See comment in cell M1 on how to change acids and bases.</t>
        </r>
      </text>
    </comment>
    <comment ref="R3" authorId="0" shapeId="0" xr:uid="{00000000-0006-0000-0700-000006000000}">
      <text>
        <r>
          <rPr>
            <b/>
            <sz val="8"/>
            <color indexed="81"/>
            <rFont val="Tahoma"/>
            <family val="2"/>
          </rPr>
          <t>Gutz:</t>
        </r>
        <r>
          <rPr>
            <sz val="8"/>
            <color indexed="81"/>
            <rFont val="Tahoma"/>
            <family val="2"/>
          </rPr>
          <t xml:space="preserve">
</t>
        </r>
        <r>
          <rPr>
            <sz val="10"/>
            <color indexed="81"/>
            <rFont val="Tahoma"/>
            <family val="2"/>
          </rPr>
          <t>Strong acids like HCl or HClO</t>
        </r>
        <r>
          <rPr>
            <vertAlign val="subscript"/>
            <sz val="10"/>
            <color indexed="81"/>
            <rFont val="Tahoma"/>
            <family val="2"/>
          </rPr>
          <t>4</t>
        </r>
        <r>
          <rPr>
            <sz val="10"/>
            <color indexed="81"/>
            <rFont val="Tahoma"/>
            <family val="2"/>
          </rPr>
          <t xml:space="preserve"> have negative pKas, possibly -6 or lower.
For a diprotic titrant like H</t>
        </r>
        <r>
          <rPr>
            <vertAlign val="subscript"/>
            <sz val="12"/>
            <color indexed="81"/>
            <rFont val="Tahoma"/>
            <family val="2"/>
          </rPr>
          <t>2</t>
        </r>
        <r>
          <rPr>
            <sz val="10"/>
            <color indexed="81"/>
            <rFont val="Tahoma"/>
            <family val="2"/>
          </rPr>
          <t>SO</t>
        </r>
        <r>
          <rPr>
            <vertAlign val="subscript"/>
            <sz val="12"/>
            <color indexed="81"/>
            <rFont val="Tahoma"/>
            <family val="2"/>
          </rPr>
          <t>4</t>
        </r>
        <r>
          <rPr>
            <sz val="10"/>
            <color indexed="81"/>
            <rFont val="Tahoma"/>
            <family val="2"/>
          </rPr>
          <t>, use pKa1 = -6 and pKa2 = 1,8.
You can specify any system with no more than 2 pKas as titrant (can be expanded by the author).</t>
        </r>
      </text>
    </comment>
    <comment ref="S3" authorId="0" shapeId="0" xr:uid="{00000000-0006-0000-0700-000007000000}">
      <text>
        <r>
          <rPr>
            <b/>
            <sz val="8"/>
            <color indexed="81"/>
            <rFont val="Tahoma"/>
            <family val="2"/>
          </rPr>
          <t>Gutz:</t>
        </r>
        <r>
          <rPr>
            <sz val="8"/>
            <color indexed="81"/>
            <rFont val="Tahoma"/>
            <family val="2"/>
          </rPr>
          <t xml:space="preserve">
</t>
        </r>
        <r>
          <rPr>
            <sz val="10"/>
            <color indexed="81"/>
            <rFont val="Tahoma"/>
            <family val="2"/>
          </rPr>
          <t>The accepted value of the pKa (=log Kp) of the strong base  OH- is 15,745 at 25ºC and infinite dilution. The activity coefficient of OH- (and other ions) decreases as I grows up to 0,5 mol/L and more specific interactions with other cations become relevant at high I , so that lower pKa values are sometimes mentioned in the literature (see references in the Database for details).
Any other mono or biprotonable acid or base can be used instead of OH-to compose the titrant.</t>
        </r>
      </text>
    </comment>
    <comment ref="T3" authorId="0" shapeId="0" xr:uid="{00000000-0006-0000-0700-000008000000}">
      <text>
        <r>
          <rPr>
            <b/>
            <sz val="8"/>
            <color indexed="81"/>
            <rFont val="Tahoma"/>
            <family val="2"/>
          </rPr>
          <t>Gutz:</t>
        </r>
        <r>
          <rPr>
            <sz val="8"/>
            <color indexed="81"/>
            <rFont val="Tahoma"/>
            <family val="2"/>
          </rPr>
          <t xml:space="preserve">
</t>
        </r>
        <r>
          <rPr>
            <sz val="10"/>
            <color indexed="81"/>
            <rFont val="Tahoma"/>
            <family val="2"/>
          </rPr>
          <t>Aqueous solutions exposed to air or stored in (gas permeable) plastic flasks are always contaminated with CO</t>
        </r>
        <r>
          <rPr>
            <vertAlign val="subscript"/>
            <sz val="12"/>
            <color indexed="81"/>
            <rFont val="Tahoma"/>
            <family val="2"/>
          </rPr>
          <t>2</t>
        </r>
        <r>
          <rPr>
            <sz val="10"/>
            <color indexed="81"/>
            <rFont val="Tahoma"/>
            <family val="2"/>
          </rPr>
          <t>. Thus, it is advisable to include the carbonic acid system in simulations and regressions. But any other mono- or diprotic system can be specified here.
The pKa</t>
        </r>
        <r>
          <rPr>
            <vertAlign val="subscript"/>
            <sz val="12"/>
            <color indexed="81"/>
            <rFont val="Tahoma"/>
            <family val="2"/>
          </rPr>
          <t>1</t>
        </r>
        <r>
          <rPr>
            <sz val="10"/>
            <color indexed="81"/>
            <rFont val="Tahoma"/>
            <family val="2"/>
          </rPr>
          <t xml:space="preserve"> from the Database for  H2CO3 is the apparent one. By considering the fraction of dissolved CO</t>
        </r>
        <r>
          <rPr>
            <vertAlign val="subscript"/>
            <sz val="12"/>
            <color indexed="81"/>
            <rFont val="Tahoma"/>
            <family val="2"/>
          </rPr>
          <t>2</t>
        </r>
        <r>
          <rPr>
            <sz val="10"/>
            <color indexed="81"/>
            <rFont val="Tahoma"/>
            <family val="2"/>
          </rPr>
          <t xml:space="preserve">  converted in H</t>
        </r>
        <r>
          <rPr>
            <vertAlign val="subscript"/>
            <sz val="12"/>
            <color indexed="81"/>
            <rFont val="Tahoma"/>
            <family val="2"/>
          </rPr>
          <t>2</t>
        </r>
        <r>
          <rPr>
            <sz val="10"/>
            <color indexed="81"/>
            <rFont val="Tahoma"/>
            <family val="2"/>
          </rPr>
          <t>CO</t>
        </r>
        <r>
          <rPr>
            <vertAlign val="subscript"/>
            <sz val="12"/>
            <color indexed="81"/>
            <rFont val="Tahoma"/>
            <family val="2"/>
          </rPr>
          <t>3</t>
        </r>
        <r>
          <rPr>
            <sz val="10"/>
            <color indexed="81"/>
            <rFont val="Tahoma"/>
            <family val="2"/>
          </rPr>
          <t xml:space="preserve"> (most of it remains as CO</t>
        </r>
        <r>
          <rPr>
            <vertAlign val="subscript"/>
            <sz val="12"/>
            <color indexed="81"/>
            <rFont val="Tahoma"/>
            <family val="2"/>
          </rPr>
          <t>2</t>
        </r>
        <r>
          <rPr>
            <sz val="10"/>
            <color indexed="81"/>
            <rFont val="Tahoma"/>
            <family val="2"/>
          </rPr>
          <t>(aq)) a "true" pKa1 of 3.58 is reported.</t>
        </r>
      </text>
    </comment>
    <comment ref="A4" authorId="0" shapeId="0" xr:uid="{00000000-0006-0000-0700-000009000000}">
      <text>
        <r>
          <rPr>
            <b/>
            <sz val="8"/>
            <color indexed="81"/>
            <rFont val="Tahoma"/>
            <family val="2"/>
          </rPr>
          <t>Gutz:</t>
        </r>
        <r>
          <rPr>
            <sz val="8"/>
            <color indexed="81"/>
            <rFont val="Tahoma"/>
            <family val="2"/>
          </rPr>
          <t xml:space="preserve">
</t>
        </r>
        <r>
          <rPr>
            <sz val="10"/>
            <color indexed="81"/>
            <rFont val="Tahoma"/>
            <family val="2"/>
          </rPr>
          <t>All concentrations in cells B4 to H13 (among others) refer to the sample, while the initial pH refers to the sample + added water (if any, see F16), here called titrand, and, during the titration, to titrand + titrant.
Typically, 5 to 25 mL of sample (cell E16) are carefully measured and placed in a beaker, a combined glass electrode (connected to a pH meter) and a magnetic stirrer bar are introduced and water (indicated in F16) is added till the sensing area of the electrode is covered, so that the pH is measure in volume G16.
A titration is carried out by adding small aliquots of titrant (usually with a buret or motor driven syringe containing a strong acid or strong base) and registering the pH after stabilization of the reading.</t>
        </r>
      </text>
    </comment>
    <comment ref="B4" authorId="1" shapeId="0" xr:uid="{00000000-0006-0000-0700-00000A000000}">
      <text>
        <r>
          <rPr>
            <b/>
            <sz val="8"/>
            <color indexed="81"/>
            <rFont val="Tahoma"/>
            <family val="2"/>
          </rPr>
          <t>Gutz</t>
        </r>
        <r>
          <rPr>
            <b/>
            <sz val="8"/>
            <color indexed="81"/>
            <rFont val="Tahoma"/>
            <family val="2"/>
          </rPr>
          <t>:</t>
        </r>
        <r>
          <rPr>
            <sz val="8"/>
            <color indexed="81"/>
            <rFont val="Tahoma"/>
            <family val="2"/>
          </rPr>
          <t xml:space="preserve">
</t>
        </r>
        <r>
          <rPr>
            <sz val="10"/>
            <color indexed="81"/>
            <rFont val="Tahoma"/>
            <family val="2"/>
          </rPr>
          <t>Do NOT write in this cell or any other one of the same color, not to corrupt  the equations.</t>
        </r>
      </text>
    </comment>
    <comment ref="J4" authorId="0" shapeId="0" xr:uid="{00000000-0006-0000-0700-00000B000000}">
      <text>
        <r>
          <rPr>
            <b/>
            <sz val="8"/>
            <color indexed="81"/>
            <rFont val="Tahoma"/>
            <family val="2"/>
          </rPr>
          <t xml:space="preserve">Gutz: 
</t>
        </r>
        <r>
          <rPr>
            <sz val="10"/>
            <color indexed="81"/>
            <rFont val="Tahoma"/>
            <family val="2"/>
          </rPr>
          <t>Charge of the most deprotonated species of an acid or base in accordance with the highest pKa for the system, e.g., 
 0 for NH3 or pyridine
-1 for acetate/acetic acid
-2 for carbonate//carbonic acid
-3 for phosphate///phosphoric acid 
-4 for EDTA</t>
        </r>
      </text>
    </comment>
    <comment ref="A5" authorId="1" shapeId="0" xr:uid="{00000000-0006-0000-0700-00000C000000}">
      <text>
        <r>
          <rPr>
            <b/>
            <sz val="8"/>
            <color indexed="81"/>
            <rFont val="Tahoma"/>
            <family val="2"/>
          </rPr>
          <t>Gutz:</t>
        </r>
        <r>
          <rPr>
            <sz val="10"/>
            <color indexed="81"/>
            <rFont val="Tahoma"/>
            <family val="2"/>
          </rPr>
          <t xml:space="preserve">
Equilibrium concentration in the sample (=titrand if F16=0) of the deprotonated (conjugated) base at the initial pH (J15); 
The fitted  global concentration of all forms of the acid-base system,    [B]+[HB]+[H2B]+... appears in line 11</t>
        </r>
      </text>
    </comment>
    <comment ref="J5" authorId="0" shapeId="0" xr:uid="{00000000-0006-0000-0700-00000D000000}">
      <text>
        <r>
          <rPr>
            <b/>
            <sz val="8"/>
            <color indexed="81"/>
            <rFont val="Tahoma"/>
            <family val="2"/>
          </rPr>
          <t xml:space="preserve">Gutz: 
</t>
        </r>
        <r>
          <rPr>
            <sz val="10"/>
            <color indexed="81"/>
            <rFont val="Tahoma"/>
            <family val="2"/>
          </rPr>
          <t>Options:
a) pKa</t>
        </r>
        <r>
          <rPr>
            <vertAlign val="subscript"/>
            <sz val="12"/>
            <color indexed="81"/>
            <rFont val="Tahoma"/>
            <family val="2"/>
          </rPr>
          <t>1</t>
        </r>
        <r>
          <rPr>
            <sz val="10"/>
            <color indexed="81"/>
            <rFont val="Tahoma"/>
            <family val="2"/>
          </rPr>
          <t xml:space="preserve"> , -logarithm of the dissociation constant of a monoprotic acid or first constant for a polyprotic system.
b) logKp</t>
        </r>
        <r>
          <rPr>
            <vertAlign val="subscript"/>
            <sz val="12"/>
            <color indexed="81"/>
            <rFont val="Tahoma"/>
            <family val="2"/>
          </rPr>
          <t>i,</t>
        </r>
        <r>
          <rPr>
            <sz val="10"/>
            <color indexed="81"/>
            <rFont val="Tahoma"/>
            <family val="2"/>
          </rPr>
          <t xml:space="preserve"> logarithm of the protonation constant of a (conjugated) base, with i=1 for a monoprotonable base and i= n (most deprotonated species) for polyprotic systems (more about at U5);
c) pK</t>
        </r>
        <r>
          <rPr>
            <vertAlign val="subscript"/>
            <sz val="12"/>
            <color indexed="81"/>
            <rFont val="Tahoma"/>
            <family val="2"/>
          </rPr>
          <t>w</t>
        </r>
        <r>
          <rPr>
            <sz val="10"/>
            <color indexed="81"/>
            <rFont val="Tahoma"/>
            <family val="2"/>
          </rPr>
          <t xml:space="preserve"> - pKb</t>
        </r>
        <r>
          <rPr>
            <vertAlign val="subscript"/>
            <sz val="12"/>
            <color indexed="81"/>
            <rFont val="Tahoma"/>
            <family val="2"/>
          </rPr>
          <t>i</t>
        </r>
        <r>
          <rPr>
            <sz val="10"/>
            <color indexed="81"/>
            <rFont val="Tahoma"/>
            <family val="2"/>
          </rPr>
          <t>, for -log of the dissociation constant  of a base, with i=1 for a monoprotonable base and i= n (most deprotonated species) for polyprotonable base.
Numerically, values of a, b e c are taken as similar.</t>
        </r>
      </text>
    </comment>
    <comment ref="U5" authorId="0" shapeId="0" xr:uid="{00000000-0006-0000-0700-00000E000000}">
      <text>
        <r>
          <rPr>
            <b/>
            <sz val="8"/>
            <color indexed="81"/>
            <rFont val="Tahoma"/>
            <family val="2"/>
          </rPr>
          <t>Gutz:</t>
        </r>
        <r>
          <rPr>
            <sz val="8"/>
            <color indexed="81"/>
            <rFont val="Tahoma"/>
            <family val="2"/>
          </rPr>
          <t xml:space="preserve">
</t>
        </r>
        <r>
          <rPr>
            <sz val="10"/>
            <color indexed="81"/>
            <rFont val="Tahoma"/>
            <family val="2"/>
          </rPr>
          <t>Blank cells were filled with a neglectable constant of 1.10</t>
        </r>
        <r>
          <rPr>
            <vertAlign val="superscript"/>
            <sz val="12"/>
            <color indexed="81"/>
            <rFont val="Tahoma"/>
            <family val="2"/>
          </rPr>
          <t>-10</t>
        </r>
        <r>
          <rPr>
            <sz val="10"/>
            <color indexed="81"/>
            <rFont val="Tahoma"/>
            <family val="2"/>
          </rPr>
          <t>,  for calculation convenience.
The betas are cumulative (or global) protonation constants, obtained by the product of the protonation constants Kp from 1 to i, with i stepping up to n (the maximum number of protons accepted by a base, same as the maximum number of dissociable protons of an acid, but in reversed order).
Note that pKa = logKp for a monoprotic acid (because Kp = 1/Kd or pKd = 1/logKd ) and, for multiprotic systems, the first logKp is the last pKa.
Protonation constants, Kp, and betas are preferred here in agreement with the most extensive compilations of equilibrium constants, e.g., Critical Stability Constants, Vol. 1–4 (complete reference in the Database), and because the equations become unified with those used for metal-ligand-proton equilibria, based on formation (instead of dissociation) constants.</t>
        </r>
      </text>
    </comment>
    <comment ref="AF5" authorId="0" shapeId="0" xr:uid="{00000000-0006-0000-0700-00000F000000}">
      <text>
        <r>
          <rPr>
            <b/>
            <sz val="8"/>
            <color indexed="81"/>
            <rFont val="Tahoma"/>
            <family val="2"/>
          </rPr>
          <t>Gutz:</t>
        </r>
        <r>
          <rPr>
            <sz val="8"/>
            <color indexed="81"/>
            <rFont val="Tahoma"/>
            <family val="2"/>
          </rPr>
          <t xml:space="preserve">
</t>
        </r>
        <r>
          <rPr>
            <sz val="10"/>
            <color indexed="81"/>
            <rFont val="Tahoma"/>
            <family val="2"/>
          </rPr>
          <t>See U5 to understand why pKa1 = logKpn</t>
        </r>
      </text>
    </comment>
    <comment ref="A6" authorId="1" shapeId="0" xr:uid="{00000000-0006-0000-0700-000010000000}">
      <text>
        <r>
          <rPr>
            <b/>
            <sz val="8"/>
            <color indexed="81"/>
            <rFont val="Tahoma"/>
            <family val="2"/>
          </rPr>
          <t>Gutz:</t>
        </r>
        <r>
          <rPr>
            <sz val="8"/>
            <color indexed="81"/>
            <rFont val="Tahoma"/>
            <family val="2"/>
          </rPr>
          <t xml:space="preserve">
</t>
        </r>
        <r>
          <rPr>
            <sz val="10"/>
            <color indexed="81"/>
            <rFont val="Tahoma"/>
            <family val="2"/>
          </rPr>
          <t>Equilibrium concentration in the sample (=titrand if F16=0) of the monoprotonated (conjugated) base at the initial pH (J15); 
The global concentration   [B]+[HB]+[H2B]+... appears in line 11</t>
        </r>
      </text>
    </comment>
    <comment ref="J6" authorId="0" shapeId="0" xr:uid="{00000000-0006-0000-0700-000011000000}">
      <text>
        <r>
          <rPr>
            <b/>
            <sz val="8"/>
            <color indexed="81"/>
            <rFont val="Tahoma"/>
            <family val="2"/>
          </rPr>
          <t xml:space="preserve">Gutz: 
</t>
        </r>
        <r>
          <rPr>
            <sz val="10"/>
            <color indexed="81"/>
            <rFont val="Tahoma"/>
            <family val="2"/>
          </rPr>
          <t>Options:
a) pKa</t>
        </r>
        <r>
          <rPr>
            <vertAlign val="subscript"/>
            <sz val="12"/>
            <color indexed="81"/>
            <rFont val="Tahoma"/>
            <family val="2"/>
          </rPr>
          <t>2</t>
        </r>
        <r>
          <rPr>
            <sz val="10"/>
            <color indexed="81"/>
            <rFont val="Tahoma"/>
            <family val="2"/>
          </rPr>
          <t xml:space="preserve"> , -log of the 2</t>
        </r>
        <r>
          <rPr>
            <vertAlign val="superscript"/>
            <sz val="12"/>
            <color indexed="81"/>
            <rFont val="Tahoma"/>
            <family val="2"/>
          </rPr>
          <t>nd</t>
        </r>
        <r>
          <rPr>
            <sz val="10"/>
            <color indexed="81"/>
            <rFont val="Tahoma"/>
            <family val="2"/>
          </rPr>
          <t xml:space="preserve"> dissociation constant of a diprotic or polyprotic acid; 
b) logKp</t>
        </r>
        <r>
          <rPr>
            <vertAlign val="subscript"/>
            <sz val="12"/>
            <color indexed="81"/>
            <rFont val="Tahoma"/>
            <family val="2"/>
          </rPr>
          <t>i,</t>
        </r>
        <r>
          <rPr>
            <sz val="10"/>
            <color indexed="81"/>
            <rFont val="Tahoma"/>
            <family val="2"/>
          </rPr>
          <t xml:space="preserve"> log of the first protonation constant of a diprotonable (conjugated) base or i=n-1 for a system with n protonations;
c) pK</t>
        </r>
        <r>
          <rPr>
            <vertAlign val="subscript"/>
            <sz val="12"/>
            <color indexed="81"/>
            <rFont val="Tahoma"/>
            <family val="2"/>
          </rPr>
          <t>w</t>
        </r>
        <r>
          <rPr>
            <sz val="10"/>
            <color indexed="81"/>
            <rFont val="Tahoma"/>
            <family val="2"/>
          </rPr>
          <t xml:space="preserve"> - pKb</t>
        </r>
        <r>
          <rPr>
            <vertAlign val="subscript"/>
            <sz val="12"/>
            <color indexed="81"/>
            <rFont val="Tahoma"/>
            <family val="2"/>
          </rPr>
          <t>i</t>
        </r>
        <r>
          <rPr>
            <sz val="10"/>
            <color indexed="81"/>
            <rFont val="Tahoma"/>
            <family val="2"/>
          </rPr>
          <t xml:space="preserve"> with i=1 for a diprotonable base or i=n-1 for a base with n protonations; for a monoprotonable base, leave blank.</t>
        </r>
      </text>
    </comment>
    <comment ref="R8" authorId="0" shapeId="0" xr:uid="{00000000-0006-0000-0700-000012000000}">
      <text>
        <r>
          <rPr>
            <b/>
            <sz val="8"/>
            <color indexed="81"/>
            <rFont val="Tahoma"/>
            <family val="2"/>
          </rPr>
          <t>Gutz:</t>
        </r>
        <r>
          <rPr>
            <sz val="8"/>
            <color indexed="81"/>
            <rFont val="Tahoma"/>
            <family val="2"/>
          </rPr>
          <t xml:space="preserve">
</t>
        </r>
        <r>
          <rPr>
            <sz val="10"/>
            <color indexed="81"/>
            <rFont val="Tahoma"/>
            <family val="2"/>
          </rPr>
          <t>The ionic dissociation product of water changes with temperature and ionic strength, I. For pure water at 25ºC, the accepted value is 13.997 (or 14.00). 
Values corrected for I can be calculated in module pH_calc.</t>
        </r>
      </text>
    </comment>
    <comment ref="A11" authorId="1" shapeId="0" xr:uid="{00000000-0006-0000-0700-000013000000}">
      <text>
        <r>
          <rPr>
            <b/>
            <sz val="8"/>
            <color indexed="81"/>
            <rFont val="Tahoma"/>
            <family val="2"/>
          </rPr>
          <t>Gutz:</t>
        </r>
        <r>
          <rPr>
            <sz val="8"/>
            <color indexed="81"/>
            <rFont val="Tahoma"/>
            <family val="2"/>
          </rPr>
          <t xml:space="preserve">
</t>
        </r>
        <r>
          <rPr>
            <sz val="10"/>
            <color indexed="81"/>
            <rFont val="Tahoma"/>
            <family val="2"/>
          </rPr>
          <t>Total concentration (in the sample, =titrand if F16=0) of each acid or base identified in line 3, obtained by summing up the contributions of all of its forms in equilibrium: [B]+[HB]+[H</t>
        </r>
        <r>
          <rPr>
            <vertAlign val="subscript"/>
            <sz val="10"/>
            <color indexed="81"/>
            <rFont val="Tahoma"/>
            <family val="2"/>
          </rPr>
          <t>2</t>
        </r>
        <r>
          <rPr>
            <sz val="10"/>
            <color indexed="81"/>
            <rFont val="Tahoma"/>
            <family val="2"/>
          </rPr>
          <t>B]+...
It can usually be fitted by regression (as a variable parameter of the Solver) but an inaccurate and even unrealistic concentration may be obtained for bases without a pKa value in the pH region covered by the titration. Strong acids represent the worst example, but their concentration can be obtained from the excess of H</t>
        </r>
        <r>
          <rPr>
            <vertAlign val="superscript"/>
            <sz val="10"/>
            <color indexed="81"/>
            <rFont val="Tahoma"/>
            <family val="2"/>
          </rPr>
          <t xml:space="preserve">+ </t>
        </r>
        <r>
          <rPr>
            <sz val="10"/>
            <color indexed="81"/>
            <rFont val="Tahoma"/>
            <family val="2"/>
          </rPr>
          <t xml:space="preserve">(cell I14).
If the Solver does not converge to a realistic solution for sample with multiple components, only the most relevant variables should be fitted at first and the minor components are added one at a time as a variable of the regression. Good initial guesses accelerate convergence but, in general, zero is an acceptable starting value for the concentrations to fit.
</t>
        </r>
      </text>
    </comment>
    <comment ref="B11" authorId="1" shapeId="0" xr:uid="{00000000-0006-0000-0700-000014000000}">
      <text>
        <r>
          <rPr>
            <b/>
            <sz val="8"/>
            <color indexed="81"/>
            <rFont val="Tahoma"/>
            <family val="2"/>
          </rPr>
          <t>Gutz:</t>
        </r>
        <r>
          <rPr>
            <sz val="8"/>
            <color indexed="81"/>
            <rFont val="Tahoma"/>
            <family val="2"/>
          </rPr>
          <t xml:space="preserve">
</t>
        </r>
        <r>
          <rPr>
            <sz val="10"/>
            <color indexed="81"/>
            <rFont val="Tahoma"/>
            <family val="2"/>
          </rPr>
          <t>You may write 0 (zero) as starting value in all cells of line 11 (B11 to H11). During regression, the values of the variable cells specified by you in the Solver setup will be adjusted accordingly. For complicated systems an initial guess, based on graphical evaluation, will help and speed up Solver's convergence.</t>
        </r>
      </text>
    </comment>
    <comment ref="H11" authorId="1" shapeId="0" xr:uid="{00000000-0006-0000-0700-000015000000}">
      <text>
        <r>
          <rPr>
            <b/>
            <sz val="8"/>
            <color indexed="81"/>
            <rFont val="Tahoma"/>
            <family val="2"/>
          </rPr>
          <t>Gutz:</t>
        </r>
        <r>
          <rPr>
            <sz val="8"/>
            <color indexed="81"/>
            <rFont val="Tahoma"/>
            <family val="2"/>
          </rPr>
          <t xml:space="preserve">
</t>
        </r>
        <r>
          <rPr>
            <sz val="10"/>
            <color indexed="81"/>
            <rFont val="Tahoma"/>
            <family val="2"/>
          </rPr>
          <t xml:space="preserve">Do </t>
        </r>
        <r>
          <rPr>
            <b/>
            <sz val="10"/>
            <color indexed="81"/>
            <rFont val="Tahoma"/>
            <family val="2"/>
          </rPr>
          <t>not</t>
        </r>
        <r>
          <rPr>
            <sz val="10"/>
            <color indexed="81"/>
            <rFont val="Tahoma"/>
            <family val="2"/>
          </rPr>
          <t xml:space="preserve"> fit the concentration of any strong acid with pKa value(s) lower than the pH range covered by the titration (like HCl, exemplified in column H). 
The total concentration of strong acid(s) can be derived from the excess of H</t>
        </r>
        <r>
          <rPr>
            <vertAlign val="superscript"/>
            <sz val="10"/>
            <color indexed="81"/>
            <rFont val="Tahoma"/>
            <family val="2"/>
          </rPr>
          <t>+</t>
        </r>
        <r>
          <rPr>
            <sz val="10"/>
            <color indexed="81"/>
            <rFont val="Tahoma"/>
            <family val="2"/>
          </rPr>
          <t xml:space="preserve"> revealed in cell I14 after successful regression. For a sample containing nothing else than strong acid(s), the fitted value of I18 will as well reveal the (total) concentration (=I14). 
Taking a diluted HCl sample as an example and starting with concentrations H11=0 and I18 (the only variable cell in Solver for this example) =0, after running the Solver, the value of I14 (=I18) is copied to H11; a new run of the Solver should return the same I18 and a I14 value close to zero (if not, H11 should be updated accordingly).</t>
        </r>
      </text>
    </comment>
    <comment ref="I11" authorId="2" shapeId="0" xr:uid="{00000000-0006-0000-0700-000016000000}">
      <text>
        <r>
          <rPr>
            <b/>
            <sz val="9"/>
            <color indexed="81"/>
            <rFont val="Tahoma"/>
            <family val="2"/>
          </rPr>
          <t>Gutz:</t>
        </r>
        <r>
          <rPr>
            <sz val="9"/>
            <color indexed="81"/>
            <rFont val="Tahoma"/>
            <family val="2"/>
          </rPr>
          <t xml:space="preserve">
</t>
        </r>
        <r>
          <rPr>
            <sz val="10"/>
            <color indexed="81"/>
            <rFont val="Tahoma"/>
            <family val="2"/>
          </rPr>
          <t>Summation of the total concentration in the sample (=titrand if F16=0) of all acids and bases identified in line 3, considering that the values fitted by regression (or manually inserted) in line 11 are correct (more information in cell A11).</t>
        </r>
      </text>
    </comment>
    <comment ref="P11" authorId="0" shapeId="0" xr:uid="{00000000-0006-0000-0700-000017000000}">
      <text>
        <r>
          <rPr>
            <b/>
            <sz val="8"/>
            <color indexed="81"/>
            <rFont val="Tahoma"/>
            <family val="2"/>
          </rPr>
          <t>Gutz:</t>
        </r>
        <r>
          <rPr>
            <sz val="8"/>
            <color indexed="81"/>
            <rFont val="Tahoma"/>
            <family val="2"/>
          </rPr>
          <t xml:space="preserve">
</t>
        </r>
        <r>
          <rPr>
            <sz val="10"/>
            <color indexed="81"/>
            <rFont val="Tahoma"/>
            <family val="2"/>
          </rPr>
          <t>Systematic departure of fitted curves from the experimental ones may have various (combined) causes, and N12 and N13 fitting should be attempted only when inaccurate calibration of the sensor is the most like one (unreliable buffer solutions, temperature different from specified, defective/drifting sensor), especially when the titrant and titrand composition is known and I was already estimated.
Examples of other causes of misfitting:
i) Incorrect use of the Regression module by beginners;
ii) Deviation of the sensor response from the theoretical (Nersntian) one due to uncorrected acid or alkaline error or uncorrected junction (diffusion) potential; these errors become more significant ant extreme pHs;  
iii) Standardization errors of the titrant or decomposition/contamination (CO</t>
        </r>
        <r>
          <rPr>
            <vertAlign val="subscript"/>
            <sz val="12"/>
            <color indexed="81"/>
            <rFont val="Tahoma"/>
            <family val="2"/>
          </rPr>
          <t>2</t>
        </r>
        <r>
          <rPr>
            <sz val="10"/>
            <color indexed="81"/>
            <rFont val="Tahoma"/>
            <family val="2"/>
          </rPr>
          <t xml:space="preserve"> absorption, etc.); Some improvement may be reached by the fitting CO</t>
        </r>
        <r>
          <rPr>
            <vertAlign val="subscript"/>
            <sz val="10"/>
            <color indexed="81"/>
            <rFont val="Tahoma"/>
            <family val="2"/>
          </rPr>
          <t>2</t>
        </r>
        <r>
          <rPr>
            <sz val="10"/>
            <color indexed="81"/>
            <rFont val="Tahoma"/>
            <family val="2"/>
          </rPr>
          <t xml:space="preserve"> contamination in the titrant;
iv) Missing or undercorrection of the effect of ionic strength and temperature on activity coefficients and pKas;
</t>
        </r>
        <r>
          <rPr>
            <b/>
            <sz val="10"/>
            <color indexed="81"/>
            <rFont val="Tahoma"/>
            <family val="2"/>
          </rPr>
          <t>Regression</t>
        </r>
        <r>
          <rPr>
            <sz val="10"/>
            <color indexed="81"/>
            <rFont val="Tahoma"/>
            <family val="2"/>
          </rPr>
          <t xml:space="preserve"> assumes that the pKa values (from the database or other source) are for I=0 and same temperature as the titration.  This may not be the case (the database contains some pKas for I&gt;0 or t not 25</t>
        </r>
        <r>
          <rPr>
            <vertAlign val="superscript"/>
            <sz val="10"/>
            <color indexed="81"/>
            <rFont val="Tahoma"/>
            <family val="2"/>
          </rPr>
          <t>o</t>
        </r>
        <r>
          <rPr>
            <sz val="10"/>
            <color indexed="81"/>
            <rFont val="Tahoma"/>
            <family val="2"/>
          </rPr>
          <t>C; pKa values can be refined by MPNLR if all other parameters are accurately known.</t>
        </r>
      </text>
    </comment>
    <comment ref="S11" authorId="0" shapeId="0" xr:uid="{00000000-0006-0000-0700-000018000000}">
      <text>
        <r>
          <rPr>
            <b/>
            <sz val="8"/>
            <color indexed="81"/>
            <rFont val="Tahoma"/>
            <family val="2"/>
          </rPr>
          <t>Gutz:</t>
        </r>
        <r>
          <rPr>
            <sz val="10"/>
            <color indexed="81"/>
            <rFont val="Tahoma"/>
            <family val="2"/>
          </rPr>
          <t xml:space="preserve">
Data at cells S12 to S20 (below), as well as V19 to AB19 and B4 to I13 refer to the undiluted </t>
        </r>
        <r>
          <rPr>
            <b/>
            <sz val="10"/>
            <color indexed="81"/>
            <rFont val="Tahoma"/>
            <family val="2"/>
          </rPr>
          <t>sample</t>
        </r>
        <r>
          <rPr>
            <sz val="10"/>
            <color indexed="81"/>
            <rFont val="Tahoma"/>
            <family val="2"/>
          </rPr>
          <t xml:space="preserve">. If no diluting solution was added (F16=0), than the sample is the </t>
        </r>
        <r>
          <rPr>
            <b/>
            <sz val="10"/>
            <color indexed="81"/>
            <rFont val="Tahoma"/>
            <family val="2"/>
          </rPr>
          <t>titrand</t>
        </r>
        <r>
          <rPr>
            <sz val="10"/>
            <color indexed="81"/>
            <rFont val="Tahoma"/>
            <family val="2"/>
          </rPr>
          <t xml:space="preserve"> itself. Otherwise (F16&gt;0), a G16/E16 dilution factor will apply to the </t>
        </r>
        <r>
          <rPr>
            <b/>
            <sz val="10"/>
            <color indexed="81"/>
            <rFont val="Tahoma"/>
            <family val="2"/>
          </rPr>
          <t>titrand</t>
        </r>
        <r>
          <rPr>
            <sz val="10"/>
            <color indexed="81"/>
            <rFont val="Tahoma"/>
            <family val="2"/>
          </rPr>
          <t xml:space="preserve">.
</t>
        </r>
      </text>
    </comment>
    <comment ref="T11" authorId="0" shapeId="0" xr:uid="{00000000-0006-0000-0700-000019000000}">
      <text>
        <r>
          <rPr>
            <b/>
            <sz val="8"/>
            <color indexed="81"/>
            <rFont val="Tahoma"/>
            <family val="2"/>
          </rPr>
          <t>Gutz:</t>
        </r>
        <r>
          <rPr>
            <sz val="8"/>
            <color indexed="81"/>
            <rFont val="Tahoma"/>
            <family val="2"/>
          </rPr>
          <t xml:space="preserve">
</t>
        </r>
        <r>
          <rPr>
            <sz val="10"/>
            <color indexed="81"/>
            <rFont val="Tahoma"/>
            <family val="2"/>
          </rPr>
          <t>Calculations in this column are made by clicking on G17 "Find titrant pH" and depend of the known or fitted concentrations of acids, bases and electrolytes in the titrant.</t>
        </r>
      </text>
    </comment>
    <comment ref="A12" authorId="1" shapeId="0" xr:uid="{00000000-0006-0000-0700-00001A000000}">
      <text>
        <r>
          <rPr>
            <b/>
            <sz val="10"/>
            <color indexed="81"/>
            <rFont val="Tahoma"/>
            <family val="2"/>
          </rPr>
          <t>Gutz:</t>
        </r>
        <r>
          <rPr>
            <sz val="10"/>
            <color indexed="81"/>
            <rFont val="Tahoma"/>
            <family val="2"/>
          </rPr>
          <t xml:space="preserve">
Concentration of H</t>
        </r>
        <r>
          <rPr>
            <vertAlign val="superscript"/>
            <sz val="10"/>
            <color indexed="81"/>
            <rFont val="Tahoma"/>
            <family val="2"/>
          </rPr>
          <t>+</t>
        </r>
        <r>
          <rPr>
            <sz val="10"/>
            <color indexed="81"/>
            <rFont val="Tahoma"/>
            <family val="2"/>
          </rPr>
          <t xml:space="preserve"> bound to each (conjugated) base in the sample at the initial pH equilibrium, considering that the values fitted by regression or manually inserted in line 11 are correct.</t>
        </r>
      </text>
    </comment>
    <comment ref="I12" authorId="0" shapeId="0" xr:uid="{00000000-0006-0000-0700-00001B000000}">
      <text>
        <r>
          <rPr>
            <b/>
            <sz val="8"/>
            <color indexed="81"/>
            <rFont val="Tahoma"/>
            <family val="2"/>
          </rPr>
          <t>Gutz:</t>
        </r>
        <r>
          <rPr>
            <sz val="8"/>
            <color indexed="81"/>
            <rFont val="Tahoma"/>
            <family val="2"/>
          </rPr>
          <t xml:space="preserve">
</t>
        </r>
        <r>
          <rPr>
            <sz val="10"/>
            <color indexed="81"/>
            <rFont val="Tahoma"/>
            <family val="2"/>
          </rPr>
          <t>Summation of the concentration (calculated for the sample) of H</t>
        </r>
        <r>
          <rPr>
            <vertAlign val="superscript"/>
            <sz val="12"/>
            <color indexed="81"/>
            <rFont val="Tahoma"/>
            <family val="2"/>
          </rPr>
          <t>+</t>
        </r>
        <r>
          <rPr>
            <sz val="10"/>
            <color indexed="81"/>
            <rFont val="Tahoma"/>
            <family val="2"/>
          </rPr>
          <t>bound to all (conjugated) bases at the initial pH of the titrand, considering that the values fitted by regression (or manually inserted) in line 11 are correct.</t>
        </r>
      </text>
    </comment>
    <comment ref="P12" authorId="0" shapeId="0" xr:uid="{00000000-0006-0000-0700-00001C000000}">
      <text>
        <r>
          <rPr>
            <b/>
            <sz val="8"/>
            <color indexed="81"/>
            <rFont val="Tahoma"/>
            <family val="2"/>
          </rPr>
          <t>Gutz:</t>
        </r>
        <r>
          <rPr>
            <sz val="8"/>
            <color indexed="81"/>
            <rFont val="Tahoma"/>
            <family val="2"/>
          </rPr>
          <t xml:space="preserve">
</t>
        </r>
        <r>
          <rPr>
            <sz val="10"/>
            <color indexed="81"/>
            <rFont val="Tahoma"/>
            <family val="2"/>
          </rPr>
          <t>Default value is 7.000, meaning that the calibration is accurate for pH=7.000. More about in cell P11's comment.</t>
        </r>
      </text>
    </comment>
    <comment ref="R12" authorId="0" shapeId="0" xr:uid="{00000000-0006-0000-0700-00001D000000}">
      <text>
        <r>
          <rPr>
            <b/>
            <sz val="8"/>
            <color indexed="81"/>
            <rFont val="Tahoma"/>
            <family val="2"/>
          </rPr>
          <t>Gutz:</t>
        </r>
        <r>
          <rPr>
            <sz val="8"/>
            <color indexed="81"/>
            <rFont val="Tahoma"/>
            <family val="2"/>
          </rPr>
          <t xml:space="preserve">
</t>
        </r>
        <r>
          <rPr>
            <sz val="10"/>
            <color indexed="81"/>
            <rFont val="Tahoma"/>
            <family val="2"/>
          </rPr>
          <t>Summation of monovalent ion concentrations. Example: for 0.1 mol/L NaCl, write 0.2, due to 0.1 Na</t>
        </r>
        <r>
          <rPr>
            <vertAlign val="superscript"/>
            <sz val="12"/>
            <color indexed="81"/>
            <rFont val="Tahoma"/>
            <family val="2"/>
          </rPr>
          <t>+</t>
        </r>
        <r>
          <rPr>
            <sz val="10"/>
            <color indexed="81"/>
            <rFont val="Tahoma"/>
            <family val="2"/>
          </rPr>
          <t xml:space="preserve"> + 0.1 Cl</t>
        </r>
        <r>
          <rPr>
            <vertAlign val="superscript"/>
            <sz val="12"/>
            <color indexed="81"/>
            <rFont val="Tahoma"/>
            <family val="2"/>
          </rPr>
          <t>-</t>
        </r>
        <r>
          <rPr>
            <sz val="10"/>
            <color indexed="81"/>
            <rFont val="Tahoma"/>
            <family val="2"/>
          </rPr>
          <t xml:space="preserve">.  
When unknown, this parameter may be fitted by regression to estimate the amount of background electrolyte in the titrant or titrand, but uncertainty is high and results can be wrong, because activity coefficients present a minimum in function of concentration (around 0.4 mol/L) so that there are two concentrations with the same </t>
        </r>
        <r>
          <rPr>
            <sz val="10"/>
            <color indexed="81"/>
            <rFont val="Symbol"/>
            <family val="1"/>
            <charset val="2"/>
          </rPr>
          <t>g</t>
        </r>
        <r>
          <rPr>
            <sz val="10"/>
            <color indexed="81"/>
            <rFont val="Tahoma"/>
            <family val="2"/>
          </rPr>
          <t xml:space="preserve">. </t>
        </r>
      </text>
    </comment>
    <comment ref="S12" authorId="2" shapeId="0" xr:uid="{00000000-0006-0000-0700-00001E000000}">
      <text>
        <r>
          <rPr>
            <b/>
            <sz val="9"/>
            <color indexed="81"/>
            <rFont val="Tahoma"/>
            <family val="2"/>
          </rPr>
          <t>Gutz:</t>
        </r>
        <r>
          <rPr>
            <sz val="9"/>
            <color indexed="81"/>
            <rFont val="Tahoma"/>
            <family val="2"/>
          </rPr>
          <t xml:space="preserve">
</t>
        </r>
        <r>
          <rPr>
            <sz val="10"/>
            <color indexed="81"/>
            <rFont val="Tahoma"/>
            <family val="2"/>
          </rPr>
          <t xml:space="preserve">The sum of known, guessed or Solver fitted* concentrations of cations + anions in the </t>
        </r>
        <r>
          <rPr>
            <b/>
            <sz val="10"/>
            <color indexed="81"/>
            <rFont val="Tahoma"/>
            <family val="2"/>
          </rPr>
          <t>sample</t>
        </r>
        <r>
          <rPr>
            <sz val="10"/>
            <color indexed="81"/>
            <rFont val="Tahoma"/>
            <family val="2"/>
          </rPr>
          <t>,</t>
        </r>
        <r>
          <rPr>
            <b/>
            <sz val="10"/>
            <color indexed="81"/>
            <rFont val="Tahoma"/>
            <family val="2"/>
          </rPr>
          <t xml:space="preserve"> </t>
        </r>
        <r>
          <rPr>
            <sz val="10"/>
            <color indexed="81"/>
            <rFont val="Tahoma"/>
            <family val="2"/>
          </rPr>
          <t xml:space="preserve">other than those from acids and bases and their counterions (displayed in columns below), if any, should be entered here for accurate calculation of I.  
Although S12 (and S13) is assumed as being the concentration of cations plus concentration of anions in the </t>
        </r>
        <r>
          <rPr>
            <b/>
            <sz val="10"/>
            <color indexed="81"/>
            <rFont val="Tahoma"/>
            <family val="2"/>
          </rPr>
          <t>sample</t>
        </r>
        <r>
          <rPr>
            <sz val="10"/>
            <color indexed="81"/>
            <rFont val="Tahoma"/>
            <family val="2"/>
          </rPr>
          <t xml:space="preserve"> </t>
        </r>
        <r>
          <rPr>
            <u/>
            <sz val="10"/>
            <color indexed="81"/>
            <rFont val="Tahoma"/>
            <family val="2"/>
          </rPr>
          <t>before</t>
        </r>
        <r>
          <rPr>
            <sz val="10"/>
            <color indexed="81"/>
            <rFont val="Tahoma"/>
            <family val="2"/>
          </rPr>
          <t xml:space="preserve"> dilution (if any), sometimes dilution is made with a strong electrolyte (instead of water) aiming a high and nearly constant I. In this case, enter the equivalent concentration as if the electrolyte was dissolved in the sample. Example: S12 = 0.6 for the dilution of 20 mL of sample with 10 mL of 0.6 mol/L KNO</t>
        </r>
        <r>
          <rPr>
            <vertAlign val="subscript"/>
            <sz val="10"/>
            <color indexed="81"/>
            <rFont val="Tahoma"/>
            <family val="2"/>
          </rPr>
          <t>3</t>
        </r>
        <r>
          <rPr>
            <sz val="10"/>
            <color indexed="81"/>
            <rFont val="Tahoma"/>
            <family val="2"/>
          </rPr>
          <t xml:space="preserve"> (=0.2 mol/L in the titrand) once (0.6+0.6)*10/20 = 0.6 (= (0.2+0.2)*30/20). For 0.1 mol/L Ca(NO</t>
        </r>
        <r>
          <rPr>
            <vertAlign val="subscript"/>
            <sz val="10"/>
            <color indexed="81"/>
            <rFont val="Tahoma"/>
            <family val="2"/>
          </rPr>
          <t>3</t>
        </r>
        <r>
          <rPr>
            <sz val="10"/>
            <color indexed="81"/>
            <rFont val="Tahoma"/>
            <family val="2"/>
          </rPr>
          <t>)</t>
        </r>
        <r>
          <rPr>
            <vertAlign val="subscript"/>
            <sz val="10"/>
            <color indexed="81"/>
            <rFont val="Tahoma"/>
            <family val="2"/>
          </rPr>
          <t>2</t>
        </r>
        <r>
          <rPr>
            <sz val="10"/>
            <color indexed="81"/>
            <rFont val="Tahoma"/>
            <family val="2"/>
          </rPr>
          <t xml:space="preserve">, enter 0.1*10/20 in S13 (for the calcium) and 0.2*10/20 in S12 (for the nitrate).
* S12 may be included as one of the variable cells to be fitted by the Solver, besides the concentrations of acids and bases, but read comment in R12.  </t>
        </r>
      </text>
    </comment>
    <comment ref="U12" authorId="0" shapeId="0" xr:uid="{00000000-0006-0000-0700-00001F000000}">
      <text>
        <r>
          <rPr>
            <b/>
            <sz val="8"/>
            <color indexed="81"/>
            <rFont val="Tahoma"/>
            <family val="2"/>
          </rPr>
          <t>Gutz:</t>
        </r>
        <r>
          <rPr>
            <sz val="8"/>
            <color indexed="81"/>
            <rFont val="Tahoma"/>
            <family val="2"/>
          </rPr>
          <t xml:space="preserve">
</t>
        </r>
        <r>
          <rPr>
            <sz val="10"/>
            <color indexed="81"/>
            <rFont val="Tahoma"/>
            <family val="2"/>
          </rPr>
          <t>Blank cells were filled with an insignificant dummy constant 10</t>
        </r>
        <r>
          <rPr>
            <vertAlign val="superscript"/>
            <sz val="12"/>
            <color indexed="81"/>
            <rFont val="Tahoma"/>
            <family val="2"/>
          </rPr>
          <t>-10</t>
        </r>
        <r>
          <rPr>
            <sz val="10"/>
            <color indexed="81"/>
            <rFont val="Tahoma"/>
            <family val="2"/>
          </rPr>
          <t xml:space="preserve"> for calculation convenience.
The betas are cumulative (or global) protonation constants, obtained by multiplying the protonation constants Kp from 1 to i, with i stepping up to n, the maximum number of protons accepted by a (conjugated) base (same as the maximum number of dissociable protons of an acid, but in reversed order).
Note that pKa = logKp for a monoprotic acid (because Kp = 1/Kd or pKd = 1/logKd ) and, for multiprotic systems, the first logKp is the last pKa.
Protonation constants, Kp, and betas are preferred here in agreement with the most extensive compilations of equilibrium constants, e.g., Critical Stability Constants, Vol. 1–4 (complete references in the Database), and because the equations become unified with those used for metal-ligand-proton equilibria, based on formation (instead of dissociation) constants.</t>
        </r>
      </text>
    </comment>
    <comment ref="A13" authorId="1" shapeId="0" xr:uid="{00000000-0006-0000-0700-000020000000}">
      <text>
        <r>
          <rPr>
            <b/>
            <sz val="8"/>
            <color indexed="81"/>
            <rFont val="Tahoma"/>
            <family val="2"/>
          </rPr>
          <t>Gutz:</t>
        </r>
        <r>
          <rPr>
            <sz val="8"/>
            <color indexed="81"/>
            <rFont val="Tahoma"/>
            <family val="2"/>
          </rPr>
          <t xml:space="preserve">
</t>
        </r>
        <r>
          <rPr>
            <sz val="10"/>
            <color indexed="81"/>
            <rFont val="Tahoma"/>
            <family val="2"/>
          </rPr>
          <t>Concentration of H</t>
        </r>
        <r>
          <rPr>
            <vertAlign val="superscript"/>
            <sz val="10"/>
            <color indexed="81"/>
            <rFont val="Tahoma"/>
            <family val="2"/>
          </rPr>
          <t>+</t>
        </r>
        <r>
          <rPr>
            <sz val="10"/>
            <color indexed="81"/>
            <rFont val="Tahoma"/>
            <family val="2"/>
          </rPr>
          <t xml:space="preserve"> that, at equilibrium established at the pH of the titrand, would be liberated to the medium (or withdrawn, if negative) by each acid or base (fitted by regression) supposing it was originally introduced just protonated to neutrality (0 to n protons).
Examples:
Positive value of the parameter in line 13 will indicate the liberation of protons by acids like acetic (instead of sodium acetate), H</t>
        </r>
        <r>
          <rPr>
            <vertAlign val="subscript"/>
            <sz val="10"/>
            <color indexed="81"/>
            <rFont val="Tahoma"/>
            <family val="2"/>
          </rPr>
          <t>3</t>
        </r>
        <r>
          <rPr>
            <sz val="10"/>
            <color indexed="81"/>
            <rFont val="Tahoma"/>
            <family val="2"/>
          </rPr>
          <t>PO</t>
        </r>
        <r>
          <rPr>
            <vertAlign val="subscript"/>
            <sz val="10"/>
            <color indexed="81"/>
            <rFont val="Tahoma"/>
            <family val="2"/>
          </rPr>
          <t>4</t>
        </r>
        <r>
          <rPr>
            <sz val="10"/>
            <color indexed="81"/>
            <rFont val="Tahoma"/>
            <family val="2"/>
          </rPr>
          <t xml:space="preserve"> (instead of NaH</t>
        </r>
        <r>
          <rPr>
            <vertAlign val="subscript"/>
            <sz val="10"/>
            <color indexed="81"/>
            <rFont val="Tahoma"/>
            <family val="2"/>
          </rPr>
          <t>2</t>
        </r>
        <r>
          <rPr>
            <sz val="10"/>
            <color indexed="81"/>
            <rFont val="Tahoma"/>
            <family val="2"/>
          </rPr>
          <t>PO</t>
        </r>
        <r>
          <rPr>
            <vertAlign val="subscript"/>
            <sz val="10"/>
            <color indexed="81"/>
            <rFont val="Tahoma"/>
            <family val="2"/>
          </rPr>
          <t>3</t>
        </r>
        <r>
          <rPr>
            <sz val="10"/>
            <color indexed="81"/>
            <rFont val="Tahoma"/>
            <family val="2"/>
          </rPr>
          <t>, etc.) or H</t>
        </r>
        <r>
          <rPr>
            <vertAlign val="subscript"/>
            <sz val="10"/>
            <color indexed="81"/>
            <rFont val="Tahoma"/>
            <family val="2"/>
          </rPr>
          <t>2</t>
        </r>
        <r>
          <rPr>
            <sz val="10"/>
            <color indexed="81"/>
            <rFont val="Tahoma"/>
            <family val="2"/>
          </rPr>
          <t>SO</t>
        </r>
        <r>
          <rPr>
            <vertAlign val="subscript"/>
            <sz val="10"/>
            <color indexed="81"/>
            <rFont val="Tahoma"/>
            <family val="2"/>
          </rPr>
          <t>4</t>
        </r>
        <r>
          <rPr>
            <sz val="10"/>
            <color indexed="81"/>
            <rFont val="Tahoma"/>
            <family val="2"/>
          </rPr>
          <t xml:space="preserve"> to an extension that depends of the acid pKa and the pH of the titrand. 
Bases like ammonia (NH</t>
        </r>
        <r>
          <rPr>
            <vertAlign val="subscript"/>
            <sz val="10"/>
            <color indexed="81"/>
            <rFont val="Tahoma"/>
            <family val="2"/>
          </rPr>
          <t>3</t>
        </r>
        <r>
          <rPr>
            <sz val="10"/>
            <color indexed="81"/>
            <rFont val="Tahoma"/>
            <family val="2"/>
          </rPr>
          <t xml:space="preserve"> or NH</t>
        </r>
        <r>
          <rPr>
            <vertAlign val="subscript"/>
            <sz val="10"/>
            <color indexed="81"/>
            <rFont val="Tahoma"/>
            <family val="2"/>
          </rPr>
          <t>4</t>
        </r>
        <r>
          <rPr>
            <sz val="10"/>
            <color indexed="81"/>
            <rFont val="Tahoma"/>
            <family val="2"/>
          </rPr>
          <t>OH) or pyridine (neutral when unprotonated), once dissolved in water, will associate to some extend with protons (hydrolysis) and this debt of H</t>
        </r>
        <r>
          <rPr>
            <vertAlign val="superscript"/>
            <sz val="10"/>
            <color indexed="81"/>
            <rFont val="Tahoma"/>
            <family val="2"/>
          </rPr>
          <t>+</t>
        </r>
        <r>
          <rPr>
            <sz val="10"/>
            <color indexed="81"/>
            <rFont val="Tahoma"/>
            <family val="2"/>
          </rPr>
          <t xml:space="preserve"> is indicted by a negative value in line 13. 
A null value is expected when the pH of the titrand has the same value of the isoelectric point of an amphiprotic (or zwitterionic) acid-base system, e.g., alanine at pH 6.1 or EDTA at pH 1.7.
Hydroxide ion, due to its great affinity for H</t>
        </r>
        <r>
          <rPr>
            <vertAlign val="superscript"/>
            <sz val="10"/>
            <color indexed="81"/>
            <rFont val="Tahoma"/>
            <family val="2"/>
          </rPr>
          <t>+</t>
        </r>
        <r>
          <rPr>
            <sz val="10"/>
            <color indexed="81"/>
            <rFont val="Tahoma"/>
            <family val="2"/>
          </rPr>
          <t xml:space="preserve"> (high pKa) forms water as the neutral conjugated acid.  Water, in turn is amphiprotic but it protonates or deprotonates very little in the usual pH range, keeping the parameter in line 13 close to zero. However, the H</t>
        </r>
        <r>
          <rPr>
            <vertAlign val="superscript"/>
            <sz val="10"/>
            <color indexed="81"/>
            <rFont val="Tahoma"/>
            <family val="2"/>
          </rPr>
          <t>+</t>
        </r>
        <r>
          <rPr>
            <sz val="10"/>
            <color indexed="81"/>
            <rFont val="Tahoma"/>
            <family val="2"/>
          </rPr>
          <t xml:space="preserve"> deficit caused by the hydroxide protonation , if not fulfilled by some acid in the titrand, shows up as a negative value in I14 (in water, obviously, the association of an H+ ion with an hydroxide ion promotes the dissociation of a water molecule, restoring the hydroxide ion).  More about hydroxide properties: http://www1.lsbu.ac.uk/water/ionisoh.html
</t>
        </r>
      </text>
    </comment>
    <comment ref="I13" authorId="1" shapeId="0" xr:uid="{00000000-0006-0000-0700-000021000000}">
      <text>
        <r>
          <rPr>
            <b/>
            <sz val="8"/>
            <color indexed="81"/>
            <rFont val="Tahoma"/>
            <family val="2"/>
          </rPr>
          <t>Gutz:</t>
        </r>
        <r>
          <rPr>
            <sz val="8"/>
            <color indexed="81"/>
            <rFont val="Tahoma"/>
            <family val="2"/>
          </rPr>
          <t xml:space="preserve">
</t>
        </r>
        <r>
          <rPr>
            <sz val="10"/>
            <color indexed="81"/>
            <rFont val="Tahoma"/>
            <family val="2"/>
          </rPr>
          <t>Summation of the concentration of H</t>
        </r>
        <r>
          <rPr>
            <vertAlign val="superscript"/>
            <sz val="10"/>
            <color indexed="81"/>
            <rFont val="Tahoma"/>
            <family val="2"/>
          </rPr>
          <t>+</t>
        </r>
        <r>
          <rPr>
            <sz val="10"/>
            <color indexed="81"/>
            <rFont val="Tahoma"/>
            <family val="2"/>
          </rPr>
          <t xml:space="preserve"> that, at the initial pH, would be liberated to the medium (or withdrawn, if negative) supposing that the sample (contained in the titrand) was made up only by bases and acids (fitted by regression) protonated to neutrality, e.g., H</t>
        </r>
        <r>
          <rPr>
            <vertAlign val="subscript"/>
            <sz val="10"/>
            <color indexed="81"/>
            <rFont val="Tahoma"/>
            <family val="2"/>
          </rPr>
          <t>3</t>
        </r>
        <r>
          <rPr>
            <sz val="10"/>
            <color indexed="81"/>
            <rFont val="Tahoma"/>
            <family val="2"/>
          </rPr>
          <t>PO</t>
        </r>
        <r>
          <rPr>
            <vertAlign val="subscript"/>
            <sz val="10"/>
            <color indexed="81"/>
            <rFont val="Tahoma"/>
            <family val="2"/>
          </rPr>
          <t>4</t>
        </r>
        <r>
          <rPr>
            <sz val="10"/>
            <color indexed="81"/>
            <rFont val="Tahoma"/>
            <family val="2"/>
          </rPr>
          <t xml:space="preserve"> and not NaH</t>
        </r>
        <r>
          <rPr>
            <vertAlign val="subscript"/>
            <sz val="10"/>
            <color indexed="81"/>
            <rFont val="Tahoma"/>
            <family val="2"/>
          </rPr>
          <t>2</t>
        </r>
        <r>
          <rPr>
            <sz val="10"/>
            <color indexed="81"/>
            <rFont val="Tahoma"/>
            <family val="2"/>
          </rPr>
          <t>PO</t>
        </r>
        <r>
          <rPr>
            <vertAlign val="subscript"/>
            <sz val="10"/>
            <color indexed="81"/>
            <rFont val="Tahoma"/>
            <family val="2"/>
          </rPr>
          <t>3</t>
        </r>
        <r>
          <rPr>
            <sz val="10"/>
            <color indexed="81"/>
            <rFont val="Tahoma"/>
            <family val="2"/>
          </rPr>
          <t xml:space="preserve">. 
Frequently this supposition is </t>
        </r>
        <r>
          <rPr>
            <u/>
            <sz val="10"/>
            <color indexed="81"/>
            <rFont val="Tahoma"/>
            <family val="2"/>
          </rPr>
          <t>not</t>
        </r>
        <r>
          <rPr>
            <sz val="10"/>
            <color indexed="81"/>
            <rFont val="Tahoma"/>
            <family val="2"/>
          </rPr>
          <t xml:space="preserve"> fulfilled and negative values will appear, as explained in cell A13.</t>
        </r>
      </text>
    </comment>
    <comment ref="P13" authorId="0" shapeId="0" xr:uid="{00000000-0006-0000-0700-000022000000}">
      <text>
        <r>
          <rPr>
            <b/>
            <sz val="8"/>
            <color indexed="81"/>
            <rFont val="Tahoma"/>
            <family val="2"/>
          </rPr>
          <t>Gutz:</t>
        </r>
        <r>
          <rPr>
            <sz val="8"/>
            <color indexed="81"/>
            <rFont val="Tahoma"/>
            <family val="2"/>
          </rPr>
          <t xml:space="preserve">
</t>
        </r>
        <r>
          <rPr>
            <sz val="10"/>
            <color indexed="81"/>
            <rFont val="Tahoma"/>
            <family val="2"/>
          </rPr>
          <t>Default value is 100% meaning that the slope of the sensor response is accurately calibrated (even if different from 100% or the theoretical one) and the temperature during titration is the same of the calibration (or compensated automatically by the pH meter).</t>
        </r>
      </text>
    </comment>
    <comment ref="R13" authorId="0" shapeId="0" xr:uid="{00000000-0006-0000-0700-000023000000}">
      <text>
        <r>
          <rPr>
            <b/>
            <sz val="8"/>
            <color indexed="81"/>
            <rFont val="Tahoma"/>
            <family val="2"/>
          </rPr>
          <t>Gutz:</t>
        </r>
        <r>
          <rPr>
            <sz val="8"/>
            <color indexed="81"/>
            <rFont val="Tahoma"/>
            <family val="2"/>
          </rPr>
          <t xml:space="preserve">
</t>
        </r>
        <r>
          <rPr>
            <sz val="10"/>
            <color indexed="81"/>
            <rFont val="Tahoma"/>
            <family val="2"/>
          </rPr>
          <t>Summation of bivalent ion concentrations in the sample (before dilution). Example: for 0.1 mol/L Ca(NO</t>
        </r>
        <r>
          <rPr>
            <vertAlign val="subscript"/>
            <sz val="12"/>
            <color indexed="81"/>
            <rFont val="Tahoma"/>
            <family val="2"/>
          </rPr>
          <t>3</t>
        </r>
        <r>
          <rPr>
            <sz val="10"/>
            <color indexed="81"/>
            <rFont val="Tahoma"/>
            <family val="2"/>
          </rPr>
          <t>)</t>
        </r>
        <r>
          <rPr>
            <vertAlign val="subscript"/>
            <sz val="12"/>
            <color indexed="81"/>
            <rFont val="Tahoma"/>
            <family val="2"/>
          </rPr>
          <t>2</t>
        </r>
        <r>
          <rPr>
            <sz val="10"/>
            <color indexed="81"/>
            <rFont val="Tahoma"/>
            <family val="2"/>
          </rPr>
          <t xml:space="preserve">, write 0.1 in this line and 0.2 in the upper line. </t>
        </r>
      </text>
    </comment>
    <comment ref="D14" authorId="0" shapeId="0" xr:uid="{00000000-0006-0000-0700-000024000000}">
      <text>
        <r>
          <rPr>
            <b/>
            <sz val="8"/>
            <color indexed="81"/>
            <rFont val="Tahoma"/>
            <family val="2"/>
          </rPr>
          <t>Gutz:</t>
        </r>
        <r>
          <rPr>
            <sz val="8"/>
            <color indexed="81"/>
            <rFont val="Tahoma"/>
            <family val="2"/>
          </rPr>
          <t xml:space="preserve">
</t>
        </r>
        <r>
          <rPr>
            <sz val="10"/>
            <color indexed="81"/>
            <rFont val="Tahoma"/>
            <family val="2"/>
          </rPr>
          <t>Aqueous solutions exposed to air or stored in (gas permeable) plastic flasks are always contaminated with CO</t>
        </r>
        <r>
          <rPr>
            <vertAlign val="subscript"/>
            <sz val="12"/>
            <color indexed="81"/>
            <rFont val="Tahoma"/>
            <family val="2"/>
          </rPr>
          <t>2</t>
        </r>
        <r>
          <rPr>
            <sz val="10"/>
            <color indexed="81"/>
            <rFont val="Tahoma"/>
            <family val="2"/>
          </rPr>
          <t>. Thus, it is advisable to include the carbonic acid system in simulations and regressions. But any other mono- or diprotic system can be specified in T3.</t>
        </r>
      </text>
    </comment>
    <comment ref="I14" authorId="1" shapeId="0" xr:uid="{00000000-0006-0000-0700-000025000000}">
      <text>
        <r>
          <rPr>
            <b/>
            <sz val="8"/>
            <color indexed="81"/>
            <rFont val="Tahoma"/>
            <family val="2"/>
          </rPr>
          <t>Gutz:</t>
        </r>
        <r>
          <rPr>
            <sz val="8"/>
            <color indexed="81"/>
            <rFont val="Tahoma"/>
            <family val="2"/>
          </rPr>
          <t xml:space="preserve">
</t>
        </r>
        <r>
          <rPr>
            <sz val="10"/>
            <color indexed="81"/>
            <rFont val="Tahoma"/>
            <family val="2"/>
          </rPr>
          <t xml:space="preserve">This parameter allows the indirect determination of the concentration (in the sample) of acids that are too strong to be accurately fitted by regression in line 11 (read comment in cell H11). In fact it is the partial charge balance of a sample with the composition expressed by the cells B11 to H11, supposing it was made up from bases and acids protonated to neutrality (frequently not the case) at the pH of the titrand. 
</t>
        </r>
        <r>
          <rPr>
            <u/>
            <sz val="10"/>
            <color indexed="81"/>
            <rFont val="Tahoma"/>
            <family val="2"/>
          </rPr>
          <t>Positive value</t>
        </r>
        <r>
          <rPr>
            <sz val="10"/>
            <color indexed="81"/>
            <rFont val="Tahoma"/>
            <family val="2"/>
          </rPr>
          <t>: Indicates that there are still H</t>
        </r>
        <r>
          <rPr>
            <vertAlign val="superscript"/>
            <sz val="10"/>
            <color indexed="81"/>
            <rFont val="Tahoma"/>
            <family val="2"/>
          </rPr>
          <t>+</t>
        </r>
        <r>
          <rPr>
            <sz val="10"/>
            <color indexed="81"/>
            <rFont val="Tahoma"/>
            <family val="2"/>
          </rPr>
          <t xml:space="preserve"> ions available in the sample after subtracting both the undissociated (line 12) and dissociated (line 13) H</t>
        </r>
        <r>
          <rPr>
            <vertAlign val="superscript"/>
            <sz val="10"/>
            <color indexed="81"/>
            <rFont val="Tahoma"/>
            <family val="2"/>
          </rPr>
          <t xml:space="preserve">+ </t>
        </r>
        <r>
          <rPr>
            <sz val="10"/>
            <color indexed="81"/>
            <rFont val="Tahoma"/>
            <family val="2"/>
          </rPr>
          <t>from the total H</t>
        </r>
        <r>
          <rPr>
            <vertAlign val="superscript"/>
            <sz val="10"/>
            <color indexed="81"/>
            <rFont val="Tahoma"/>
            <family val="2"/>
          </rPr>
          <t>+</t>
        </r>
        <r>
          <rPr>
            <sz val="10"/>
            <color indexed="81"/>
            <rFont val="Tahoma"/>
            <family val="2"/>
          </rPr>
          <t xml:space="preserve"> concentration (I18). In most cases, it can be taken as the (total) concentration in the sample of relatively strong acid(s) that CurTiPot cannot properly fit by regression </t>
        </r>
        <r>
          <rPr>
            <sz val="10"/>
            <color indexed="81"/>
            <rFont val="Calibri"/>
            <family val="2"/>
          </rPr>
          <t>–</t>
        </r>
        <r>
          <rPr>
            <sz val="13"/>
            <color indexed="81"/>
            <rFont val="Tahoma"/>
            <family val="2"/>
          </rPr>
          <t xml:space="preserve"> </t>
        </r>
        <r>
          <rPr>
            <sz val="10"/>
            <color indexed="81"/>
            <rFont val="Tahoma"/>
            <family val="2"/>
          </rPr>
          <t xml:space="preserve">the concentration of monoprotic acids with pKa lower than the titrand pH </t>
        </r>
        <r>
          <rPr>
            <u/>
            <sz val="10"/>
            <color indexed="81"/>
            <rFont val="Tahoma"/>
            <family val="2"/>
          </rPr>
          <t xml:space="preserve">should </t>
        </r>
        <r>
          <rPr>
            <b/>
            <u/>
            <sz val="10"/>
            <color indexed="81"/>
            <rFont val="Tahoma"/>
            <family val="2"/>
          </rPr>
          <t>not</t>
        </r>
        <r>
          <rPr>
            <sz val="10"/>
            <color indexed="81"/>
            <rFont val="Tahoma"/>
            <family val="2"/>
          </rPr>
          <t xml:space="preserve"> be included as variable cell(s) of the Solver. Verification: copy the value of I14 into H11 (or any other column of line 11 chosen for the strong acid) and run the Solver once more; the value of I14 should now be neglectable (if not yet, H11 should fine tuned).</t>
        </r>
        <r>
          <rPr>
            <u/>
            <sz val="10"/>
            <color indexed="81"/>
            <rFont val="Tahoma"/>
            <family val="2"/>
          </rPr>
          <t xml:space="preserve">
</t>
        </r>
        <r>
          <rPr>
            <sz val="10"/>
            <color indexed="81"/>
            <rFont val="Tahoma"/>
            <family val="2"/>
          </rPr>
          <t xml:space="preserve">
</t>
        </r>
        <r>
          <rPr>
            <u/>
            <sz val="10"/>
            <color indexed="81"/>
            <rFont val="Tahoma"/>
            <family val="2"/>
          </rPr>
          <t>Negative value</t>
        </r>
        <r>
          <rPr>
            <sz val="10"/>
            <color indexed="81"/>
            <rFont val="Tahoma"/>
            <family val="2"/>
          </rPr>
          <t>: The titrated sample is dominated by negatively charged (conjugated) bases like OH</t>
        </r>
        <r>
          <rPr>
            <vertAlign val="superscript"/>
            <sz val="11"/>
            <color indexed="81"/>
            <rFont val="Tahoma"/>
            <family val="2"/>
          </rPr>
          <t>-</t>
        </r>
        <r>
          <rPr>
            <sz val="10"/>
            <color indexed="81"/>
            <rFont val="Tahoma"/>
            <family val="2"/>
          </rPr>
          <t>, SO</t>
        </r>
        <r>
          <rPr>
            <vertAlign val="subscript"/>
            <sz val="12"/>
            <color indexed="81"/>
            <rFont val="Tahoma"/>
            <family val="2"/>
          </rPr>
          <t>3</t>
        </r>
        <r>
          <rPr>
            <vertAlign val="superscript"/>
            <sz val="12"/>
            <color indexed="81"/>
            <rFont val="Tahoma"/>
            <family val="2"/>
          </rPr>
          <t>-2</t>
        </r>
        <r>
          <rPr>
            <sz val="10"/>
            <color indexed="81"/>
            <rFont val="Tahoma"/>
            <family val="2"/>
          </rPr>
          <t>, PO</t>
        </r>
        <r>
          <rPr>
            <vertAlign val="subscript"/>
            <sz val="12"/>
            <color indexed="81"/>
            <rFont val="Tahoma"/>
            <family val="2"/>
          </rPr>
          <t>4</t>
        </r>
        <r>
          <rPr>
            <vertAlign val="superscript"/>
            <sz val="12"/>
            <color indexed="81"/>
            <rFont val="Tahoma"/>
            <family val="2"/>
          </rPr>
          <t>3-</t>
        </r>
        <r>
          <rPr>
            <sz val="10"/>
            <color indexed="81"/>
            <rFont val="Tahoma"/>
            <family val="2"/>
          </rPr>
          <t xml:space="preserve"> or H</t>
        </r>
        <r>
          <rPr>
            <vertAlign val="subscript"/>
            <sz val="12"/>
            <color indexed="81"/>
            <rFont val="Tahoma"/>
            <family val="2"/>
          </rPr>
          <t>2</t>
        </r>
        <r>
          <rPr>
            <sz val="10"/>
            <color indexed="81"/>
            <rFont val="Tahoma"/>
            <family val="2"/>
          </rPr>
          <t>PO</t>
        </r>
        <r>
          <rPr>
            <vertAlign val="subscript"/>
            <sz val="12"/>
            <color indexed="81"/>
            <rFont val="Tahoma"/>
            <family val="2"/>
          </rPr>
          <t>4</t>
        </r>
        <r>
          <rPr>
            <vertAlign val="superscript"/>
            <sz val="12"/>
            <color indexed="81"/>
            <rFont val="Tahoma"/>
            <family val="2"/>
          </rPr>
          <t xml:space="preserve">- </t>
        </r>
        <r>
          <rPr>
            <sz val="10"/>
            <color indexed="81"/>
            <rFont val="Tahoma"/>
            <family val="2"/>
          </rPr>
          <t>at the initial pH value; the stoichiometric concentration of dissociated cations like Na</t>
        </r>
        <r>
          <rPr>
            <vertAlign val="superscript"/>
            <sz val="12"/>
            <color indexed="81"/>
            <rFont val="Tahoma"/>
            <family val="2"/>
          </rPr>
          <t xml:space="preserve">+ </t>
        </r>
        <r>
          <rPr>
            <sz val="10"/>
            <color indexed="81"/>
            <rFont val="Tahoma"/>
            <family val="2"/>
          </rPr>
          <t xml:space="preserve">will appear in cell M14 (=S15).
The absolute values of I14 and M14 (=S15) should be (nearly) equal because S15 is the estimated </t>
        </r>
        <r>
          <rPr>
            <sz val="10"/>
            <color indexed="81"/>
            <rFont val="Symbol"/>
            <family val="1"/>
            <charset val="2"/>
          </rPr>
          <t>S</t>
        </r>
        <r>
          <rPr>
            <sz val="10"/>
            <color indexed="81"/>
            <rFont val="Tahoma"/>
            <family val="2"/>
          </rPr>
          <t>z</t>
        </r>
        <r>
          <rPr>
            <vertAlign val="subscript"/>
            <sz val="10"/>
            <color indexed="81"/>
            <rFont val="Tahoma"/>
            <family val="2"/>
          </rPr>
          <t>j</t>
        </r>
        <r>
          <rPr>
            <sz val="10"/>
            <color indexed="81"/>
            <rFont val="Tahoma"/>
            <family val="2"/>
          </rPr>
          <t>C</t>
        </r>
        <r>
          <rPr>
            <vertAlign val="subscript"/>
            <sz val="10"/>
            <color indexed="81"/>
            <rFont val="Tahoma"/>
            <family val="2"/>
          </rPr>
          <t>j</t>
        </r>
        <r>
          <rPr>
            <sz val="10"/>
            <color indexed="81"/>
            <rFont val="Tahoma"/>
            <family val="2"/>
          </rPr>
          <t xml:space="preserve"> of the counterions of the components under consideration.
</t>
        </r>
        <r>
          <rPr>
            <u/>
            <sz val="10"/>
            <color indexed="81"/>
            <rFont val="Tahoma"/>
            <family val="2"/>
          </rPr>
          <t>Remark</t>
        </r>
        <r>
          <rPr>
            <sz val="10"/>
            <color indexed="81"/>
            <rFont val="Tahoma"/>
            <family val="2"/>
          </rPr>
          <t>: acid-base titrations curves of differently formulated samples may be undistinguishable in certain cases. The following examples of titrands titrated with NaOH will all display I14=0 after successful regression and the titration curves will be undistinguishable (besides a minimum vertical displacement of the plateau in the alkaline region caused by differences in ionic strength):
a) 0.1  mol/L H</t>
        </r>
        <r>
          <rPr>
            <vertAlign val="subscript"/>
            <sz val="12"/>
            <color indexed="81"/>
            <rFont val="Tahoma"/>
            <family val="2"/>
          </rPr>
          <t>3</t>
        </r>
        <r>
          <rPr>
            <sz val="10"/>
            <color indexed="81"/>
            <rFont val="Tahoma"/>
            <family val="2"/>
          </rPr>
          <t>PO</t>
        </r>
        <r>
          <rPr>
            <vertAlign val="subscript"/>
            <sz val="12"/>
            <color indexed="81"/>
            <rFont val="Tahoma"/>
            <family val="2"/>
          </rPr>
          <t>4</t>
        </r>
        <r>
          <rPr>
            <sz val="10"/>
            <color indexed="81"/>
            <rFont val="Tahoma"/>
            <family val="2"/>
          </rPr>
          <t>; 
b) 0.1 mol/L HCl + 0.1 mol/L NaH</t>
        </r>
        <r>
          <rPr>
            <vertAlign val="subscript"/>
            <sz val="12"/>
            <color indexed="81"/>
            <rFont val="Tahoma"/>
            <family val="2"/>
          </rPr>
          <t>2</t>
        </r>
        <r>
          <rPr>
            <sz val="10"/>
            <color indexed="81"/>
            <rFont val="Tahoma"/>
            <family val="2"/>
          </rPr>
          <t>PO</t>
        </r>
        <r>
          <rPr>
            <vertAlign val="subscript"/>
            <sz val="12"/>
            <color indexed="81"/>
            <rFont val="Tahoma"/>
            <family val="2"/>
          </rPr>
          <t>4</t>
        </r>
        <r>
          <rPr>
            <sz val="10"/>
            <color indexed="81"/>
            <rFont val="Tahoma"/>
            <family val="2"/>
          </rPr>
          <t>; 
c) 0.2 mol/L HCl + 0.1 mol/L Na</t>
        </r>
        <r>
          <rPr>
            <vertAlign val="subscript"/>
            <sz val="12"/>
            <color indexed="81"/>
            <rFont val="Tahoma"/>
            <family val="2"/>
          </rPr>
          <t>2</t>
        </r>
        <r>
          <rPr>
            <sz val="10"/>
            <color indexed="81"/>
            <rFont val="Tahoma"/>
            <family val="2"/>
          </rPr>
          <t>HPO</t>
        </r>
        <r>
          <rPr>
            <vertAlign val="subscript"/>
            <sz val="12"/>
            <color indexed="81"/>
            <rFont val="Tahoma"/>
            <family val="2"/>
          </rPr>
          <t>4</t>
        </r>
        <r>
          <rPr>
            <sz val="10"/>
            <color indexed="81"/>
            <rFont val="Tahoma"/>
            <family val="2"/>
          </rPr>
          <t>. 
Independent determination of the concentration of  Cl</t>
        </r>
        <r>
          <rPr>
            <vertAlign val="superscript"/>
            <sz val="12"/>
            <color indexed="81"/>
            <rFont val="Tahoma"/>
            <family val="2"/>
          </rPr>
          <t>-</t>
        </r>
        <r>
          <rPr>
            <sz val="10"/>
            <color indexed="81"/>
            <rFont val="Tahoma"/>
            <family val="2"/>
          </rPr>
          <t xml:space="preserve"> or Na</t>
        </r>
        <r>
          <rPr>
            <vertAlign val="superscript"/>
            <sz val="12"/>
            <color indexed="81"/>
            <rFont val="Tahoma"/>
            <family val="2"/>
          </rPr>
          <t>+</t>
        </r>
        <r>
          <rPr>
            <sz val="10"/>
            <color indexed="81"/>
            <rFont val="Tahoma"/>
            <family val="2"/>
          </rPr>
          <t xml:space="preserve"> (e.g., by ion chromatography) or conductance measurements (if there is no other electrolyte in the sample) would be needed to distinguish among a, b and c cases. For titrations with very accurate pH measurements, fitting of S12 by regression may give an estimation of the difference in extra cation content.</t>
        </r>
      </text>
    </comment>
    <comment ref="L14" authorId="3" shapeId="0" xr:uid="{00000000-0006-0000-0700-000026000000}">
      <text>
        <r>
          <rPr>
            <b/>
            <sz val="8"/>
            <color indexed="81"/>
            <rFont val="Tahoma"/>
            <family val="2"/>
          </rPr>
          <t>Gutz:</t>
        </r>
        <r>
          <rPr>
            <sz val="10"/>
            <color indexed="81"/>
            <rFont val="Tahoma"/>
            <family val="2"/>
          </rPr>
          <t xml:space="preserve">
This is a copy of S15, the minimum concentration of cations or anions to satisfy charge balance, after taking into account the H</t>
        </r>
        <r>
          <rPr>
            <vertAlign val="superscript"/>
            <sz val="12"/>
            <color indexed="81"/>
            <rFont val="Tahoma"/>
            <family val="2"/>
          </rPr>
          <t>+</t>
        </r>
        <r>
          <rPr>
            <sz val="10"/>
            <color indexed="81"/>
            <rFont val="Tahoma"/>
            <family val="2"/>
          </rPr>
          <t xml:space="preserve"> and OH</t>
        </r>
        <r>
          <rPr>
            <vertAlign val="superscript"/>
            <sz val="12"/>
            <color indexed="81"/>
            <rFont val="Tahoma"/>
            <family val="2"/>
          </rPr>
          <t>-</t>
        </r>
        <r>
          <rPr>
            <sz val="10"/>
            <color indexed="81"/>
            <rFont val="Tahoma"/>
            <family val="2"/>
          </rPr>
          <t xml:space="preserve"> concentrations.</t>
        </r>
      </text>
    </comment>
    <comment ref="B15" authorId="0" shapeId="0" xr:uid="{00000000-0006-0000-0700-000027000000}">
      <text>
        <r>
          <rPr>
            <b/>
            <sz val="10"/>
            <color indexed="81"/>
            <rFont val="Tahoma"/>
            <family val="2"/>
          </rPr>
          <t>Gutz:</t>
        </r>
        <r>
          <rPr>
            <sz val="10"/>
            <color indexed="81"/>
            <rFont val="Tahoma"/>
            <family val="2"/>
          </rPr>
          <t xml:space="preserve">
Leave blank - this cell corresponds to the conjugated base of the acid, e.g., Cl- or NO</t>
        </r>
        <r>
          <rPr>
            <vertAlign val="subscript"/>
            <sz val="12"/>
            <color indexed="81"/>
            <rFont val="Tahoma"/>
            <family val="2"/>
          </rPr>
          <t>3</t>
        </r>
        <r>
          <rPr>
            <vertAlign val="superscript"/>
            <sz val="12"/>
            <color indexed="81"/>
            <rFont val="Tahoma"/>
            <family val="2"/>
          </rPr>
          <t>-</t>
        </r>
        <r>
          <rPr>
            <sz val="10"/>
            <color indexed="81"/>
            <rFont val="Tahoma"/>
            <family val="2"/>
          </rPr>
          <t>.</t>
        </r>
      </text>
    </comment>
    <comment ref="C15" authorId="0" shapeId="0" xr:uid="{00000000-0006-0000-0700-000028000000}">
      <text>
        <r>
          <rPr>
            <b/>
            <sz val="10"/>
            <color indexed="81"/>
            <rFont val="Tahoma"/>
            <family val="2"/>
          </rPr>
          <t>Gutz:</t>
        </r>
        <r>
          <rPr>
            <sz val="10"/>
            <color indexed="81"/>
            <rFont val="Tahoma"/>
            <family val="2"/>
          </rPr>
          <t xml:space="preserve">
Leave blank/fill with de concentration of strong monoprotonable base used as titrant for acidic samples e.g., NaOH, KOH (or twice the mol/L concentration of Ca(OH)</t>
        </r>
        <r>
          <rPr>
            <vertAlign val="subscript"/>
            <sz val="10"/>
            <color indexed="81"/>
            <rFont val="Tahoma"/>
            <family val="2"/>
          </rPr>
          <t>2</t>
        </r>
        <r>
          <rPr>
            <sz val="10"/>
            <color indexed="81"/>
            <rFont val="Tahoma"/>
            <family val="2"/>
          </rPr>
          <t>)</t>
        </r>
      </text>
    </comment>
    <comment ref="D15" authorId="0" shapeId="0" xr:uid="{00000000-0006-0000-0700-000029000000}">
      <text>
        <r>
          <rPr>
            <b/>
            <sz val="8"/>
            <color indexed="81"/>
            <rFont val="Tahoma"/>
            <family val="2"/>
          </rPr>
          <t>Gutz:</t>
        </r>
        <r>
          <rPr>
            <sz val="8"/>
            <color indexed="81"/>
            <rFont val="Tahoma"/>
            <family val="2"/>
          </rPr>
          <t xml:space="preserve">
</t>
        </r>
        <r>
          <rPr>
            <sz val="10"/>
            <color indexed="81"/>
            <rFont val="Tahoma"/>
            <family val="2"/>
          </rPr>
          <t>Leave blank/fill out with the concentration of carbonate, if used as titrant. 
To simulate the absorption of CO</t>
        </r>
        <r>
          <rPr>
            <vertAlign val="subscript"/>
            <sz val="10"/>
            <color indexed="81"/>
            <rFont val="Tahoma"/>
            <family val="2"/>
          </rPr>
          <t xml:space="preserve">2 </t>
        </r>
        <r>
          <rPr>
            <sz val="10"/>
            <color indexed="81"/>
            <rFont val="Tahoma"/>
            <family val="2"/>
          </rPr>
          <t>from the air by an alkaline titrant, leave blank and fill cell D16.</t>
        </r>
      </text>
    </comment>
    <comment ref="P15" authorId="1" shapeId="0" xr:uid="{00000000-0006-0000-0700-00002A000000}">
      <text>
        <r>
          <rPr>
            <b/>
            <sz val="8"/>
            <color indexed="81"/>
            <rFont val="Tahoma"/>
            <family val="2"/>
          </rPr>
          <t>Gutz:</t>
        </r>
        <r>
          <rPr>
            <sz val="8"/>
            <color indexed="81"/>
            <rFont val="Tahoma"/>
            <family val="2"/>
          </rPr>
          <t xml:space="preserve">
</t>
        </r>
        <r>
          <rPr>
            <sz val="10"/>
            <color indexed="81"/>
            <rFont val="Tahoma"/>
            <family val="2"/>
          </rPr>
          <t>CurTiPot recalculates apparent equilibrium constants at the ionic strength, I, of the solution  from thermodynamic constants (I=0) by estimating activity coefficients  with help of the Davies equation. The accuracy is good for I&lt;0.05, acceptable for I&lt;0.2 and poor for higher values of I.
There is no rigorous means to calculate activity coefficients of individual ions, although there are many equations pursuing the reduction of the uncertainty of the estimates by taking in account individual effective ion size parameters and specific ion-ion interactions and/or introducing empirical coefficients fitted to real data. Such parameters are readily available only for the most common inorganic and organic ions, limiting their application range in comparison with the simple and general Davies eq. 
A compilation of over twenty equations with references to original work is available in the file Ionic St_effects.pdf contained in the package http://www.iupac.org/projects/2000/Aq_Solutions.zip
For calculations involving seawater (e.g. ionic strength at different salinities), see:   http://ioc.unesco.org/oceanteacher/oceanteacher2/02_InfTchSciCmm/01_CmpTch/05_ocsoft/01_toolbox/OcCalc/OcCalc.htm</t>
        </r>
      </text>
    </comment>
    <comment ref="Q15" authorId="3" shapeId="0" xr:uid="{00000000-0006-0000-0700-00002B000000}">
      <text>
        <r>
          <rPr>
            <b/>
            <sz val="8"/>
            <color indexed="81"/>
            <rFont val="Tahoma"/>
            <family val="2"/>
          </rPr>
          <t>Gutz:</t>
        </r>
        <r>
          <rPr>
            <sz val="10"/>
            <color indexed="81"/>
            <rFont val="Tahoma"/>
            <family val="2"/>
          </rPr>
          <t xml:space="preserve">
Minimum concentration of cations or anions to satisfy charge balance, after taking in account the H</t>
        </r>
        <r>
          <rPr>
            <vertAlign val="superscript"/>
            <sz val="12"/>
            <color indexed="81"/>
            <rFont val="Tahoma"/>
            <family val="2"/>
          </rPr>
          <t>+</t>
        </r>
        <r>
          <rPr>
            <sz val="10"/>
            <color indexed="81"/>
            <rFont val="Tahoma"/>
            <family val="2"/>
          </rPr>
          <t xml:space="preserve"> and OH</t>
        </r>
        <r>
          <rPr>
            <vertAlign val="superscript"/>
            <sz val="12"/>
            <color indexed="81"/>
            <rFont val="Tahoma"/>
            <family val="2"/>
          </rPr>
          <t>-</t>
        </r>
        <r>
          <rPr>
            <sz val="10"/>
            <color indexed="81"/>
            <rFont val="Tahoma"/>
            <family val="2"/>
          </rPr>
          <t xml:space="preserve"> concentrations.</t>
        </r>
        <r>
          <rPr>
            <sz val="8"/>
            <color indexed="81"/>
            <rFont val="Tahoma"/>
            <family val="2"/>
          </rPr>
          <t xml:space="preserve">
</t>
        </r>
      </text>
    </comment>
    <comment ref="B16" authorId="0" shapeId="0" xr:uid="{00000000-0006-0000-0700-00002C000000}">
      <text>
        <r>
          <rPr>
            <b/>
            <sz val="10"/>
            <color indexed="81"/>
            <rFont val="Tahoma"/>
            <family val="2"/>
          </rPr>
          <t>Gutz:</t>
        </r>
        <r>
          <rPr>
            <sz val="10"/>
            <color indexed="81"/>
            <rFont val="Tahoma"/>
            <family val="2"/>
          </rPr>
          <t xml:space="preserve">
Leave blank/fill with de concentration of strong monoprotic acid used as titrant of alkaline samples e.g., HCl. For weak or diprotic acids like H</t>
        </r>
        <r>
          <rPr>
            <vertAlign val="subscript"/>
            <sz val="10"/>
            <color indexed="81"/>
            <rFont val="Tahoma"/>
            <family val="2"/>
          </rPr>
          <t>2</t>
        </r>
        <r>
          <rPr>
            <sz val="10"/>
            <color indexed="81"/>
            <rFont val="Tahoma"/>
            <family val="2"/>
          </rPr>
          <t>SO</t>
        </r>
        <r>
          <rPr>
            <vertAlign val="subscript"/>
            <sz val="10"/>
            <color indexed="81"/>
            <rFont val="Tahoma"/>
            <family val="2"/>
          </rPr>
          <t>4</t>
        </r>
        <r>
          <rPr>
            <sz val="10"/>
            <color indexed="81"/>
            <rFont val="Tahoma"/>
            <family val="2"/>
          </rPr>
          <t xml:space="preserve">  change charge and pKas first, at cells R4 to R6.</t>
        </r>
      </text>
    </comment>
    <comment ref="C16" authorId="0" shapeId="0" xr:uid="{00000000-0006-0000-0700-00002D000000}">
      <text>
        <r>
          <rPr>
            <b/>
            <sz val="8"/>
            <color indexed="81"/>
            <rFont val="Tahoma"/>
            <family val="2"/>
          </rPr>
          <t>Gutz:</t>
        </r>
        <r>
          <rPr>
            <sz val="8"/>
            <color indexed="81"/>
            <rFont val="Tahoma"/>
            <family val="2"/>
          </rPr>
          <t xml:space="preserve">
</t>
        </r>
        <r>
          <rPr>
            <sz val="10"/>
            <color indexed="81"/>
            <rFont val="Tahoma"/>
            <family val="2"/>
          </rPr>
          <t>Leave blank - as a rule, this cell corresponds to the protonated form of OH-, H</t>
        </r>
        <r>
          <rPr>
            <vertAlign val="subscript"/>
            <sz val="10"/>
            <color indexed="81"/>
            <rFont val="Tahoma"/>
            <family val="2"/>
          </rPr>
          <t>2</t>
        </r>
        <r>
          <rPr>
            <sz val="10"/>
            <color indexed="81"/>
            <rFont val="Tahoma"/>
            <family val="2"/>
          </rPr>
          <t>O, indistinguishable from the solvent. However, if a different acid/base is system is specified in column S, [HB] may be filled out as needed.</t>
        </r>
      </text>
    </comment>
    <comment ref="D16" authorId="0" shapeId="0" xr:uid="{00000000-0006-0000-0700-00002E000000}">
      <text>
        <r>
          <rPr>
            <b/>
            <sz val="8"/>
            <color indexed="81"/>
            <rFont val="Tahoma"/>
            <family val="2"/>
          </rPr>
          <t>Gutz:</t>
        </r>
        <r>
          <rPr>
            <sz val="8"/>
            <color indexed="81"/>
            <rFont val="Tahoma"/>
            <family val="2"/>
          </rPr>
          <t xml:space="preserve">
</t>
        </r>
        <r>
          <rPr>
            <sz val="10"/>
            <color indexed="81"/>
            <rFont val="Tahoma"/>
            <family val="2"/>
          </rPr>
          <t>Leave blank</t>
        </r>
        <r>
          <rPr>
            <b/>
            <sz val="10"/>
            <color indexed="81"/>
            <rFont val="Tahoma"/>
            <family val="2"/>
          </rPr>
          <t>/</t>
        </r>
        <r>
          <rPr>
            <sz val="10"/>
            <color indexed="81"/>
            <rFont val="Tahoma"/>
            <family val="2"/>
          </rPr>
          <t>fill out with de concentration of bicarbonate, if used as titrant.
To simulate the absorption of CO</t>
        </r>
        <r>
          <rPr>
            <vertAlign val="subscript"/>
            <sz val="10"/>
            <color indexed="81"/>
            <rFont val="Tahoma"/>
            <family val="2"/>
          </rPr>
          <t>2</t>
        </r>
        <r>
          <rPr>
            <sz val="10"/>
            <color indexed="81"/>
            <rFont val="Tahoma"/>
            <family val="2"/>
          </rPr>
          <t xml:space="preserve"> from the air by an alkaline titrant, leave blank and fill H</t>
        </r>
        <r>
          <rPr>
            <vertAlign val="subscript"/>
            <sz val="10"/>
            <color indexed="81"/>
            <rFont val="Tahoma"/>
            <family val="2"/>
          </rPr>
          <t>2</t>
        </r>
        <r>
          <rPr>
            <sz val="10"/>
            <color indexed="81"/>
            <rFont val="Tahoma"/>
            <family val="2"/>
          </rPr>
          <t>CO</t>
        </r>
        <r>
          <rPr>
            <vertAlign val="subscript"/>
            <sz val="10"/>
            <color indexed="81"/>
            <rFont val="Tahoma"/>
            <family val="2"/>
          </rPr>
          <t>3</t>
        </r>
        <r>
          <rPr>
            <sz val="10"/>
            <color indexed="81"/>
            <rFont val="Tahoma"/>
            <family val="2"/>
          </rPr>
          <t xml:space="preserve"> (cell D16)</t>
        </r>
      </text>
    </comment>
    <comment ref="E16" authorId="1" shapeId="0" xr:uid="{00000000-0006-0000-0700-00002F000000}">
      <text>
        <r>
          <rPr>
            <b/>
            <sz val="8"/>
            <color indexed="81"/>
            <rFont val="Tahoma"/>
            <family val="2"/>
          </rPr>
          <t>Gutz:</t>
        </r>
        <r>
          <rPr>
            <sz val="8"/>
            <color indexed="81"/>
            <rFont val="Tahoma"/>
            <family val="2"/>
          </rPr>
          <t xml:space="preserve">
</t>
        </r>
        <r>
          <rPr>
            <sz val="10"/>
            <color indexed="81"/>
            <rFont val="Tahoma"/>
            <family val="2"/>
          </rPr>
          <t>Volume of the aliquot of titrand (sample)</t>
        </r>
      </text>
    </comment>
    <comment ref="F16" authorId="0" shapeId="0" xr:uid="{00000000-0006-0000-0700-000030000000}">
      <text>
        <r>
          <rPr>
            <b/>
            <sz val="10"/>
            <color indexed="81"/>
            <rFont val="Tahoma"/>
            <family val="2"/>
          </rPr>
          <t>Gutz:</t>
        </r>
        <r>
          <rPr>
            <sz val="10"/>
            <color indexed="81"/>
            <rFont val="Tahoma"/>
            <family val="2"/>
          </rPr>
          <t xml:space="preserve">
Water (or an electrolyte solution) is frequently added to the sample until the glass electrode bulb and reference electrode junction are immersed in the solution. </t>
        </r>
      </text>
    </comment>
    <comment ref="G16" authorId="0" shapeId="0" xr:uid="{00000000-0006-0000-0700-000031000000}">
      <text>
        <r>
          <rPr>
            <b/>
            <sz val="8"/>
            <color indexed="81"/>
            <rFont val="Tahoma"/>
            <family val="2"/>
          </rPr>
          <t>Gutz:</t>
        </r>
        <r>
          <rPr>
            <sz val="10"/>
            <color indexed="81"/>
            <rFont val="Tahoma"/>
            <family val="2"/>
          </rPr>
          <t xml:space="preserve">
Total  volume before titration.</t>
        </r>
      </text>
    </comment>
    <comment ref="H16" authorId="0" shapeId="0" xr:uid="{00000000-0006-0000-0700-000032000000}">
      <text>
        <r>
          <rPr>
            <b/>
            <sz val="8"/>
            <color indexed="81"/>
            <rFont val="Tahoma"/>
            <family val="2"/>
          </rPr>
          <t>Gutz:</t>
        </r>
        <r>
          <rPr>
            <sz val="8"/>
            <color indexed="81"/>
            <rFont val="Tahoma"/>
            <family val="2"/>
          </rPr>
          <t xml:space="preserve">
</t>
        </r>
        <r>
          <rPr>
            <sz val="10"/>
            <color indexed="81"/>
            <rFont val="Tahoma"/>
            <family val="2"/>
          </rPr>
          <t>Calculated using I given in cell M16. To change I refer to cell S12. To set I=0 click on button at A22.</t>
        </r>
      </text>
    </comment>
    <comment ref="L16" authorId="0" shapeId="0" xr:uid="{00000000-0006-0000-0700-000033000000}">
      <text>
        <r>
          <rPr>
            <b/>
            <sz val="8"/>
            <color indexed="81"/>
            <rFont val="Tahoma"/>
            <family val="2"/>
          </rPr>
          <t>Gutz:</t>
        </r>
        <r>
          <rPr>
            <sz val="10"/>
            <color indexed="81"/>
            <rFont val="Tahoma"/>
            <family val="2"/>
          </rPr>
          <t xml:space="preserve">
To set I=0, click on "Set I=0 and </t>
        </r>
        <r>
          <rPr>
            <sz val="10"/>
            <color indexed="81"/>
            <rFont val="Symbol"/>
            <family val="1"/>
            <charset val="2"/>
          </rPr>
          <t>g</t>
        </r>
        <r>
          <rPr>
            <sz val="10"/>
            <color indexed="81"/>
            <rFont val="Tahoma"/>
            <family val="2"/>
          </rPr>
          <t>H</t>
        </r>
        <r>
          <rPr>
            <vertAlign val="superscript"/>
            <sz val="12"/>
            <color indexed="81"/>
            <rFont val="Tahoma"/>
            <family val="2"/>
          </rPr>
          <t>+</t>
        </r>
        <r>
          <rPr>
            <sz val="10"/>
            <color indexed="81"/>
            <rFont val="Tahoma"/>
            <family val="2"/>
          </rPr>
          <t>=1" at cell A22;
To enter concentrations of electrolytes, fill out cells S12 to T13;
To calculate I and recalculate it after each regression, click on "Calculate / Update I" at cells C22 or Q25 .</t>
        </r>
      </text>
    </comment>
    <comment ref="O16" authorId="0" shapeId="0" xr:uid="{00000000-0006-0000-0700-000034000000}">
      <text>
        <r>
          <rPr>
            <b/>
            <sz val="8"/>
            <color indexed="81"/>
            <rFont val="Tahoma"/>
            <family val="2"/>
          </rPr>
          <t>Gutz:</t>
        </r>
        <r>
          <rPr>
            <sz val="8"/>
            <color indexed="81"/>
            <rFont val="Tahoma"/>
            <family val="2"/>
          </rPr>
          <t xml:space="preserve">
</t>
        </r>
        <r>
          <rPr>
            <sz val="10"/>
            <color indexed="81"/>
            <rFont val="Tahoma"/>
            <family val="2"/>
          </rPr>
          <t xml:space="preserve">Default value is 0.509. 
A and b are parameters of the Davies equation, used for activity coefficient estimation. They depend on temperature, dielectric constant, electrolyte, etc. 
The recommended values for water at 25ºC are: A=0.509; b=0.300.
The Davies eq. does not require the size of different hydrated ions but, to some degree, the A and b parameters may be empirically adjusted to more closely describe a given electrolyte.
For example: For NaCl + HCl solutions, A=0.43 and b=0.49 conducts to </t>
        </r>
        <r>
          <rPr>
            <sz val="14"/>
            <color indexed="81"/>
            <rFont val="Symbol"/>
            <family val="1"/>
            <charset val="2"/>
          </rPr>
          <t>g</t>
        </r>
        <r>
          <rPr>
            <sz val="10"/>
            <color indexed="81"/>
            <rFont val="Tahoma"/>
            <family val="2"/>
          </rPr>
          <t>H</t>
        </r>
        <r>
          <rPr>
            <vertAlign val="superscript"/>
            <sz val="12"/>
            <color indexed="81"/>
            <rFont val="Tahoma"/>
            <family val="2"/>
          </rPr>
          <t>+</t>
        </r>
        <r>
          <rPr>
            <sz val="10"/>
            <color indexed="81"/>
            <rFont val="Tahoma"/>
            <family val="2"/>
          </rPr>
          <t xml:space="preserve"> values in excellent agreement with those provided (up to 0.5 mol/kg) in http://www.iupac.org/projects/2000/Aq_Solutions.zip
on base of more complete equations fitted to experimental data. 
For phosphate solutions, A=0.51 and b=0.20 seems appropriate at pHs above neutrality.</t>
        </r>
      </text>
    </comment>
    <comment ref="B17" authorId="0" shapeId="0" xr:uid="{00000000-0006-0000-0700-000035000000}">
      <text>
        <r>
          <rPr>
            <b/>
            <sz val="8"/>
            <color indexed="81"/>
            <rFont val="Tahoma"/>
            <family val="2"/>
          </rPr>
          <t>Gutz:</t>
        </r>
        <r>
          <rPr>
            <sz val="8"/>
            <color indexed="81"/>
            <rFont val="Tahoma"/>
            <family val="2"/>
          </rPr>
          <t xml:space="preserve">
</t>
        </r>
        <r>
          <rPr>
            <sz val="10"/>
            <color indexed="81"/>
            <rFont val="Tahoma"/>
            <family val="2"/>
          </rPr>
          <t>Leave blank unless you have replaced the base, its charge and pKas in cells S4 to S6 and H</t>
        </r>
        <r>
          <rPr>
            <vertAlign val="subscript"/>
            <sz val="10"/>
            <color indexed="81"/>
            <rFont val="Tahoma"/>
            <family val="2"/>
          </rPr>
          <t>2</t>
        </r>
        <r>
          <rPr>
            <sz val="10"/>
            <color indexed="81"/>
            <rFont val="Tahoma"/>
            <family val="2"/>
          </rPr>
          <t>B is and ingredient of the titrant.</t>
        </r>
      </text>
    </comment>
    <comment ref="C17" authorId="0" shapeId="0" xr:uid="{00000000-0006-0000-0700-000036000000}">
      <text>
        <r>
          <rPr>
            <b/>
            <sz val="8"/>
            <color indexed="81"/>
            <rFont val="Tahoma"/>
            <family val="2"/>
          </rPr>
          <t>Gutz:</t>
        </r>
        <r>
          <rPr>
            <sz val="8"/>
            <color indexed="81"/>
            <rFont val="Tahoma"/>
            <family val="2"/>
          </rPr>
          <t xml:space="preserve">
</t>
        </r>
        <r>
          <rPr>
            <sz val="10"/>
            <color indexed="81"/>
            <rFont val="Tahoma"/>
            <family val="2"/>
          </rPr>
          <t>Leave blank unless you have replaced the base, its charge and pKas in cells S4 to S6 and H</t>
        </r>
        <r>
          <rPr>
            <vertAlign val="subscript"/>
            <sz val="10"/>
            <color indexed="81"/>
            <rFont val="Tahoma"/>
            <family val="2"/>
          </rPr>
          <t>2</t>
        </r>
        <r>
          <rPr>
            <sz val="10"/>
            <color indexed="81"/>
            <rFont val="Tahoma"/>
            <family val="2"/>
          </rPr>
          <t>B is and ingredient of the titrant.</t>
        </r>
      </text>
    </comment>
    <comment ref="D17" authorId="0" shapeId="0" xr:uid="{00000000-0006-0000-0700-000037000000}">
      <text>
        <r>
          <rPr>
            <b/>
            <sz val="10"/>
            <color indexed="81"/>
            <rFont val="Tahoma"/>
            <family val="2"/>
          </rPr>
          <t>Gutz:</t>
        </r>
        <r>
          <rPr>
            <sz val="10"/>
            <color indexed="81"/>
            <rFont val="Tahoma"/>
            <family val="2"/>
          </rPr>
          <t xml:space="preserve">
Leave blank</t>
        </r>
        <r>
          <rPr>
            <b/>
            <sz val="10"/>
            <color indexed="81"/>
            <rFont val="Tahoma"/>
            <family val="2"/>
          </rPr>
          <t>/</t>
        </r>
        <r>
          <rPr>
            <sz val="10"/>
            <color indexed="81"/>
            <rFont val="Tahoma"/>
            <family val="2"/>
          </rPr>
          <t>fill out to simulate the absorption of CO</t>
        </r>
        <r>
          <rPr>
            <vertAlign val="subscript"/>
            <sz val="10"/>
            <color indexed="81"/>
            <rFont val="Tahoma"/>
            <family val="2"/>
          </rPr>
          <t>2</t>
        </r>
        <r>
          <rPr>
            <sz val="10"/>
            <color indexed="81"/>
            <rFont val="Tahoma"/>
            <family val="2"/>
          </rPr>
          <t xml:space="preserve"> by an alkaline titrant (effect visible on the curve for 1% or more of [H</t>
        </r>
        <r>
          <rPr>
            <vertAlign val="subscript"/>
            <sz val="10"/>
            <color indexed="81"/>
            <rFont val="Tahoma"/>
            <family val="2"/>
          </rPr>
          <t>2</t>
        </r>
        <r>
          <rPr>
            <sz val="10"/>
            <color indexed="81"/>
            <rFont val="Tahoma"/>
            <family val="2"/>
          </rPr>
          <t>CO</t>
        </r>
        <r>
          <rPr>
            <vertAlign val="subscript"/>
            <sz val="10"/>
            <color indexed="81"/>
            <rFont val="Tahoma"/>
            <family val="2"/>
          </rPr>
          <t>3</t>
        </r>
        <r>
          <rPr>
            <sz val="10"/>
            <color indexed="81"/>
            <rFont val="Tahoma"/>
            <family val="2"/>
          </rPr>
          <t xml:space="preserve">] relative to the titrant concentration)  
</t>
        </r>
      </text>
    </comment>
    <comment ref="H17" authorId="0" shapeId="0" xr:uid="{00000000-0006-0000-0700-000038000000}">
      <text>
        <r>
          <rPr>
            <b/>
            <sz val="8"/>
            <color indexed="81"/>
            <rFont val="Tahoma"/>
            <family val="2"/>
          </rPr>
          <t>Gutz:</t>
        </r>
        <r>
          <rPr>
            <sz val="8"/>
            <color indexed="81"/>
            <rFont val="Tahoma"/>
            <family val="2"/>
          </rPr>
          <t xml:space="preserve">
</t>
        </r>
        <r>
          <rPr>
            <sz val="10"/>
            <color indexed="81"/>
            <rFont val="Tahoma"/>
            <family val="2"/>
          </rPr>
          <t>Total concentration of H</t>
        </r>
        <r>
          <rPr>
            <vertAlign val="superscript"/>
            <sz val="10"/>
            <color indexed="81"/>
            <rFont val="Tahoma"/>
            <family val="2"/>
          </rPr>
          <t>+</t>
        </r>
        <r>
          <rPr>
            <sz val="10"/>
            <color indexed="81"/>
            <rFont val="Tahoma"/>
            <family val="2"/>
          </rPr>
          <t xml:space="preserve"> calculated for the sample (=titrand only if F16=0) by using the initial pH of the titrand (before addition of titrant) and the concentrations (and pKas) fitted with the Solver tool.</t>
        </r>
      </text>
    </comment>
    <comment ref="O17" authorId="0" shapeId="0" xr:uid="{00000000-0006-0000-0700-000039000000}">
      <text>
        <r>
          <rPr>
            <b/>
            <sz val="8"/>
            <color indexed="81"/>
            <rFont val="Tahoma"/>
            <family val="2"/>
          </rPr>
          <t>Gutz:</t>
        </r>
        <r>
          <rPr>
            <sz val="8"/>
            <color indexed="81"/>
            <rFont val="Tahoma"/>
            <family val="2"/>
          </rPr>
          <t xml:space="preserve">
</t>
        </r>
        <r>
          <rPr>
            <sz val="10"/>
            <color indexed="81"/>
            <rFont val="Tahoma"/>
            <family val="2"/>
          </rPr>
          <t>Default value is 0.300. Read comment  in cell O16 and P15.</t>
        </r>
      </text>
    </comment>
    <comment ref="H18" authorId="1" shapeId="0" xr:uid="{00000000-0006-0000-0700-00003A000000}">
      <text>
        <r>
          <rPr>
            <b/>
            <sz val="10"/>
            <color indexed="81"/>
            <rFont val="Tahoma"/>
            <family val="2"/>
          </rPr>
          <t>Gutz:</t>
        </r>
        <r>
          <rPr>
            <sz val="10"/>
            <color indexed="81"/>
            <rFont val="Tahoma"/>
            <family val="2"/>
          </rPr>
          <t xml:space="preserve">
This this is the fitted total concentration of H</t>
        </r>
        <r>
          <rPr>
            <vertAlign val="superscript"/>
            <sz val="10"/>
            <color indexed="81"/>
            <rFont val="Tahoma"/>
            <family val="2"/>
          </rPr>
          <t>+</t>
        </r>
        <r>
          <rPr>
            <sz val="10"/>
            <color indexed="81"/>
            <rFont val="Tahoma"/>
            <family val="2"/>
          </rPr>
          <t xml:space="preserve"> in the sample (=titrant only if F16=0), that could be liberated from all acids (and bases) for the concentrations found by the Solver. Refer to comments in cell H19 on how to install the Solver and define the destination cell.
In Solver's field for </t>
        </r>
        <r>
          <rPr>
            <b/>
            <sz val="10"/>
            <color indexed="81"/>
            <rFont val="Tahoma"/>
            <family val="2"/>
          </rPr>
          <t>variable cells</t>
        </r>
        <r>
          <rPr>
            <sz val="10"/>
            <color indexed="81"/>
            <rFont val="Tahoma"/>
            <family val="2"/>
          </rPr>
          <t>, write:
-</t>
        </r>
        <r>
          <rPr>
            <u/>
            <sz val="10"/>
            <color indexed="81"/>
            <rFont val="Tahoma"/>
            <family val="2"/>
          </rPr>
          <t xml:space="preserve"> I18 and the indexes of cells of line 11</t>
        </r>
        <r>
          <rPr>
            <sz val="10"/>
            <color indexed="81"/>
            <rFont val="Tahoma"/>
            <family val="2"/>
          </rPr>
          <t xml:space="preserve"> (with exception of strong acids) corresponding to the total concentrations of acids/bases possibly present in a sample (at any protonation level), e.g., I18; B11; C11 etc.; (variables must be separated by a semicolon; variables can also be entered by holding down Ctrl and clicking on cells to be fitted).
-</t>
        </r>
        <r>
          <rPr>
            <u/>
            <sz val="10"/>
            <color indexed="81"/>
            <rFont val="Tahoma"/>
            <family val="2"/>
          </rPr>
          <t xml:space="preserve"> I18 and nothing else, for samples containing only strong acid(s)</t>
        </r>
        <r>
          <rPr>
            <sz val="10"/>
            <color indexed="81"/>
            <rFont val="Tahoma"/>
            <family val="2"/>
          </rPr>
          <t xml:space="preserve"> (with pKa values below the pH range covered by the titration); or I18 and indexes of other weak acids/bases possibly present besides strong ones;
-</t>
        </r>
        <r>
          <rPr>
            <u/>
            <sz val="10"/>
            <color indexed="81"/>
            <rFont val="Tahoma"/>
            <family val="2"/>
          </rPr>
          <t xml:space="preserve"> for alkaline samples containing strong bases, do </t>
        </r>
        <r>
          <rPr>
            <b/>
            <u/>
            <sz val="10"/>
            <color indexed="81"/>
            <rFont val="Tahoma"/>
            <family val="2"/>
          </rPr>
          <t>not</t>
        </r>
        <r>
          <rPr>
            <u/>
            <sz val="10"/>
            <color indexed="81"/>
            <rFont val="Tahoma"/>
            <family val="2"/>
          </rPr>
          <t xml:space="preserve"> include I18 as a variable cell and write 0 in cell I18</t>
        </r>
        <r>
          <rPr>
            <sz val="10"/>
            <color indexed="81"/>
            <rFont val="Tahoma"/>
            <family val="2"/>
          </rPr>
          <t xml:space="preserve"> instead. Just in case satisfactory fitting is not reached after some cycles with Solver (residuals plots showing a trend), include I18 as a variable cell, paying attention to, and resetting, any simultaneous positive drift of I18 paired with the concentration of the strong base during consecutive refinement cycles with Solver.
Due to data scatter and stringent convergence criteria defined (by the author) for the Solver, a warning that no solution was found is frequently displayed; in general, the message can be ignored because the values fitted are reasonable enough to be accepted. After accepting the results and clicking on buttons at C22 and E22 to update I, the improvement of the fitting of the calculated curve to the experimental one should be inspected and the fitting cycles repeated as needed, ideally until scattered residuals around zero (without any tendency) are observed.
In case of convergence problems, the Solver can be stopped pressing Esc. A new start with the smallest possible number of most relevant variable cells, accompanied with reasonable initial estimates of the concentrations and pKas is recommended. Convergence criteria can be changed in the Solver setup as can the 100 iterations and 30 seconds default limits. Possible minor components of the sample (e.g., the contamination with carbon dioxide) may be added one by one to the Solver, and evaluated regarding the improvement of the global fit. 
Database pKa values may require refinement to best suit them to the effective conditions of a titration (temperature, ionic strength, dielectric constant, etc.). This may be attained with the Solver for pKa values within the pH range of the titration.
</t>
        </r>
      </text>
    </comment>
    <comment ref="S18" authorId="0" shapeId="0" xr:uid="{00000000-0006-0000-0700-00003B000000}">
      <text>
        <r>
          <rPr>
            <b/>
            <sz val="8"/>
            <color indexed="81"/>
            <rFont val="Tahoma"/>
            <family val="2"/>
          </rPr>
          <t>Gutz:</t>
        </r>
        <r>
          <rPr>
            <sz val="8"/>
            <color indexed="81"/>
            <rFont val="Tahoma"/>
            <family val="2"/>
          </rPr>
          <t xml:space="preserve">
</t>
        </r>
        <r>
          <rPr>
            <sz val="10"/>
            <color indexed="81"/>
            <rFont val="Tahoma"/>
            <family val="2"/>
          </rPr>
          <t>Includes H</t>
        </r>
        <r>
          <rPr>
            <vertAlign val="superscript"/>
            <sz val="12"/>
            <color indexed="81"/>
            <rFont val="Tahoma"/>
            <family val="2"/>
          </rPr>
          <t>+</t>
        </r>
        <r>
          <rPr>
            <sz val="10"/>
            <color indexed="81"/>
            <rFont val="Tahoma"/>
            <family val="2"/>
          </rPr>
          <t xml:space="preserve"> and OH</t>
        </r>
        <r>
          <rPr>
            <vertAlign val="superscript"/>
            <sz val="12"/>
            <color indexed="81"/>
            <rFont val="Tahoma"/>
            <family val="2"/>
          </rPr>
          <t>-</t>
        </r>
        <r>
          <rPr>
            <sz val="10"/>
            <color indexed="81"/>
            <rFont val="Tahoma"/>
            <family val="2"/>
          </rPr>
          <t xml:space="preserve"> from water dissoc.</t>
        </r>
      </text>
    </comment>
    <comment ref="T18" authorId="0" shapeId="0" xr:uid="{00000000-0006-0000-0700-00003C000000}">
      <text>
        <r>
          <rPr>
            <b/>
            <sz val="8"/>
            <color indexed="81"/>
            <rFont val="Tahoma"/>
            <family val="2"/>
          </rPr>
          <t>Gutz:</t>
        </r>
        <r>
          <rPr>
            <sz val="8"/>
            <color indexed="81"/>
            <rFont val="Tahoma"/>
            <family val="2"/>
          </rPr>
          <t xml:space="preserve">
</t>
        </r>
        <r>
          <rPr>
            <sz val="10"/>
            <color indexed="81"/>
            <rFont val="Tahoma"/>
            <family val="2"/>
          </rPr>
          <t>Includes H</t>
        </r>
        <r>
          <rPr>
            <vertAlign val="superscript"/>
            <sz val="12"/>
            <color indexed="81"/>
            <rFont val="Tahoma"/>
            <family val="2"/>
          </rPr>
          <t>+</t>
        </r>
        <r>
          <rPr>
            <sz val="10"/>
            <color indexed="81"/>
            <rFont val="Tahoma"/>
            <family val="2"/>
          </rPr>
          <t xml:space="preserve"> and OH</t>
        </r>
        <r>
          <rPr>
            <vertAlign val="superscript"/>
            <sz val="12"/>
            <color indexed="81"/>
            <rFont val="Tahoma"/>
            <family val="2"/>
          </rPr>
          <t>-</t>
        </r>
        <r>
          <rPr>
            <sz val="10"/>
            <color indexed="81"/>
            <rFont val="Tahoma"/>
            <family val="2"/>
          </rPr>
          <t xml:space="preserve"> from water dissoc.</t>
        </r>
      </text>
    </comment>
    <comment ref="U18" authorId="0" shapeId="0" xr:uid="{00000000-0006-0000-0700-00003D000000}">
      <text>
        <r>
          <rPr>
            <b/>
            <sz val="8"/>
            <color indexed="81"/>
            <rFont val="Tahoma"/>
            <family val="2"/>
          </rPr>
          <t>Gutz:</t>
        </r>
        <r>
          <rPr>
            <sz val="8"/>
            <color indexed="81"/>
            <rFont val="Tahoma"/>
            <family val="2"/>
          </rPr>
          <t xml:space="preserve">
</t>
        </r>
        <r>
          <rPr>
            <sz val="10"/>
            <color indexed="81"/>
            <rFont val="Tahoma"/>
            <family val="2"/>
          </rPr>
          <t>C</t>
        </r>
        <r>
          <rPr>
            <vertAlign val="subscript"/>
            <sz val="12"/>
            <color indexed="81"/>
            <rFont val="Tahoma"/>
            <family val="2"/>
          </rPr>
          <t>i</t>
        </r>
        <r>
          <rPr>
            <sz val="10"/>
            <color indexed="81"/>
            <rFont val="Tahoma"/>
            <family val="2"/>
          </rPr>
          <t>z</t>
        </r>
        <r>
          <rPr>
            <vertAlign val="subscript"/>
            <sz val="12"/>
            <color indexed="81"/>
            <rFont val="Tahoma"/>
            <family val="2"/>
          </rPr>
          <t>i</t>
        </r>
        <r>
          <rPr>
            <sz val="10"/>
            <color indexed="81"/>
            <rFont val="Tahoma"/>
            <family val="2"/>
          </rPr>
          <t xml:space="preserve"> = ion concentration times charge of the ion (e.g., 2[Ca</t>
        </r>
        <r>
          <rPr>
            <vertAlign val="superscript"/>
            <sz val="12"/>
            <color indexed="81"/>
            <rFont val="Tahoma"/>
            <family val="2"/>
          </rPr>
          <t>2+</t>
        </r>
        <r>
          <rPr>
            <sz val="10"/>
            <color indexed="81"/>
            <rFont val="Tahoma"/>
            <family val="2"/>
          </rPr>
          <t>]).</t>
        </r>
      </text>
    </comment>
    <comment ref="G19" authorId="3" shapeId="0" xr:uid="{00000000-0006-0000-0700-00003E000000}">
      <text>
        <r>
          <rPr>
            <b/>
            <sz val="8"/>
            <color indexed="81"/>
            <rFont val="Tahoma"/>
            <family val="2"/>
          </rPr>
          <t xml:space="preserve">Gutz
</t>
        </r>
        <r>
          <rPr>
            <sz val="10"/>
            <color indexed="81"/>
            <rFont val="Tahoma"/>
            <family val="2"/>
          </rPr>
          <t>This pH value is NOT updated automatically. Click on "Find titrant pH" or "Calculate / Update I" after any change in the titrant composition (acids, bases or electrolytes, including cells T12 and T13), in order to have a better estimate I.
The pH of the titrand appears in line 41 (Vol.=0)</t>
        </r>
      </text>
    </comment>
    <comment ref="H19" authorId="1" shapeId="0" xr:uid="{00000000-0006-0000-0700-00003F000000}">
      <text>
        <r>
          <rPr>
            <b/>
            <sz val="8"/>
            <color indexed="81"/>
            <rFont val="Tahoma"/>
            <family val="2"/>
          </rPr>
          <t>Gutz:</t>
        </r>
        <r>
          <rPr>
            <sz val="8"/>
            <color indexed="81"/>
            <rFont val="Tahoma"/>
            <family val="2"/>
          </rPr>
          <t xml:space="preserve">
</t>
        </r>
        <r>
          <rPr>
            <sz val="10"/>
            <color indexed="81"/>
            <rFont val="Tahoma"/>
            <family val="2"/>
          </rPr>
          <t xml:space="preserve">I19 is Solver's </t>
        </r>
        <r>
          <rPr>
            <b/>
            <sz val="10"/>
            <color indexed="81"/>
            <rFont val="Tahoma"/>
            <family val="2"/>
          </rPr>
          <t>Destination cell</t>
        </r>
        <r>
          <rPr>
            <sz val="10"/>
            <color indexed="81"/>
            <rFont val="Tahoma"/>
            <family val="2"/>
          </rPr>
          <t xml:space="preserve">, to be minimized by adjusting the variable cells (concentrations, pKas, etc., as explained in cell H18). The summation of the product of the three following parameters raised to a weighting exponent is used as the criteria of the quality of the fit:
Combined residuals = </t>
        </r>
        <r>
          <rPr>
            <sz val="12"/>
            <color indexed="81"/>
            <rFont val="Symbol"/>
            <family val="1"/>
            <charset val="2"/>
          </rPr>
          <t xml:space="preserve">S </t>
        </r>
        <r>
          <rPr>
            <sz val="12"/>
            <color indexed="81"/>
            <rFont val="Tahoma"/>
            <family val="2"/>
          </rPr>
          <t>(</t>
        </r>
        <r>
          <rPr>
            <sz val="10"/>
            <color indexed="81"/>
            <rFont val="Tahoma"/>
            <family val="2"/>
          </rPr>
          <t>|CH</t>
        </r>
        <r>
          <rPr>
            <vertAlign val="subscript"/>
            <sz val="12"/>
            <color indexed="81"/>
            <rFont val="Tahoma"/>
            <family val="2"/>
          </rPr>
          <t>Reg</t>
        </r>
        <r>
          <rPr>
            <sz val="10"/>
            <color indexed="81"/>
            <rFont val="Tahoma"/>
            <family val="2"/>
          </rPr>
          <t xml:space="preserve"> - CH</t>
        </r>
        <r>
          <rPr>
            <vertAlign val="subscript"/>
            <sz val="12"/>
            <color indexed="81"/>
            <rFont val="Tahoma"/>
            <family val="2"/>
          </rPr>
          <t>Calc</t>
        </r>
        <r>
          <rPr>
            <sz val="10"/>
            <color indexed="81"/>
            <rFont val="Tahoma"/>
            <family val="2"/>
          </rPr>
          <t>|</t>
        </r>
        <r>
          <rPr>
            <vertAlign val="superscript"/>
            <sz val="12"/>
            <color indexed="81"/>
            <rFont val="Tahoma"/>
            <family val="2"/>
          </rPr>
          <t xml:space="preserve">a </t>
        </r>
        <r>
          <rPr>
            <sz val="10"/>
            <color indexed="81"/>
            <rFont val="Tahoma"/>
            <family val="2"/>
          </rPr>
          <t>·|pH</t>
        </r>
        <r>
          <rPr>
            <vertAlign val="subscript"/>
            <sz val="12"/>
            <color indexed="81"/>
            <rFont val="Tahoma"/>
            <family val="2"/>
          </rPr>
          <t xml:space="preserve">Reg </t>
        </r>
        <r>
          <rPr>
            <sz val="10"/>
            <color indexed="81"/>
            <rFont val="Tahoma"/>
            <family val="2"/>
          </rPr>
          <t>- pH|</t>
        </r>
        <r>
          <rPr>
            <vertAlign val="superscript"/>
            <sz val="12"/>
            <color indexed="81"/>
            <rFont val="Tahoma"/>
            <family val="2"/>
          </rPr>
          <t xml:space="preserve">b </t>
        </r>
        <r>
          <rPr>
            <sz val="10"/>
            <color indexed="81"/>
            <rFont val="Tahoma"/>
            <family val="2"/>
          </rPr>
          <t>·|dpH/dV|</t>
        </r>
        <r>
          <rPr>
            <vertAlign val="superscript"/>
            <sz val="12"/>
            <color indexed="81"/>
            <rFont val="Tahoma"/>
            <family val="2"/>
          </rPr>
          <t>c</t>
        </r>
        <r>
          <rPr>
            <sz val="12"/>
            <color indexed="81"/>
            <rFont val="Tahoma"/>
            <family val="2"/>
          </rPr>
          <t>)</t>
        </r>
        <r>
          <rPr>
            <sz val="10"/>
            <color indexed="81"/>
            <rFont val="Tahoma"/>
            <family val="2"/>
          </rPr>
          <t xml:space="preserve">
The exponents a, b e c control the relative weight of the CH and pH residuals and the dpH/dV slope (that allows to increase the weight of data close to inflections) and are user definable in cells I20, K20 and M20, 2, 0 and 0 being the defaults. More information about each term in cells H20, J20 and L20. The weighting scheme may be modified by changing the equations of columns E to H, starting at line 41. 
If Excel's Solver is not listed in Data / Analysis (or under Tools, in older Excel versions) refer to cell AP1 for instructions.
At the first usage, check "Min." option in the second line of the setup box and "fit only positive values" after the (empty) restrictions box. You may change other options later to see if there is any improvement in the regression. </t>
        </r>
      </text>
    </comment>
    <comment ref="H20" authorId="1" shapeId="0" xr:uid="{00000000-0006-0000-0700-000040000000}">
      <text>
        <r>
          <rPr>
            <b/>
            <sz val="8"/>
            <color indexed="81"/>
            <rFont val="Tahoma"/>
            <family val="2"/>
          </rPr>
          <t>Gutz:</t>
        </r>
        <r>
          <rPr>
            <sz val="8"/>
            <color indexed="81"/>
            <rFont val="Tahoma"/>
            <family val="2"/>
          </rPr>
          <t xml:space="preserve">
</t>
        </r>
        <r>
          <rPr>
            <sz val="10"/>
            <color indexed="81"/>
            <rFont val="Tahoma"/>
            <family val="2"/>
          </rPr>
          <t xml:space="preserve">Exponent </t>
        </r>
        <r>
          <rPr>
            <b/>
            <sz val="10"/>
            <color indexed="81"/>
            <rFont val="Tahoma"/>
            <family val="2"/>
          </rPr>
          <t>a</t>
        </r>
        <r>
          <rPr>
            <sz val="10"/>
            <color indexed="81"/>
            <rFont val="Tahoma"/>
            <family val="2"/>
          </rPr>
          <t xml:space="preserve"> is applied to the absolute value of the difference of CH</t>
        </r>
        <r>
          <rPr>
            <vertAlign val="subscript"/>
            <sz val="10"/>
            <color indexed="81"/>
            <rFont val="Tahoma"/>
            <family val="2"/>
          </rPr>
          <t>Reg</t>
        </r>
        <r>
          <rPr>
            <sz val="10"/>
            <color indexed="81"/>
            <rFont val="Tahoma"/>
            <family val="2"/>
          </rPr>
          <t>-CH</t>
        </r>
        <r>
          <rPr>
            <vertAlign val="subscript"/>
            <sz val="10"/>
            <color indexed="81"/>
            <rFont val="Tahoma"/>
            <family val="2"/>
          </rPr>
          <t>calc</t>
        </r>
        <r>
          <rPr>
            <sz val="10"/>
            <color indexed="81"/>
            <rFont val="Tahoma"/>
            <family val="2"/>
          </rPr>
          <t xml:space="preserve"> of each data point (column H beginning at line 41).
</t>
        </r>
        <r>
          <rPr>
            <b/>
            <sz val="10"/>
            <color indexed="81"/>
            <rFont val="Tahoma"/>
            <family val="2"/>
          </rPr>
          <t>2</t>
        </r>
        <r>
          <rPr>
            <sz val="10"/>
            <color indexed="81"/>
            <rFont val="Tahoma"/>
            <family val="2"/>
          </rPr>
          <t xml:space="preserve"> (two) is the normal value of </t>
        </r>
        <r>
          <rPr>
            <b/>
            <sz val="10"/>
            <color indexed="81"/>
            <rFont val="Tahoma"/>
            <family val="2"/>
          </rPr>
          <t>a</t>
        </r>
        <r>
          <rPr>
            <sz val="10"/>
            <color indexed="81"/>
            <rFont val="Tahoma"/>
            <family val="2"/>
          </rPr>
          <t xml:space="preserve"> because it provides the minimization of the sum of squared errors or residuals, SSR, during the iterative nonlinear regression.
1 (one) may be considered to reduce the effect of outliers and/or or to decrease the relative weight of CH</t>
        </r>
        <r>
          <rPr>
            <vertAlign val="subscript"/>
            <sz val="10"/>
            <color indexed="81"/>
            <rFont val="Tahoma"/>
            <family val="2"/>
          </rPr>
          <t>Reg</t>
        </r>
        <r>
          <rPr>
            <sz val="10"/>
            <color indexed="81"/>
            <rFont val="Tahoma"/>
            <family val="2"/>
          </rPr>
          <t>-CH</t>
        </r>
        <r>
          <rPr>
            <vertAlign val="subscript"/>
            <sz val="10"/>
            <color indexed="81"/>
            <rFont val="Tahoma"/>
            <family val="2"/>
          </rPr>
          <t>calc</t>
        </r>
        <r>
          <rPr>
            <sz val="10"/>
            <color indexed="81"/>
            <rFont val="Tahoma"/>
            <family val="2"/>
          </rPr>
          <t xml:space="preserve"> residuals against pH</t>
        </r>
        <r>
          <rPr>
            <vertAlign val="subscript"/>
            <sz val="10"/>
            <color indexed="81"/>
            <rFont val="Tahoma"/>
            <family val="2"/>
          </rPr>
          <t>Reg</t>
        </r>
        <r>
          <rPr>
            <sz val="10"/>
            <color indexed="81"/>
            <rFont val="Tahoma"/>
            <family val="2"/>
          </rPr>
          <t>-pH residuals and/or dpH/dV (see cells H19, J20 and L20). 
0 (zero) is NOT acceptable because all weighted residuals will become equal to 1, making the Solver lose track of the progress of the fitting (setting b=1 does not help because |pH</t>
        </r>
        <r>
          <rPr>
            <vertAlign val="subscript"/>
            <sz val="10"/>
            <color indexed="81"/>
            <rFont val="Tahoma"/>
            <family val="2"/>
          </rPr>
          <t>Reg</t>
        </r>
        <r>
          <rPr>
            <sz val="10"/>
            <color indexed="81"/>
            <rFont val="Tahoma"/>
            <family val="2"/>
          </rPr>
          <t xml:space="preserve"> - pH|</t>
        </r>
        <r>
          <rPr>
            <vertAlign val="superscript"/>
            <sz val="10"/>
            <color indexed="81"/>
            <rFont val="Tahoma"/>
            <family val="2"/>
          </rPr>
          <t>b</t>
        </r>
        <r>
          <rPr>
            <sz val="10"/>
            <color indexed="81"/>
            <rFont val="Tahoma"/>
            <family val="2"/>
          </rPr>
          <t xml:space="preserve"> is not updated during a regression but afterwards).
Examination of the plots of residuals of CH and pH may help to decide if a change of the default setting of a=2, b=0, and c=0 should be considered and/or if rejection of outliers from the data set may be justifiable.
</t>
        </r>
      </text>
    </comment>
    <comment ref="J20" authorId="1" shapeId="0" xr:uid="{00000000-0006-0000-0700-000041000000}">
      <text>
        <r>
          <rPr>
            <b/>
            <sz val="8"/>
            <color indexed="81"/>
            <rFont val="Tahoma"/>
            <family val="2"/>
          </rPr>
          <t>Gutz:</t>
        </r>
        <r>
          <rPr>
            <sz val="10"/>
            <color indexed="81"/>
            <rFont val="Tahoma"/>
            <family val="2"/>
          </rPr>
          <t xml:space="preserve">
Exponent </t>
        </r>
        <r>
          <rPr>
            <b/>
            <sz val="10"/>
            <color indexed="81"/>
            <rFont val="Tahoma"/>
            <family val="2"/>
          </rPr>
          <t>b</t>
        </r>
        <r>
          <rPr>
            <sz val="10"/>
            <color indexed="81"/>
            <rFont val="Tahoma"/>
            <family val="2"/>
          </rPr>
          <t xml:space="preserve"> is set to 0 by default, so that pH residuals are ignored (once |pH</t>
        </r>
        <r>
          <rPr>
            <vertAlign val="subscript"/>
            <sz val="10"/>
            <color indexed="81"/>
            <rFont val="Tahoma"/>
            <family val="2"/>
          </rPr>
          <t>Reg</t>
        </r>
        <r>
          <rPr>
            <sz val="10"/>
            <color indexed="81"/>
            <rFont val="Tahoma"/>
            <family val="2"/>
          </rPr>
          <t>-pH|</t>
        </r>
        <r>
          <rPr>
            <vertAlign val="superscript"/>
            <sz val="10"/>
            <color indexed="81"/>
            <rFont val="Tahoma"/>
            <family val="2"/>
          </rPr>
          <t>b</t>
        </r>
        <r>
          <rPr>
            <sz val="10"/>
            <color indexed="81"/>
            <rFont val="Tahoma"/>
            <family val="2"/>
          </rPr>
          <t xml:space="preserve"> = 1 for every data point) in data weighting.
After one or more runs of the Solver, a more unsatisfactory residuals graph of pH than of CH may be improved by setting </t>
        </r>
        <r>
          <rPr>
            <b/>
            <sz val="10"/>
            <color indexed="81"/>
            <rFont val="Tahoma"/>
            <family val="2"/>
          </rPr>
          <t>b</t>
        </r>
        <r>
          <rPr>
            <sz val="10"/>
            <color indexed="81"/>
            <rFont val="Tahoma"/>
            <family val="2"/>
          </rPr>
          <t xml:space="preserve"> = 1 (while keeping a = 2 or 1). 
</t>
        </r>
        <r>
          <rPr>
            <u/>
            <sz val="10"/>
            <color indexed="81"/>
            <rFont val="Tahoma"/>
            <family val="2"/>
          </rPr>
          <t>Shortcoming:</t>
        </r>
        <r>
          <rPr>
            <sz val="10"/>
            <color indexed="81"/>
            <rFont val="Tahoma"/>
            <family val="2"/>
          </rPr>
          <t xml:space="preserve"> The weighted pH residuals are re-calculated only between successive runs of the Solver while clicking on button E22; in other words, they are used just as fixed (but still effective) multipliers of |CH</t>
        </r>
        <r>
          <rPr>
            <vertAlign val="subscript"/>
            <sz val="10"/>
            <color indexed="81"/>
            <rFont val="Tahoma"/>
            <family val="2"/>
          </rPr>
          <t>Reg</t>
        </r>
        <r>
          <rPr>
            <sz val="10"/>
            <color indexed="81"/>
            <rFont val="Tahoma"/>
            <family val="2"/>
          </rPr>
          <t xml:space="preserve"> – CH</t>
        </r>
        <r>
          <rPr>
            <vertAlign val="subscript"/>
            <sz val="10"/>
            <color indexed="81"/>
            <rFont val="Tahoma"/>
            <family val="2"/>
          </rPr>
          <t>calc</t>
        </r>
        <r>
          <rPr>
            <sz val="10"/>
            <color indexed="81"/>
            <rFont val="Tahoma"/>
            <family val="2"/>
          </rPr>
          <t>|</t>
        </r>
        <r>
          <rPr>
            <vertAlign val="superscript"/>
            <sz val="12"/>
            <color indexed="81"/>
            <rFont val="Tahoma"/>
            <family val="2"/>
          </rPr>
          <t>a</t>
        </r>
        <r>
          <rPr>
            <sz val="10"/>
            <color indexed="81"/>
            <rFont val="Tahoma"/>
            <family val="2"/>
          </rPr>
          <t xml:space="preserve"> residuals, which are during Solver's iterations.</t>
        </r>
      </text>
    </comment>
    <comment ref="L20" authorId="1" shapeId="0" xr:uid="{00000000-0006-0000-0700-000042000000}">
      <text>
        <r>
          <rPr>
            <b/>
            <sz val="8"/>
            <color indexed="81"/>
            <rFont val="Tahoma"/>
            <family val="2"/>
          </rPr>
          <t>Gutz:</t>
        </r>
        <r>
          <rPr>
            <sz val="10"/>
            <color indexed="81"/>
            <rFont val="Tahoma"/>
            <family val="2"/>
          </rPr>
          <t xml:space="preserve">
This exponent can be increased from zero to 1 or even 2 to increase the relative weight of data close to the inflections (high |dpH/dVol|), forcing a better fit near the titration "end points" (and thus, the concentrations), at the price of larger deviations in other regions, if the parameters of the chosen model cannot fully describe the complete data set.
The default value of zero corresponds to unitary weight for all data: |dpH/dVol|</t>
        </r>
        <r>
          <rPr>
            <vertAlign val="superscript"/>
            <sz val="12"/>
            <color indexed="81"/>
            <rFont val="Tahoma"/>
            <family val="2"/>
          </rPr>
          <t>0</t>
        </r>
        <r>
          <rPr>
            <sz val="10"/>
            <color indexed="81"/>
            <rFont val="Tahoma"/>
            <family val="2"/>
          </rPr>
          <t xml:space="preserve">=1. 
</t>
        </r>
      </text>
    </comment>
    <comment ref="S21" authorId="0" shapeId="0" xr:uid="{00000000-0006-0000-0700-000043000000}">
      <text>
        <r>
          <rPr>
            <b/>
            <sz val="8"/>
            <color indexed="81"/>
            <rFont val="Tahoma"/>
            <family val="2"/>
          </rPr>
          <t>Gutz:</t>
        </r>
        <r>
          <rPr>
            <sz val="10"/>
            <color indexed="81"/>
            <rFont val="Tahoma"/>
            <family val="2"/>
          </rPr>
          <t xml:space="preserve">
Data displayed in cells S22 to S26 refer to the titrand, after dilution, if any, but before addition of titrant. The corresponding values for the entire titration are shown in columns AT, AU, etc. starting at line 41. 
After each cycle of concentration fitting of acids and bases by non-linear regression with Solver, please click on the button "Calculate / Update</t>
        </r>
        <r>
          <rPr>
            <sz val="10"/>
            <color indexed="81"/>
            <rFont val="Bookman Old Style"/>
            <family val="1"/>
          </rPr>
          <t xml:space="preserve"> I</t>
        </r>
        <r>
          <rPr>
            <sz val="10"/>
            <color indexed="81"/>
            <rFont val="Tahoma"/>
            <family val="2"/>
          </rPr>
          <t xml:space="preserve">" (Q25 or C20) to update of this data. 
</t>
        </r>
      </text>
    </comment>
    <comment ref="T21" authorId="0" shapeId="0" xr:uid="{00000000-0006-0000-0700-000044000000}">
      <text>
        <r>
          <rPr>
            <b/>
            <sz val="8"/>
            <color indexed="81"/>
            <rFont val="Tahoma"/>
            <family val="2"/>
          </rPr>
          <t>Gutz:</t>
        </r>
        <r>
          <rPr>
            <sz val="8"/>
            <color indexed="81"/>
            <rFont val="Tahoma"/>
            <family val="2"/>
          </rPr>
          <t xml:space="preserve">
</t>
        </r>
        <r>
          <rPr>
            <sz val="10"/>
            <color indexed="81"/>
            <rFont val="Tahoma"/>
            <family val="2"/>
          </rPr>
          <t>Calculations in this column are made by clicking on G17 "Find titrant pH" and depend of the known or fitted concentrations of acids, bases and electrolytes in the titrant.</t>
        </r>
      </text>
    </comment>
    <comment ref="Q22" authorId="4" shapeId="0" xr:uid="{00000000-0006-0000-0700-000045000000}">
      <text>
        <r>
          <rPr>
            <b/>
            <sz val="8"/>
            <color indexed="81"/>
            <rFont val="Tahoma"/>
            <family val="2"/>
          </rPr>
          <t>Gutz:</t>
        </r>
        <r>
          <rPr>
            <sz val="8"/>
            <color indexed="81"/>
            <rFont val="Tahoma"/>
            <family val="2"/>
          </rPr>
          <t xml:space="preserve">
</t>
        </r>
        <r>
          <rPr>
            <sz val="10"/>
            <color indexed="81"/>
            <rFont val="Tahoma"/>
            <family val="2"/>
          </rPr>
          <t>By clicking on the button "Set I = 0" (A22 or Q23), the correction of the effect of I on the activity coefficients is switched off. 
By clicking on the button "Update I" (C22 or Q25) the correction is activated and I is updated from column AR, based on  the last regression results.</t>
        </r>
      </text>
    </comment>
    <comment ref="R23" authorId="0" shapeId="0" xr:uid="{00000000-0006-0000-0700-000046000000}">
      <text>
        <r>
          <rPr>
            <b/>
            <sz val="8"/>
            <color indexed="81"/>
            <rFont val="Tahoma"/>
            <family val="2"/>
          </rPr>
          <t>Gutz:</t>
        </r>
        <r>
          <rPr>
            <sz val="8"/>
            <color indexed="81"/>
            <rFont val="Tahoma"/>
            <family val="2"/>
          </rPr>
          <t xml:space="preserve">
</t>
        </r>
        <r>
          <rPr>
            <sz val="10"/>
            <color indexed="81"/>
            <rFont val="Tahoma"/>
            <family val="2"/>
          </rPr>
          <t>By clicking on "Calculate / Update I" (Q25) the activity coefficient of H</t>
        </r>
        <r>
          <rPr>
            <vertAlign val="superscript"/>
            <sz val="10"/>
            <color indexed="81"/>
            <rFont val="Tahoma"/>
            <family val="2"/>
          </rPr>
          <t>+</t>
        </r>
        <r>
          <rPr>
            <sz val="10"/>
            <color indexed="81"/>
            <rFont val="Tahoma"/>
            <family val="2"/>
          </rPr>
          <t xml:space="preserve"> in the Titrand and the Titrant solutions (before the first addition of titrant) are estimated with the Davies equation. Read more in cells P15, O16 andO17.
For the activity coefficients and I values during the  titration, refer to columns AT and AU from line 42 on. </t>
        </r>
      </text>
    </comment>
    <comment ref="A39" authorId="1" shapeId="0" xr:uid="{00000000-0006-0000-0700-000047000000}">
      <text>
        <r>
          <rPr>
            <b/>
            <sz val="8"/>
            <color indexed="81"/>
            <rFont val="Tahoma"/>
            <family val="2"/>
          </rPr>
          <t>Gutz:</t>
        </r>
        <r>
          <rPr>
            <sz val="8"/>
            <color indexed="81"/>
            <rFont val="Tahoma"/>
            <family val="2"/>
          </rPr>
          <t xml:space="preserve">
</t>
        </r>
        <r>
          <rPr>
            <sz val="10"/>
            <color indexed="81"/>
            <rFont val="Tahoma"/>
            <family val="2"/>
          </rPr>
          <t>Click on the Clear data button and then:</t>
        </r>
        <r>
          <rPr>
            <sz val="8"/>
            <color indexed="81"/>
            <rFont val="Tahoma"/>
            <family val="2"/>
          </rPr>
          <t xml:space="preserve">
a) </t>
        </r>
        <r>
          <rPr>
            <sz val="10"/>
            <color indexed="81"/>
            <rFont val="Tahoma"/>
            <family val="2"/>
          </rPr>
          <t xml:space="preserve">Type  or paste experimental pH vs. Volume data from real titrations or 
b) Click on one of the Simulation buttons in line 38 to copy previously simulated curves (with or without random errors).
</t>
        </r>
      </text>
    </comment>
    <comment ref="B39" authorId="1" shapeId="0" xr:uid="{00000000-0006-0000-0700-000048000000}">
      <text>
        <r>
          <rPr>
            <b/>
            <sz val="8"/>
            <color indexed="81"/>
            <rFont val="Tahoma"/>
            <family val="2"/>
          </rPr>
          <t>Gutz:</t>
        </r>
        <r>
          <rPr>
            <sz val="8"/>
            <color indexed="81"/>
            <rFont val="Tahoma"/>
            <family val="2"/>
          </rPr>
          <t xml:space="preserve">
</t>
        </r>
        <r>
          <rPr>
            <sz val="10"/>
            <color indexed="81"/>
            <rFont val="Tahoma"/>
            <family val="2"/>
          </rPr>
          <t xml:space="preserve">Copy "pH" data from the simulation (click on button at cell C38 for "clean" data or D38 for data with dispersion ) or type or paste real pH data.
</t>
        </r>
      </text>
    </comment>
    <comment ref="C39" authorId="1" shapeId="0" xr:uid="{00000000-0006-0000-0700-000049000000}">
      <text>
        <r>
          <rPr>
            <b/>
            <sz val="8"/>
            <color indexed="81"/>
            <rFont val="Tahoma"/>
            <family val="2"/>
          </rPr>
          <t>Gutz:</t>
        </r>
        <r>
          <rPr>
            <sz val="8"/>
            <color indexed="81"/>
            <rFont val="Tahoma"/>
            <family val="2"/>
          </rPr>
          <t xml:space="preserve">
</t>
        </r>
        <r>
          <rPr>
            <sz val="10"/>
            <color indexed="81"/>
            <rFont val="Tahoma"/>
            <family val="2"/>
          </rPr>
          <t>Click on button at cell E22 to calculate the pH with the fitted parameters and to overlay the fitted curve on the raw data graph.</t>
        </r>
      </text>
    </comment>
    <comment ref="D39" authorId="1" shapeId="0" xr:uid="{00000000-0006-0000-0700-00004A000000}">
      <text>
        <r>
          <rPr>
            <b/>
            <sz val="8"/>
            <color indexed="81"/>
            <rFont val="Tahoma"/>
            <family val="2"/>
          </rPr>
          <t>Gutz:</t>
        </r>
        <r>
          <rPr>
            <sz val="8"/>
            <color indexed="81"/>
            <rFont val="Tahoma"/>
            <family val="2"/>
          </rPr>
          <t xml:space="preserve">
</t>
        </r>
        <r>
          <rPr>
            <sz val="10"/>
            <color indexed="81"/>
            <rFont val="Tahoma"/>
            <family val="2"/>
          </rPr>
          <t>Free hydrated proton concentration (or activity if not corrected by clicking on button at cell C22)</t>
        </r>
      </text>
    </comment>
    <comment ref="F39" authorId="1" shapeId="0" xr:uid="{00000000-0006-0000-0700-00004B000000}">
      <text>
        <r>
          <rPr>
            <b/>
            <sz val="8"/>
            <color indexed="81"/>
            <rFont val="Tahoma"/>
            <family val="2"/>
          </rPr>
          <t>Gutz:</t>
        </r>
        <r>
          <rPr>
            <sz val="8"/>
            <color indexed="81"/>
            <rFont val="Tahoma"/>
            <family val="2"/>
          </rPr>
          <t xml:space="preserve">
</t>
        </r>
        <r>
          <rPr>
            <sz val="10"/>
            <color indexed="81"/>
            <rFont val="Tahoma"/>
            <family val="2"/>
          </rPr>
          <t xml:space="preserve">3rd parameter available for minimization during regression, with weight defined by the exponent </t>
        </r>
        <r>
          <rPr>
            <b/>
            <sz val="10"/>
            <color indexed="81"/>
            <rFont val="Tahoma"/>
            <family val="2"/>
          </rPr>
          <t>c</t>
        </r>
        <r>
          <rPr>
            <sz val="10"/>
            <color indexed="81"/>
            <rFont val="Tahoma"/>
            <family val="2"/>
          </rPr>
          <t xml:space="preserve"> in cell M20.
It consists of the difference between the measured (or simulated) pH (column B) and the pH calculated by using the regression fitted acid/base concentrations. 
pHreg can be updated after each regression with Solver by clicking  on button at cell E21. The corresponding graphic of residues is updated as well. This parameter can be ignored by setting c=0 in cell M20, or enhanced, by choosing exponent 2 instead of 1.
(May be used for temporary exclusion of a data point by entering 0 (zero); however, the original equation must be restored for later use of Regression by dragging it from the upper or lower line). </t>
        </r>
      </text>
    </comment>
    <comment ref="G39" authorId="1" shapeId="0" xr:uid="{00000000-0006-0000-0700-00004C000000}">
      <text>
        <r>
          <rPr>
            <b/>
            <sz val="8"/>
            <color indexed="81"/>
            <rFont val="Tahoma"/>
            <family val="2"/>
          </rPr>
          <t>Gutz:</t>
        </r>
        <r>
          <rPr>
            <sz val="8"/>
            <color indexed="81"/>
            <rFont val="Tahoma"/>
            <family val="2"/>
          </rPr>
          <t xml:space="preserve">
</t>
        </r>
        <r>
          <rPr>
            <sz val="10"/>
            <color indexed="81"/>
            <rFont val="Tahoma"/>
            <family val="2"/>
          </rPr>
          <t>By default, squared values of the residuals given in column H are minimized during Solver's fitting of the variable cells. See cells H20 to M20 about inclusion of pHReg-pH and dpH/dV in the data weighting scheme.</t>
        </r>
      </text>
    </comment>
    <comment ref="H39" authorId="1" shapeId="0" xr:uid="{00000000-0006-0000-0700-00004D000000}">
      <text>
        <r>
          <rPr>
            <b/>
            <sz val="8"/>
            <color indexed="81"/>
            <rFont val="Tahoma"/>
            <family val="2"/>
          </rPr>
          <t>Gutz:</t>
        </r>
        <r>
          <rPr>
            <sz val="8"/>
            <color indexed="81"/>
            <rFont val="Tahoma"/>
            <family val="2"/>
          </rPr>
          <t xml:space="preserve">
</t>
        </r>
        <r>
          <rPr>
            <sz val="10"/>
            <color indexed="81"/>
            <rFont val="Tahoma"/>
            <family val="2"/>
          </rPr>
          <t>Residue (difference) of the total H</t>
        </r>
        <r>
          <rPr>
            <vertAlign val="superscript"/>
            <sz val="10"/>
            <color indexed="81"/>
            <rFont val="Tahoma"/>
            <family val="2"/>
          </rPr>
          <t>+</t>
        </r>
        <r>
          <rPr>
            <sz val="10"/>
            <color indexed="81"/>
            <rFont val="Tahoma"/>
            <family val="2"/>
          </rPr>
          <t xml:space="preserve"> concentration fitted with the Solver (column H) and  the calculated one by the general equation (column I).</t>
        </r>
      </text>
    </comment>
    <comment ref="I39" authorId="1" shapeId="0" xr:uid="{00000000-0006-0000-0700-00004E000000}">
      <text>
        <r>
          <rPr>
            <b/>
            <sz val="8"/>
            <color indexed="81"/>
            <rFont val="Tahoma"/>
            <family val="2"/>
          </rPr>
          <t>Gutz:</t>
        </r>
        <r>
          <rPr>
            <sz val="8"/>
            <color indexed="81"/>
            <rFont val="Tahoma"/>
            <family val="2"/>
          </rPr>
          <t xml:space="preserve">
</t>
        </r>
        <r>
          <rPr>
            <sz val="10"/>
            <color indexed="81"/>
            <rFont val="Tahoma"/>
            <family val="2"/>
          </rPr>
          <t>Value of the H</t>
        </r>
        <r>
          <rPr>
            <vertAlign val="superscript"/>
            <sz val="10"/>
            <color indexed="81"/>
            <rFont val="Tahoma"/>
            <family val="2"/>
          </rPr>
          <t>+</t>
        </r>
        <r>
          <rPr>
            <sz val="10"/>
            <color indexed="81"/>
            <rFont val="Tahoma"/>
            <family val="2"/>
          </rPr>
          <t xml:space="preserve"> concentration in the titrand + titrant solution obtained by using the variable cells  fitted by the Solver.</t>
        </r>
      </text>
    </comment>
    <comment ref="J39" authorId="1" shapeId="0" xr:uid="{00000000-0006-0000-0700-00004F000000}">
      <text>
        <r>
          <rPr>
            <b/>
            <sz val="8"/>
            <color indexed="81"/>
            <rFont val="Tahoma"/>
            <family val="2"/>
          </rPr>
          <t>Gutz:</t>
        </r>
        <r>
          <rPr>
            <sz val="8"/>
            <color indexed="81"/>
            <rFont val="Tahoma"/>
            <family val="2"/>
          </rPr>
          <t xml:space="preserve">
</t>
        </r>
        <r>
          <rPr>
            <sz val="10"/>
            <color indexed="81"/>
            <rFont val="Tahoma"/>
            <family val="2"/>
          </rPr>
          <t>Total concentration of H</t>
        </r>
        <r>
          <rPr>
            <vertAlign val="superscript"/>
            <sz val="10"/>
            <color indexed="81"/>
            <rFont val="Tahoma"/>
            <family val="2"/>
          </rPr>
          <t>+</t>
        </r>
        <r>
          <rPr>
            <sz val="10"/>
            <color indexed="81"/>
            <rFont val="Tahoma"/>
            <family val="2"/>
          </rPr>
          <t xml:space="preserve"> required to satisfy all protonation equilibria in the titrand + titrant solution, using the general equation, the concentrations of line 11 and the pKas given or under refinement.</t>
        </r>
      </text>
    </comment>
    <comment ref="K39" authorId="1" shapeId="0" xr:uid="{00000000-0006-0000-0700-000050000000}">
      <text>
        <r>
          <rPr>
            <b/>
            <sz val="10"/>
            <color indexed="81"/>
            <rFont val="Tahoma"/>
            <family val="2"/>
          </rPr>
          <t>Gutz:</t>
        </r>
        <r>
          <rPr>
            <sz val="10"/>
            <color indexed="81"/>
            <rFont val="Tahoma"/>
            <family val="2"/>
          </rPr>
          <t xml:space="preserve">
Dilution factor of the titrant when added to the sample (+water). For example, when the added titrant equals the volume of the sample (+water), the factor is 0.5
</t>
        </r>
      </text>
    </comment>
    <comment ref="L39" authorId="1" shapeId="0" xr:uid="{00000000-0006-0000-0700-000051000000}">
      <text>
        <r>
          <rPr>
            <b/>
            <sz val="8"/>
            <color indexed="81"/>
            <rFont val="Tahoma"/>
            <family val="2"/>
          </rPr>
          <t>Gutz:</t>
        </r>
        <r>
          <rPr>
            <sz val="8"/>
            <color indexed="81"/>
            <rFont val="Tahoma"/>
            <family val="2"/>
          </rPr>
          <t xml:space="preserve">
</t>
        </r>
        <r>
          <rPr>
            <sz val="10"/>
            <color indexed="81"/>
            <rFont val="Tahoma"/>
            <family val="2"/>
          </rPr>
          <t>Dilution factor of the sample (plus dilution water F16, if any) that results from the addition of titrant at each point of the titration.</t>
        </r>
      </text>
    </comment>
    <comment ref="M39" authorId="1" shapeId="0" xr:uid="{00000000-0006-0000-0700-000052000000}">
      <text>
        <r>
          <rPr>
            <b/>
            <sz val="8"/>
            <color indexed="81"/>
            <rFont val="Tahoma"/>
            <family val="2"/>
          </rPr>
          <t>Gutz:</t>
        </r>
        <r>
          <rPr>
            <sz val="8"/>
            <color indexed="81"/>
            <rFont val="Tahoma"/>
            <family val="2"/>
          </rPr>
          <t xml:space="preserve">
</t>
        </r>
        <r>
          <rPr>
            <sz val="12"/>
            <color indexed="81"/>
            <rFont val="Symbol"/>
            <family val="1"/>
            <charset val="2"/>
          </rPr>
          <t>Sb</t>
        </r>
        <r>
          <rPr>
            <sz val="10"/>
            <color indexed="81"/>
            <rFont val="Tahoma"/>
            <family val="2"/>
          </rPr>
          <t>p</t>
        </r>
        <r>
          <rPr>
            <vertAlign val="subscript"/>
            <sz val="12"/>
            <color indexed="81"/>
            <rFont val="Tahoma"/>
            <family val="2"/>
          </rPr>
          <t xml:space="preserve">i </t>
        </r>
        <r>
          <rPr>
            <sz val="10"/>
            <color indexed="81"/>
            <rFont val="Tahoma"/>
            <family val="2"/>
          </rPr>
          <t>[H]</t>
        </r>
        <r>
          <rPr>
            <vertAlign val="superscript"/>
            <sz val="12"/>
            <color indexed="81"/>
            <rFont val="Tahoma"/>
            <family val="2"/>
          </rPr>
          <t>i</t>
        </r>
        <r>
          <rPr>
            <sz val="10"/>
            <color indexed="81"/>
            <rFont val="Tahoma"/>
            <family val="2"/>
          </rPr>
          <t>, the denominator of the expressions for the calculation of the average protonation number, h, and the species distribution coefficients.</t>
        </r>
      </text>
    </comment>
    <comment ref="W39" authorId="1" shapeId="0" xr:uid="{00000000-0006-0000-0700-000053000000}">
      <text>
        <r>
          <rPr>
            <b/>
            <sz val="8"/>
            <color indexed="81"/>
            <rFont val="Tahoma"/>
            <family val="2"/>
          </rPr>
          <t>Gutz:</t>
        </r>
        <r>
          <rPr>
            <sz val="8"/>
            <color indexed="81"/>
            <rFont val="Tahoma"/>
            <family val="2"/>
          </rPr>
          <t xml:space="preserve">
</t>
        </r>
        <r>
          <rPr>
            <sz val="10"/>
            <color indexed="81"/>
            <rFont val="Tahoma"/>
            <family val="2"/>
          </rPr>
          <t xml:space="preserve">Mean proton number, </t>
        </r>
        <r>
          <rPr>
            <strike/>
            <sz val="10"/>
            <color indexed="81"/>
            <rFont val="Tahoma"/>
            <family val="2"/>
          </rPr>
          <t>h</t>
        </r>
        <r>
          <rPr>
            <sz val="10"/>
            <color indexed="81"/>
            <rFont val="Tahoma"/>
            <family val="2"/>
          </rPr>
          <t xml:space="preserve">,  associated with a  base B at given pH. 
Consider HiB as partially dissociated at a given pH; </t>
        </r>
        <r>
          <rPr>
            <strike/>
            <sz val="10"/>
            <color indexed="81"/>
            <rFont val="Tahoma"/>
            <family val="2"/>
          </rPr>
          <t>h</t>
        </r>
        <r>
          <rPr>
            <sz val="10"/>
            <color indexed="81"/>
            <rFont val="Tahoma"/>
            <family val="2"/>
          </rPr>
          <t xml:space="preserve"> is the sum of the molar fraction times</t>
        </r>
        <r>
          <rPr>
            <b/>
            <sz val="10"/>
            <color indexed="81"/>
            <rFont val="Tahoma"/>
            <family val="2"/>
          </rPr>
          <t xml:space="preserve"> i</t>
        </r>
        <r>
          <rPr>
            <sz val="10"/>
            <color indexed="81"/>
            <rFont val="Tahoma"/>
            <family val="2"/>
          </rPr>
          <t xml:space="preserve"> of each species.</t>
        </r>
      </text>
    </comment>
    <comment ref="AQ39" authorId="4" shapeId="0" xr:uid="{00000000-0006-0000-0700-000054000000}">
      <text>
        <r>
          <rPr>
            <b/>
            <sz val="8"/>
            <color indexed="81"/>
            <rFont val="Tahoma"/>
            <family val="2"/>
          </rPr>
          <t>Gutz:</t>
        </r>
        <r>
          <rPr>
            <sz val="8"/>
            <color indexed="81"/>
            <rFont val="Tahoma"/>
            <family val="2"/>
          </rPr>
          <t xml:space="preserve">
</t>
        </r>
        <r>
          <rPr>
            <sz val="10"/>
            <color indexed="81"/>
            <rFont val="Tahoma"/>
            <family val="2"/>
          </rPr>
          <t xml:space="preserve">Partial ionic strength </t>
        </r>
        <r>
          <rPr>
            <b/>
            <sz val="10"/>
            <color indexed="81"/>
            <rFont val="Tahoma"/>
            <family val="2"/>
          </rPr>
          <t>I</t>
        </r>
        <r>
          <rPr>
            <sz val="10"/>
            <color indexed="81"/>
            <rFont val="Tahoma"/>
            <family val="2"/>
          </rPr>
          <t xml:space="preserve"> includes the contribution from ionic species of all protonation equilibria as well as the concentrations of dissociated H</t>
        </r>
        <r>
          <rPr>
            <vertAlign val="superscript"/>
            <sz val="10"/>
            <color indexed="81"/>
            <rFont val="Tahoma"/>
            <family val="2"/>
          </rPr>
          <t>+</t>
        </r>
        <r>
          <rPr>
            <sz val="10"/>
            <color indexed="81"/>
            <rFont val="Tahoma"/>
            <family val="2"/>
          </rPr>
          <t xml:space="preserve"> and OH</t>
        </r>
        <r>
          <rPr>
            <vertAlign val="superscript"/>
            <sz val="10"/>
            <color indexed="81"/>
            <rFont val="Tahoma"/>
            <family val="2"/>
          </rPr>
          <t>-</t>
        </r>
        <r>
          <rPr>
            <sz val="10"/>
            <color indexed="81"/>
            <rFont val="Tahoma"/>
            <family val="2"/>
          </rPr>
          <t xml:space="preserve">. Counterions and other strong electrolytes indicated in S12 to T13 are added in the next column.
</t>
        </r>
      </text>
    </comment>
    <comment ref="AR39" authorId="4" shapeId="0" xr:uid="{00000000-0006-0000-0700-000055000000}">
      <text>
        <r>
          <rPr>
            <b/>
            <sz val="8"/>
            <color indexed="81"/>
            <rFont val="Tahoma"/>
            <family val="2"/>
          </rPr>
          <t>Gutz:</t>
        </r>
        <r>
          <rPr>
            <sz val="8"/>
            <color indexed="81"/>
            <rFont val="Tahoma"/>
            <family val="2"/>
          </rPr>
          <t xml:space="preserve">
</t>
        </r>
        <r>
          <rPr>
            <sz val="10"/>
            <color indexed="81"/>
            <rFont val="Tahoma"/>
            <family val="2"/>
          </rPr>
          <t xml:space="preserve">The total ionic strength </t>
        </r>
        <r>
          <rPr>
            <b/>
            <sz val="10"/>
            <color indexed="81"/>
            <rFont val="Tahoma"/>
            <family val="2"/>
          </rPr>
          <t>I</t>
        </r>
        <r>
          <rPr>
            <sz val="10"/>
            <color indexed="81"/>
            <rFont val="Tahoma"/>
            <family val="2"/>
          </rPr>
          <t xml:space="preserve"> corresponds to </t>
        </r>
        <r>
          <rPr>
            <b/>
            <sz val="10"/>
            <color indexed="81"/>
            <rFont val="Tahoma"/>
            <family val="2"/>
          </rPr>
          <t>I</t>
        </r>
        <r>
          <rPr>
            <sz val="10"/>
            <color indexed="81"/>
            <rFont val="Tahoma"/>
            <family val="2"/>
          </rPr>
          <t xml:space="preserve"> partial (column AQ) plus the minimum concentration of counterions needed for electroneutrality of acids and bases in the sample and titrant plus contribution of other strong electrolytes indicated in S12 to T13, if any.</t>
        </r>
      </text>
    </comment>
    <comment ref="AT39" authorId="4" shapeId="0" xr:uid="{00000000-0006-0000-0700-000056000000}">
      <text>
        <r>
          <rPr>
            <b/>
            <sz val="8"/>
            <color indexed="81"/>
            <rFont val="Tahoma"/>
            <family val="2"/>
          </rPr>
          <t>Gutz:</t>
        </r>
        <r>
          <rPr>
            <sz val="8"/>
            <color indexed="81"/>
            <rFont val="Tahoma"/>
            <family val="2"/>
          </rPr>
          <t xml:space="preserve">
</t>
        </r>
        <r>
          <rPr>
            <sz val="10"/>
            <color indexed="81"/>
            <rFont val="Tahoma"/>
            <family val="2"/>
          </rPr>
          <t>By clicking on the button "Set I = 0" (A22 or Q23), the correction of the effect of I on the activity coefficients is switched off. 
By clicking on the button "Update I" (C22 or Q25) the correction is activated and I is updated from column AR, based on  the last regression results.</t>
        </r>
      </text>
    </comment>
    <comment ref="AU39" authorId="0" shapeId="0" xr:uid="{00000000-0006-0000-0700-000057000000}">
      <text>
        <r>
          <rPr>
            <b/>
            <sz val="8"/>
            <color indexed="81"/>
            <rFont val="Tahoma"/>
            <family val="2"/>
          </rPr>
          <t>Gutz:</t>
        </r>
        <r>
          <rPr>
            <sz val="8"/>
            <color indexed="81"/>
            <rFont val="Tahoma"/>
            <family val="2"/>
          </rPr>
          <t xml:space="preserve">
</t>
        </r>
        <r>
          <rPr>
            <sz val="10"/>
            <color indexed="81"/>
            <rFont val="Tahoma"/>
            <family val="2"/>
          </rPr>
          <t>Activity coefficient estimated made with the Davies equation at ionic strength I. Uncertainties are discussed in cells A23, D26 and  K15 of pH_calc</t>
        </r>
      </text>
    </comment>
    <comment ref="D41" authorId="1" shapeId="0" xr:uid="{00000000-0006-0000-0700-000058000000}">
      <text>
        <r>
          <rPr>
            <b/>
            <sz val="8"/>
            <color indexed="81"/>
            <rFont val="Tahoma"/>
            <family val="2"/>
          </rPr>
          <t>Gutz:</t>
        </r>
        <r>
          <rPr>
            <sz val="8"/>
            <color indexed="81"/>
            <rFont val="Tahoma"/>
            <family val="2"/>
          </rPr>
          <t xml:space="preserve">
</t>
        </r>
        <r>
          <rPr>
            <sz val="10"/>
            <color indexed="81"/>
            <rFont val="Tahoma"/>
            <family val="2"/>
          </rPr>
          <t>Do NOT write in this colored region! You will corrupt the equations.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Gutz</author>
    <author>Ivano Gebhardt Rolf Gutz</author>
  </authors>
  <commentList>
    <comment ref="O3" authorId="0" shapeId="0" xr:uid="{00000000-0006-0000-0800-000001000000}">
      <text>
        <r>
          <rPr>
            <b/>
            <sz val="8"/>
            <color indexed="81"/>
            <rFont val="Tahoma"/>
            <family val="2"/>
          </rPr>
          <t>Gutz:</t>
        </r>
        <r>
          <rPr>
            <sz val="8"/>
            <color indexed="81"/>
            <rFont val="Tahoma"/>
            <family val="2"/>
          </rPr>
          <t xml:space="preserve">
</t>
        </r>
        <r>
          <rPr>
            <sz val="10"/>
            <color indexed="81"/>
            <rFont val="Tahoma"/>
            <family val="2"/>
          </rPr>
          <t>Uncheck and check a curve again to update it.</t>
        </r>
      </text>
    </comment>
    <comment ref="L4" authorId="1" shapeId="0" xr:uid="{00000000-0006-0000-0800-000002000000}">
      <text>
        <r>
          <rPr>
            <b/>
            <sz val="10"/>
            <color indexed="81"/>
            <rFont val="Tahoma"/>
            <family val="2"/>
          </rPr>
          <t>Gutz:</t>
        </r>
        <r>
          <rPr>
            <sz val="10"/>
            <color indexed="81"/>
            <rFont val="Tahoma"/>
            <family val="2"/>
          </rPr>
          <t xml:space="preserve">
Click twice on the volume or pH scale to redefine it.
Use Ctrl+Z (as many times as needed) to undo scale expansion</t>
        </r>
      </text>
    </comment>
    <comment ref="O4" authorId="1" shapeId="0" xr:uid="{00000000-0006-0000-0800-000003000000}">
      <text>
        <r>
          <rPr>
            <b/>
            <sz val="8"/>
            <color indexed="81"/>
            <rFont val="Tahoma"/>
            <family val="2"/>
          </rPr>
          <t>Gutz:</t>
        </r>
        <r>
          <rPr>
            <sz val="8"/>
            <color indexed="81"/>
            <rFont val="Tahoma"/>
            <family val="2"/>
          </rPr>
          <t xml:space="preserve">
</t>
        </r>
        <r>
          <rPr>
            <sz val="10"/>
            <color indexed="81"/>
            <rFont val="Tahoma"/>
            <family val="2"/>
          </rPr>
          <t>Click once on the graphic area, hover the mouse on any data point to readout its ID and coordinates.</t>
        </r>
      </text>
    </comment>
    <comment ref="L5" authorId="1" shapeId="0" xr:uid="{00000000-0006-0000-0800-000004000000}">
      <text>
        <r>
          <rPr>
            <b/>
            <sz val="8"/>
            <color indexed="81"/>
            <rFont val="Tahoma"/>
            <family val="2"/>
          </rPr>
          <t>Gutz:</t>
        </r>
        <r>
          <rPr>
            <sz val="8"/>
            <color indexed="81"/>
            <rFont val="Tahoma"/>
            <family val="2"/>
          </rPr>
          <t xml:space="preserve">
</t>
        </r>
        <r>
          <rPr>
            <sz val="10"/>
            <color indexed="81"/>
            <rFont val="Tahoma"/>
            <family val="2"/>
          </rPr>
          <t>To copy graphics with one or more curves and paste them into other documents (e.g.: Word or Excel) without links to the original:
- Fill out the header of the graphic;
- Click in the box of the graphic near the margins, to select it;
- (only for Excel older than version 12 from 2007: replot at least one curve - uncheck / check again);
- Press Ctrl+C and wait processing; 
- Switch to the Word (Excel) document; 
- Select Insert/Paste Special/Picture (enhanced metafile).</t>
        </r>
      </text>
    </comment>
  </commentList>
</comments>
</file>

<file path=xl/sharedStrings.xml><?xml version="1.0" encoding="utf-8"?>
<sst xmlns="http://schemas.openxmlformats.org/spreadsheetml/2006/main" count="1864" uniqueCount="1149">
  <si>
    <r>
      <t xml:space="preserve"> pKa</t>
    </r>
    <r>
      <rPr>
        <sz val="11"/>
        <rFont val="Arial"/>
        <family val="2"/>
      </rPr>
      <t>s</t>
    </r>
    <r>
      <rPr>
        <sz val="11"/>
        <color indexed="10"/>
        <rFont val="Arial"/>
        <family val="2"/>
      </rPr>
      <t xml:space="preserve"> </t>
    </r>
    <r>
      <rPr>
        <b/>
        <sz val="11"/>
        <rFont val="Arial"/>
        <family val="2"/>
      </rPr>
      <t>of the acids and bases in the solution</t>
    </r>
  </si>
  <si>
    <r>
      <t xml:space="preserve">          Overall protonation constants = </t>
    </r>
    <r>
      <rPr>
        <b/>
        <sz val="11"/>
        <rFont val="Symbol"/>
        <family val="1"/>
        <charset val="2"/>
      </rPr>
      <t>b</t>
    </r>
    <r>
      <rPr>
        <b/>
        <sz val="11"/>
        <rFont val="Arial"/>
        <family val="2"/>
      </rPr>
      <t xml:space="preserve">p = </t>
    </r>
    <r>
      <rPr>
        <b/>
        <sz val="11"/>
        <rFont val="Symbol"/>
        <family val="1"/>
        <charset val="2"/>
      </rPr>
      <t>P</t>
    </r>
    <r>
      <rPr>
        <b/>
        <sz val="11"/>
        <rFont val="Arial"/>
        <family val="2"/>
      </rPr>
      <t xml:space="preserve">Kp </t>
    </r>
    <r>
      <rPr>
        <sz val="11"/>
        <rFont val="Arial"/>
        <family val="2"/>
      </rPr>
      <t>(calculated by the program)</t>
    </r>
  </si>
  <si>
    <t>How to change the axis of a curve</t>
  </si>
  <si>
    <t>Data ID on curves</t>
  </si>
  <si>
    <t>How to copy/paste a curve</t>
  </si>
  <si>
    <t xml:space="preserve">       Source of data to plot/overlay</t>
  </si>
  <si>
    <t>Simulation</t>
  </si>
  <si>
    <t>Simulation with dispersion (random errors)</t>
  </si>
  <si>
    <t>Evaluation</t>
  </si>
  <si>
    <t>Evaluation with smoothing/interpolation</t>
  </si>
  <si>
    <t>Regression raw data</t>
  </si>
  <si>
    <t>Regression fitted curve</t>
  </si>
  <si>
    <t xml:space="preserve">Titration curves and first derivatives overlay </t>
  </si>
  <si>
    <r>
      <t>Dr. Ivano Gebhardt Rolf Gutz</t>
    </r>
    <r>
      <rPr>
        <sz val="12"/>
        <rFont val="Arial"/>
        <family val="2"/>
      </rPr>
      <t xml:space="preserve"> -  Full Professor (since 1992)</t>
    </r>
  </si>
  <si>
    <t>Instituto de Química - Universidade de São Paulo, São Paulo, SP, Brazil</t>
  </si>
  <si>
    <t>Member of the Editorial Boards of Talanta (2005-2007) and Electrochemistry Communications (2005 --&gt;)</t>
  </si>
  <si>
    <t>Honored with the National Order of Scientific Merit, Brazil, 2007</t>
  </si>
  <si>
    <t xml:space="preserve">  Results at chemical equilibrium</t>
  </si>
  <si>
    <t>Acid / Base protonation</t>
  </si>
  <si>
    <r>
      <t xml:space="preserve"> Equilibrium concentration of species</t>
    </r>
    <r>
      <rPr>
        <sz val="11"/>
        <rFont val="Arial"/>
        <family val="2"/>
      </rPr>
      <t>, in mol/L</t>
    </r>
  </si>
  <si>
    <r>
      <t xml:space="preserve"> Species distribution </t>
    </r>
    <r>
      <rPr>
        <sz val="11"/>
        <rFont val="Arial"/>
        <family val="2"/>
      </rPr>
      <t>(fractional composition, in %)</t>
    </r>
  </si>
  <si>
    <r>
      <t xml:space="preserve"> Activity coefficient </t>
    </r>
    <r>
      <rPr>
        <sz val="11"/>
        <rFont val="Arial"/>
        <family val="2"/>
      </rPr>
      <t>(</t>
    </r>
    <r>
      <rPr>
        <sz val="11"/>
        <rFont val="Symbol"/>
        <family val="1"/>
        <charset val="2"/>
      </rPr>
      <t>g</t>
    </r>
    <r>
      <rPr>
        <sz val="11"/>
        <rFont val="Arial"/>
        <family val="2"/>
      </rPr>
      <t>)</t>
    </r>
    <r>
      <rPr>
        <b/>
        <sz val="11"/>
        <rFont val="Arial"/>
        <family val="2"/>
      </rPr>
      <t xml:space="preserve"> of species</t>
    </r>
  </si>
  <si>
    <t>Acid / Base  protonation</t>
  </si>
  <si>
    <t xml:space="preserve">                Database of dissociation constants of acids / protonation constants of bases</t>
  </si>
  <si>
    <t>Dissociation constants of organic compounds (~600 compounds)</t>
  </si>
  <si>
    <t>Temperature dependence of potassium hydrogen phtalate 0.05 mol/kg buffer</t>
  </si>
  <si>
    <t>Charge, fully</t>
  </si>
  <si>
    <t>Ionic</t>
  </si>
  <si>
    <t>deprotonated</t>
  </si>
  <si>
    <t>strength</t>
  </si>
  <si>
    <t xml:space="preserve">F R E Q U E N T L Y    U S E D </t>
  </si>
  <si>
    <t xml:space="preserve">A L P H A B E T I C   O R D E R </t>
  </si>
  <si>
    <t xml:space="preserve">   Insert new lines anywere to add more systems; renumber column B</t>
  </si>
  <si>
    <t>Find more values in the references and links</t>
  </si>
  <si>
    <t>CHtot =</t>
  </si>
  <si>
    <t>"pH"</t>
  </si>
  <si>
    <t xml:space="preserve">C6H6O3S </t>
  </si>
  <si>
    <t xml:space="preserve">Benzenesulfonic acid </t>
  </si>
  <si>
    <t xml:space="preserve">C6H7N </t>
  </si>
  <si>
    <t xml:space="preserve">2-Methylpyridine </t>
  </si>
  <si>
    <t xml:space="preserve">3-Methylpyridine </t>
  </si>
  <si>
    <t xml:space="preserve">4-Methylpyridine </t>
  </si>
  <si>
    <t xml:space="preserve">C6H8O6 </t>
  </si>
  <si>
    <t xml:space="preserve">Ascorbic acid </t>
  </si>
  <si>
    <t xml:space="preserve">C6H8O7 </t>
  </si>
  <si>
    <t xml:space="preserve">Isocitric acid </t>
  </si>
  <si>
    <t xml:space="preserve">C6H9N3O2 </t>
  </si>
  <si>
    <t xml:space="preserve">C6H10O4 </t>
  </si>
  <si>
    <t xml:space="preserve">Adipic acid </t>
  </si>
  <si>
    <t xml:space="preserve">C6H12O2 </t>
  </si>
  <si>
    <t xml:space="preserve">Hexanoic acid </t>
  </si>
  <si>
    <t xml:space="preserve">4-Methylpentanoic acid </t>
  </si>
  <si>
    <t xml:space="preserve">C6H13N </t>
  </si>
  <si>
    <t xml:space="preserve">1-Methylpiperidine </t>
  </si>
  <si>
    <t xml:space="preserve">C6H13NO2 </t>
  </si>
  <si>
    <t xml:space="preserve">6-Aminohexanoic acid </t>
  </si>
  <si>
    <t xml:space="preserve">C6H14N2O2 </t>
  </si>
  <si>
    <t xml:space="preserve">Lysine </t>
  </si>
  <si>
    <t xml:space="preserve">C6H14N4O2 </t>
  </si>
  <si>
    <t xml:space="preserve">C6H15N </t>
  </si>
  <si>
    <t xml:space="preserve">Diisopropylamine </t>
  </si>
  <si>
    <t xml:space="preserve">Hexylamine </t>
  </si>
  <si>
    <t xml:space="preserve">C6H16N2 </t>
  </si>
  <si>
    <t xml:space="preserve">Hexamethylenediamine </t>
  </si>
  <si>
    <t xml:space="preserve">C7H5CIO2 </t>
  </si>
  <si>
    <t xml:space="preserve">2-Chlorobenzoic acid </t>
  </si>
  <si>
    <t xml:space="preserve">3-Chlorobenzoic acid </t>
  </si>
  <si>
    <t xml:space="preserve">4-Chlorobenzoic acid </t>
  </si>
  <si>
    <t xml:space="preserve">C7H5NO3S </t>
  </si>
  <si>
    <t xml:space="preserve">Saccharin </t>
  </si>
  <si>
    <t xml:space="preserve">C7H5NO4 </t>
  </si>
  <si>
    <t xml:space="preserve">Dinicotinic acid </t>
  </si>
  <si>
    <t xml:space="preserve">Dipicolinic acid </t>
  </si>
  <si>
    <t xml:space="preserve">4-Nitrobenzoic acid </t>
  </si>
  <si>
    <t xml:space="preserve">C7H6O2 </t>
  </si>
  <si>
    <t xml:space="preserve">Benzoic acid </t>
  </si>
  <si>
    <t xml:space="preserve">C7H6O3 </t>
  </si>
  <si>
    <t xml:space="preserve">m-Hydroxybenzoic acid </t>
  </si>
  <si>
    <t xml:space="preserve">p-Hydroxybenzoic acid </t>
  </si>
  <si>
    <t xml:space="preserve">C7H7NO2 </t>
  </si>
  <si>
    <t xml:space="preserve">2-Aminobenzoic acid </t>
  </si>
  <si>
    <t xml:space="preserve">4-Animobenzoic acid </t>
  </si>
  <si>
    <t xml:space="preserve">C7H8O </t>
  </si>
  <si>
    <t xml:space="preserve">m-Cresol </t>
  </si>
  <si>
    <t xml:space="preserve">p-Cresol </t>
  </si>
  <si>
    <t xml:space="preserve">C7H9N </t>
  </si>
  <si>
    <t xml:space="preserve">Benzylamine </t>
  </si>
  <si>
    <t xml:space="preserve">2-Ethylpyridine </t>
  </si>
  <si>
    <t xml:space="preserve">C7H12O4 </t>
  </si>
  <si>
    <t xml:space="preserve">Heptanedioic acid </t>
  </si>
  <si>
    <t xml:space="preserve">C7H14O2 </t>
  </si>
  <si>
    <t xml:space="preserve">Heptanoic acid </t>
  </si>
  <si>
    <t xml:space="preserve">C7H17N </t>
  </si>
  <si>
    <t xml:space="preserve">Heptylamine </t>
  </si>
  <si>
    <t xml:space="preserve">C8H6O4 </t>
  </si>
  <si>
    <t xml:space="preserve">m-Phthalic acid </t>
  </si>
  <si>
    <t xml:space="preserve">p-Phthalic acid </t>
  </si>
  <si>
    <t xml:space="preserve">Terephthalic acid </t>
  </si>
  <si>
    <t xml:space="preserve">C8H8N2 </t>
  </si>
  <si>
    <t xml:space="preserve">2-Methylbenzimidazole </t>
  </si>
  <si>
    <t xml:space="preserve">C8H8O2 </t>
  </si>
  <si>
    <t xml:space="preserve">Phenylacetic acid </t>
  </si>
  <si>
    <t xml:space="preserve">o-Toluic acid </t>
  </si>
  <si>
    <t xml:space="preserve">m-Toluic acid </t>
  </si>
  <si>
    <t xml:space="preserve">p-Toluic acid </t>
  </si>
  <si>
    <t xml:space="preserve">C8H9NO2 </t>
  </si>
  <si>
    <t xml:space="preserve">Phenylglycine </t>
  </si>
  <si>
    <t xml:space="preserve">C8H11N </t>
  </si>
  <si>
    <t xml:space="preserve">Phenylethylamine </t>
  </si>
  <si>
    <t xml:space="preserve">C8H11NO </t>
  </si>
  <si>
    <t xml:space="preserve">o-Phenetidine </t>
  </si>
  <si>
    <t xml:space="preserve">m-Phenetidine </t>
  </si>
  <si>
    <t xml:space="preserve">p-Phenetidine </t>
  </si>
  <si>
    <t xml:space="preserve">Tyramine </t>
  </si>
  <si>
    <t xml:space="preserve">C8H11NO2 </t>
  </si>
  <si>
    <t xml:space="preserve">Dopamine </t>
  </si>
  <si>
    <t xml:space="preserve">C8H11NO3 </t>
  </si>
  <si>
    <t xml:space="preserve">Noradrenaline </t>
  </si>
  <si>
    <t xml:space="preserve">C8H12N2O3 </t>
  </si>
  <si>
    <t xml:space="preserve">C8H14O4 </t>
  </si>
  <si>
    <t xml:space="preserve">Octanedioic acid </t>
  </si>
  <si>
    <t xml:space="preserve">C8H16O2 </t>
  </si>
  <si>
    <t xml:space="preserve">Octanoic acid </t>
  </si>
  <si>
    <t xml:space="preserve">C9H7N </t>
  </si>
  <si>
    <t xml:space="preserve">Quinoline </t>
  </si>
  <si>
    <t>Martell, A. E., Smith, R. M., Critical Stability Constants, Vol. 1–4. Plenum Press: New York, 1976.</t>
  </si>
  <si>
    <t>Phosphoric acid</t>
  </si>
  <si>
    <t>Sulfurous acid</t>
  </si>
  <si>
    <t>Acetic acid</t>
  </si>
  <si>
    <t>Ammonia</t>
  </si>
  <si>
    <t>Perrin, D. D., Dissociation Constants of Organic Bases in Aqueous Solution, Butterworths, London, 1965; Supplement, 1972.</t>
  </si>
  <si>
    <t>Serjeant, E. P., and Dempsey, B., Ionization Constants of Organic Acids in Aqueous Solution, Pergamon, Oxford, 1979.</t>
  </si>
  <si>
    <t xml:space="preserve">Albert, A., "Ionization Constants of Heterocyclic Substances", in Physical Methods in Heterocyclic Chemistry, Katritzky, A. R., Ed., Academic Press, New York, 1963. </t>
  </si>
  <si>
    <t>Perrin, D. D., Dempsey, B., and Serjeant, E. P., pKa Prediction for Organic Acids and Bases, Chapman &amp; Hall, London, 1981.</t>
  </si>
  <si>
    <t>Dawson, R. M. C., Elliot, D. C., Elliot, W. H., and Jones, K. M., Data for Biochemical Research, Oxford Science Publications, Oxford, 1986.</t>
  </si>
  <si>
    <t>http://research.chem.psu.edu/brpgroup/pKa_compilation.pdf</t>
  </si>
  <si>
    <t>Citric acid</t>
  </si>
  <si>
    <t>Temperat.</t>
  </si>
  <si>
    <r>
      <t>pKa</t>
    </r>
    <r>
      <rPr>
        <vertAlign val="subscript"/>
        <sz val="10"/>
        <rFont val="Arial"/>
        <family val="2"/>
      </rPr>
      <t>1</t>
    </r>
  </si>
  <si>
    <r>
      <t>pKa</t>
    </r>
    <r>
      <rPr>
        <vertAlign val="subscript"/>
        <sz val="10"/>
        <rFont val="Arial"/>
        <family val="2"/>
      </rPr>
      <t>2</t>
    </r>
  </si>
  <si>
    <r>
      <t>pKa</t>
    </r>
    <r>
      <rPr>
        <vertAlign val="subscript"/>
        <sz val="10"/>
        <rFont val="Arial"/>
        <family val="2"/>
      </rPr>
      <t>3</t>
    </r>
  </si>
  <si>
    <r>
      <t>pKa</t>
    </r>
    <r>
      <rPr>
        <vertAlign val="subscript"/>
        <sz val="10"/>
        <rFont val="Arial"/>
        <family val="2"/>
      </rPr>
      <t>4</t>
    </r>
  </si>
  <si>
    <r>
      <t>pKa</t>
    </r>
    <r>
      <rPr>
        <vertAlign val="subscript"/>
        <sz val="10"/>
        <rFont val="Arial"/>
        <family val="2"/>
      </rPr>
      <t>5</t>
    </r>
  </si>
  <si>
    <r>
      <t>pKa</t>
    </r>
    <r>
      <rPr>
        <vertAlign val="subscript"/>
        <sz val="10"/>
        <rFont val="Arial"/>
        <family val="2"/>
      </rPr>
      <t>6</t>
    </r>
  </si>
  <si>
    <t>ºC</t>
  </si>
  <si>
    <t>g/mol</t>
  </si>
  <si>
    <t>C10H16N2O8</t>
  </si>
  <si>
    <t>H3PO4</t>
  </si>
  <si>
    <t>CH3COOH</t>
  </si>
  <si>
    <t xml:space="preserve">Alanine </t>
  </si>
  <si>
    <t>C3H7NO2</t>
  </si>
  <si>
    <t>2-Aminophenol</t>
  </si>
  <si>
    <t>C6H7NO</t>
  </si>
  <si>
    <r>
      <t>b</t>
    </r>
    <r>
      <rPr>
        <sz val="10"/>
        <rFont val="Arial"/>
        <family val="2"/>
      </rPr>
      <t xml:space="preserve">-Alanine </t>
    </r>
  </si>
  <si>
    <t>Arginine</t>
  </si>
  <si>
    <t xml:space="preserve">Arsenic acid </t>
  </si>
  <si>
    <t>Arsenous acid</t>
  </si>
  <si>
    <t>Asparagine</t>
  </si>
  <si>
    <t>Barbital</t>
  </si>
  <si>
    <t xml:space="preserve">Boric acid </t>
  </si>
  <si>
    <t>H3BO3</t>
  </si>
  <si>
    <t>Carbonic acid</t>
  </si>
  <si>
    <t>Catechol</t>
  </si>
  <si>
    <t>C6H4(OH)2</t>
  </si>
  <si>
    <t>Chloroacetic acid</t>
  </si>
  <si>
    <t>ClCH2COOH</t>
  </si>
  <si>
    <t>Chromic acid</t>
  </si>
  <si>
    <t>H2CrO4</t>
  </si>
  <si>
    <t xml:space="preserve">O-Cresol </t>
  </si>
  <si>
    <t>Cupferron</t>
  </si>
  <si>
    <t>C6H6N2O</t>
  </si>
  <si>
    <t>Cyanic acid</t>
  </si>
  <si>
    <t>Dichloroacetic acid</t>
  </si>
  <si>
    <t>Cl2CHCOOH</t>
  </si>
  <si>
    <t>Diethylamine</t>
  </si>
  <si>
    <t>(CH3CH2)2NH</t>
  </si>
  <si>
    <t>Dimethylamine</t>
  </si>
  <si>
    <t>(CH3)2NH</t>
  </si>
  <si>
    <t>C4H12O2N2</t>
  </si>
  <si>
    <t>Ethylamine</t>
  </si>
  <si>
    <t>CH3CH2NH2</t>
  </si>
  <si>
    <t>Ethylenediamine</t>
  </si>
  <si>
    <t>H2NCH2CH2NH2</t>
  </si>
  <si>
    <t>Ethylenediaminetetraacetic acid (EDTA)</t>
  </si>
  <si>
    <t>HCOOH</t>
  </si>
  <si>
    <t>Fumaric acid</t>
  </si>
  <si>
    <t xml:space="preserve">L-Glutathione </t>
  </si>
  <si>
    <t>Glycine</t>
  </si>
  <si>
    <t>H2NCH2COOH</t>
  </si>
  <si>
    <t>Glycolic acid</t>
  </si>
  <si>
    <t>HOCH2COOH</t>
  </si>
  <si>
    <t>Glyoxylic acid</t>
  </si>
  <si>
    <t>Histidine</t>
  </si>
  <si>
    <t>Hydrogen bromide</t>
  </si>
  <si>
    <t>Hydrogen chloride</t>
  </si>
  <si>
    <t xml:space="preserve">Hydrogen chromate ion </t>
  </si>
  <si>
    <t>Hydrogen cyanide</t>
  </si>
  <si>
    <t>Hydrogen fluoride</t>
  </si>
  <si>
    <t>H2O2</t>
  </si>
  <si>
    <t>H2S</t>
  </si>
  <si>
    <t xml:space="preserve">Hydrogen thiocyanate </t>
  </si>
  <si>
    <t>HSCN</t>
  </si>
  <si>
    <t>Hydroxylamine</t>
  </si>
  <si>
    <t>NH2OH</t>
  </si>
  <si>
    <t>8-Hydroxyquinoline</t>
  </si>
  <si>
    <t>HOBr</t>
  </si>
  <si>
    <t>HOCl</t>
  </si>
  <si>
    <t>HOI</t>
  </si>
  <si>
    <t xml:space="preserve">Imidazole </t>
  </si>
  <si>
    <t>Iodic acid</t>
  </si>
  <si>
    <t>HIO3</t>
  </si>
  <si>
    <t>Isoleucine</t>
  </si>
  <si>
    <t>Lactic acid</t>
  </si>
  <si>
    <t xml:space="preserve">l-Leucine </t>
  </si>
  <si>
    <t>Malonic acid</t>
  </si>
  <si>
    <t>HOOCCH2COOH</t>
  </si>
  <si>
    <t xml:space="preserve">Methylmalonic acid </t>
  </si>
  <si>
    <t>Nitrilotriacetic acid</t>
  </si>
  <si>
    <t>2-Nitrobenzoic acid</t>
  </si>
  <si>
    <t>2-Nitrophenol</t>
  </si>
  <si>
    <t>3-Nitrophenol</t>
  </si>
  <si>
    <t>3-Nitrobenzoic acid</t>
  </si>
  <si>
    <t>Nitrous acid</t>
  </si>
  <si>
    <t>HNO2</t>
  </si>
  <si>
    <t>Oxalic acid</t>
  </si>
  <si>
    <t>Perchloric acid</t>
  </si>
  <si>
    <t>HClO4</t>
  </si>
  <si>
    <t>Phenol</t>
  </si>
  <si>
    <t>o-Phthalic acid</t>
  </si>
  <si>
    <t>Piperidine</t>
  </si>
  <si>
    <t>C5H11N</t>
  </si>
  <si>
    <t>Proline</t>
  </si>
  <si>
    <t>C5H9NO2</t>
  </si>
  <si>
    <t>Propanoic acid</t>
  </si>
  <si>
    <t>CH3CH2COOH</t>
  </si>
  <si>
    <t>Propylamine</t>
  </si>
  <si>
    <t>CH3CH2CH2NH2</t>
  </si>
  <si>
    <t>Pyridine</t>
  </si>
  <si>
    <t>C5H5N</t>
  </si>
  <si>
    <t xml:space="preserve">Pyrimidine </t>
  </si>
  <si>
    <t>Resorcinol</t>
  </si>
  <si>
    <t>Salicylic acid</t>
  </si>
  <si>
    <t>Selenic acid</t>
  </si>
  <si>
    <t>H2SeO4</t>
  </si>
  <si>
    <t>Selenous acid</t>
  </si>
  <si>
    <t>C3H7NO3</t>
  </si>
  <si>
    <t>o-Silicic acid</t>
  </si>
  <si>
    <t>H4SiO4</t>
  </si>
  <si>
    <t>m-Silicic acid</t>
  </si>
  <si>
    <t>H2SiO3</t>
  </si>
  <si>
    <t>Succinic acid</t>
  </si>
  <si>
    <t>HOOCCH2CH2COOH</t>
  </si>
  <si>
    <t>Sulfuric acid</t>
  </si>
  <si>
    <t>H2SO3</t>
  </si>
  <si>
    <t>d-Tartaric acid</t>
  </si>
  <si>
    <t>Thiosulfuric acid</t>
  </si>
  <si>
    <t>H2S2O3</t>
  </si>
  <si>
    <t>Threonine</t>
  </si>
  <si>
    <t>C4H9NO3</t>
  </si>
  <si>
    <t>Trichloroacetic acid</t>
  </si>
  <si>
    <t>Cl3CCOOH</t>
  </si>
  <si>
    <t>Triethanolamine</t>
  </si>
  <si>
    <t>(HOCH2CH2)3NH</t>
  </si>
  <si>
    <t>Triethylamine</t>
  </si>
  <si>
    <t>(CH3CH2)3NH</t>
  </si>
  <si>
    <t>Trimethylamine</t>
  </si>
  <si>
    <t>(CH3)3NH</t>
  </si>
  <si>
    <t>Tris(hydroxymethyl)- aminomethane (tris)</t>
  </si>
  <si>
    <t>(HOCH2)3CNH3</t>
  </si>
  <si>
    <t>Tryptophan</t>
  </si>
  <si>
    <t xml:space="preserve">C9H11NO2 </t>
  </si>
  <si>
    <t xml:space="preserve">Phenylalanine </t>
  </si>
  <si>
    <t xml:space="preserve">C9H11NO3 </t>
  </si>
  <si>
    <t xml:space="preserve">Tyrosine </t>
  </si>
  <si>
    <t xml:space="preserve">C10H8O </t>
  </si>
  <si>
    <t xml:space="preserve">1-Naphthol </t>
  </si>
  <si>
    <t xml:space="preserve">2-Naphthol </t>
  </si>
  <si>
    <t xml:space="preserve">C10H14N2 </t>
  </si>
  <si>
    <t xml:space="preserve">Nicotine </t>
  </si>
  <si>
    <t xml:space="preserve">C10H15NO </t>
  </si>
  <si>
    <t xml:space="preserve">d-Ephedrine </t>
  </si>
  <si>
    <t xml:space="preserve">l-Ephedrine </t>
  </si>
  <si>
    <t xml:space="preserve">C10H17N3O6S </t>
  </si>
  <si>
    <t xml:space="preserve">C10H23N </t>
  </si>
  <si>
    <t xml:space="preserve">Decylamine </t>
  </si>
  <si>
    <t xml:space="preserve">C11H8N2 </t>
  </si>
  <si>
    <t xml:space="preserve">C11H11N </t>
  </si>
  <si>
    <t xml:space="preserve">Methyl-1-naphthylamine </t>
  </si>
  <si>
    <t xml:space="preserve">C11H12N2O2 </t>
  </si>
  <si>
    <t xml:space="preserve">C11H16N2O2 </t>
  </si>
  <si>
    <t xml:space="preserve">Pilocarpine </t>
  </si>
  <si>
    <t xml:space="preserve">C12H8N2 </t>
  </si>
  <si>
    <t xml:space="preserve">1,10-Phenanthroline </t>
  </si>
  <si>
    <t xml:space="preserve">C12H11N </t>
  </si>
  <si>
    <t xml:space="preserve">2-Benzylpyridine </t>
  </si>
  <si>
    <t xml:space="preserve">Diphenylamine </t>
  </si>
  <si>
    <t xml:space="preserve">C17H19NO3 </t>
  </si>
  <si>
    <t xml:space="preserve">Morphine </t>
  </si>
  <si>
    <t xml:space="preserve">C18H21NO3 </t>
  </si>
  <si>
    <t xml:space="preserve">Codeine </t>
  </si>
  <si>
    <t xml:space="preserve">C18H39N </t>
  </si>
  <si>
    <t xml:space="preserve">Octadecylamine </t>
  </si>
  <si>
    <t xml:space="preserve">C20H21NO4 </t>
  </si>
  <si>
    <t xml:space="preserve">Papaverine </t>
  </si>
  <si>
    <t xml:space="preserve">C20H24N2O2 </t>
  </si>
  <si>
    <t xml:space="preserve">Quinine </t>
  </si>
  <si>
    <t xml:space="preserve">C21H22N2O2 </t>
  </si>
  <si>
    <t xml:space="preserve">Strychnine </t>
  </si>
  <si>
    <t>dpH/dVol</t>
  </si>
  <si>
    <t>Hypochlorous</t>
  </si>
  <si>
    <t>Hypobromous</t>
  </si>
  <si>
    <t>Hypoiodous</t>
  </si>
  <si>
    <t>Hydrogen sulfide</t>
  </si>
  <si>
    <t>Hydrogen peroxide</t>
  </si>
  <si>
    <t>gutz@iq.usp.br</t>
  </si>
  <si>
    <t>dpH/dV</t>
  </si>
  <si>
    <t>S pH=</t>
  </si>
  <si>
    <t>S Vol=</t>
  </si>
  <si>
    <r>
      <t>[H</t>
    </r>
    <r>
      <rPr>
        <vertAlign val="subscript"/>
        <sz val="11"/>
        <rFont val="Arial"/>
        <family val="2"/>
      </rPr>
      <t>4</t>
    </r>
    <r>
      <rPr>
        <sz val="10"/>
        <rFont val="Arial"/>
        <family val="2"/>
      </rPr>
      <t>B]</t>
    </r>
  </si>
  <si>
    <r>
      <t>[H</t>
    </r>
    <r>
      <rPr>
        <vertAlign val="subscript"/>
        <sz val="11"/>
        <rFont val="Arial"/>
        <family val="2"/>
      </rPr>
      <t>6</t>
    </r>
    <r>
      <rPr>
        <sz val="10"/>
        <rFont val="Arial"/>
        <family val="2"/>
      </rPr>
      <t>B]</t>
    </r>
  </si>
  <si>
    <t>B</t>
  </si>
  <si>
    <t>HB</t>
  </si>
  <si>
    <r>
      <t>H</t>
    </r>
    <r>
      <rPr>
        <sz val="10"/>
        <rFont val="Arial"/>
        <family val="2"/>
      </rPr>
      <t>2</t>
    </r>
    <r>
      <rPr>
        <sz val="12"/>
        <rFont val="Arial"/>
        <family val="2"/>
      </rPr>
      <t>B</t>
    </r>
  </si>
  <si>
    <r>
      <t>H</t>
    </r>
    <r>
      <rPr>
        <sz val="10"/>
        <rFont val="Arial"/>
        <family val="2"/>
      </rPr>
      <t>3</t>
    </r>
    <r>
      <rPr>
        <sz val="12"/>
        <rFont val="Arial"/>
        <family val="2"/>
      </rPr>
      <t>B</t>
    </r>
  </si>
  <si>
    <r>
      <t>H</t>
    </r>
    <r>
      <rPr>
        <sz val="10"/>
        <rFont val="Arial"/>
        <family val="2"/>
      </rPr>
      <t>4</t>
    </r>
    <r>
      <rPr>
        <sz val="12"/>
        <rFont val="Arial"/>
        <family val="2"/>
      </rPr>
      <t>B</t>
    </r>
  </si>
  <si>
    <r>
      <t>H</t>
    </r>
    <r>
      <rPr>
        <sz val="10"/>
        <rFont val="Arial"/>
        <family val="2"/>
      </rPr>
      <t>5</t>
    </r>
    <r>
      <rPr>
        <sz val="12"/>
        <rFont val="Arial"/>
        <family val="2"/>
      </rPr>
      <t>B</t>
    </r>
  </si>
  <si>
    <r>
      <t>H</t>
    </r>
    <r>
      <rPr>
        <sz val="10"/>
        <rFont val="Arial"/>
        <family val="2"/>
      </rPr>
      <t>6</t>
    </r>
    <r>
      <rPr>
        <sz val="12"/>
        <rFont val="Arial"/>
        <family val="2"/>
      </rPr>
      <t>B</t>
    </r>
  </si>
  <si>
    <t>Volume</t>
  </si>
  <si>
    <t>HI</t>
  </si>
  <si>
    <t>HCl</t>
  </si>
  <si>
    <t>HF</t>
  </si>
  <si>
    <t>H2CO3</t>
  </si>
  <si>
    <t>HCN</t>
  </si>
  <si>
    <t>EDTA</t>
  </si>
  <si>
    <t>pH</t>
  </si>
  <si>
    <t>[B]</t>
  </si>
  <si>
    <t>[HB]</t>
  </si>
  <si>
    <r>
      <t>S</t>
    </r>
    <r>
      <rPr>
        <sz val="10"/>
        <rFont val="Arial"/>
        <family val="2"/>
      </rPr>
      <t>[H]</t>
    </r>
  </si>
  <si>
    <t>pKw</t>
  </si>
  <si>
    <t>Kw</t>
  </si>
  <si>
    <t>h1</t>
  </si>
  <si>
    <t>h2</t>
  </si>
  <si>
    <t>h3</t>
  </si>
  <si>
    <t>h4</t>
  </si>
  <si>
    <t>h5</t>
  </si>
  <si>
    <t>h6</t>
  </si>
  <si>
    <t>NH3</t>
  </si>
  <si>
    <t>h7</t>
  </si>
  <si>
    <t>SS</t>
  </si>
  <si>
    <t>CHcalc</t>
  </si>
  <si>
    <r>
      <t>SS</t>
    </r>
    <r>
      <rPr>
        <sz val="10"/>
        <rFont val="Arial"/>
        <family val="2"/>
      </rPr>
      <t>[bases]</t>
    </r>
  </si>
  <si>
    <t>Total</t>
  </si>
  <si>
    <t xml:space="preserve"> </t>
  </si>
  <si>
    <t xml:space="preserve">H3AsO4 </t>
  </si>
  <si>
    <t xml:space="preserve">H3AsO3 </t>
  </si>
  <si>
    <t xml:space="preserve">H3C6H5O7 </t>
  </si>
  <si>
    <t xml:space="preserve">HCNO </t>
  </si>
  <si>
    <t xml:space="preserve">Hydroazoic </t>
  </si>
  <si>
    <t xml:space="preserve">HN3 </t>
  </si>
  <si>
    <t xml:space="preserve">Hydrogen selenate ion </t>
  </si>
  <si>
    <t xml:space="preserve">HC3H5O3 </t>
  </si>
  <si>
    <t xml:space="preserve">H5IO6 </t>
  </si>
  <si>
    <t xml:space="preserve">HC6H5O </t>
  </si>
  <si>
    <t xml:space="preserve">Pyrophosphoric </t>
  </si>
  <si>
    <t xml:space="preserve">H4P2O7 </t>
  </si>
  <si>
    <t xml:space="preserve">H2SeO3 </t>
  </si>
  <si>
    <t xml:space="preserve">H2SO4 </t>
  </si>
  <si>
    <t xml:space="preserve">Aniline </t>
  </si>
  <si>
    <t xml:space="preserve">Methylamine </t>
  </si>
  <si>
    <t>http://www.zirchrom.com/organic.htm</t>
  </si>
  <si>
    <t xml:space="preserve">Formic acid </t>
  </si>
  <si>
    <t xml:space="preserve">CH4N2O </t>
  </si>
  <si>
    <t xml:space="preserve">Urea </t>
  </si>
  <si>
    <t xml:space="preserve">CH5N </t>
  </si>
  <si>
    <t xml:space="preserve">C2H2O3 </t>
  </si>
  <si>
    <t xml:space="preserve">C2H2O4 </t>
  </si>
  <si>
    <t xml:space="preserve">C2H4OS </t>
  </si>
  <si>
    <t xml:space="preserve">Thioacetic acid </t>
  </si>
  <si>
    <t xml:space="preserve">C2H5N </t>
  </si>
  <si>
    <t xml:space="preserve">Ethyleneimine </t>
  </si>
  <si>
    <t xml:space="preserve">C2H5NO </t>
  </si>
  <si>
    <t xml:space="preserve">Acetamide </t>
  </si>
  <si>
    <t xml:space="preserve">C2H7NO </t>
  </si>
  <si>
    <t xml:space="preserve">Ethanolamine </t>
  </si>
  <si>
    <t xml:space="preserve">C3H3NS </t>
  </si>
  <si>
    <t xml:space="preserve">Thiazole </t>
  </si>
  <si>
    <t xml:space="preserve">C3H4N2 </t>
  </si>
  <si>
    <t xml:space="preserve">C3H4O2 </t>
  </si>
  <si>
    <t xml:space="preserve">Acrylic acid </t>
  </si>
  <si>
    <t xml:space="preserve">C3H4O3 </t>
  </si>
  <si>
    <t xml:space="preserve">Pyruvic acid </t>
  </si>
  <si>
    <t xml:space="preserve">C3H6N6 </t>
  </si>
  <si>
    <t xml:space="preserve">C3H6O3 </t>
  </si>
  <si>
    <t xml:space="preserve">3-Hydroxypropanoic acid </t>
  </si>
  <si>
    <t xml:space="preserve">C3H6O4 </t>
  </si>
  <si>
    <t xml:space="preserve">Glyceric acid </t>
  </si>
  <si>
    <t xml:space="preserve">C3H7NO2 </t>
  </si>
  <si>
    <t xml:space="preserve">C3H7NO2S </t>
  </si>
  <si>
    <t xml:space="preserve">Cysteine </t>
  </si>
  <si>
    <t xml:space="preserve">Serine </t>
  </si>
  <si>
    <t xml:space="preserve">C3H8O3 </t>
  </si>
  <si>
    <t xml:space="preserve">Glycerol </t>
  </si>
  <si>
    <t xml:space="preserve">C4H4N2O3 </t>
  </si>
  <si>
    <t xml:space="preserve">Barbituric acid </t>
  </si>
  <si>
    <t xml:space="preserve">C4H4O4 </t>
  </si>
  <si>
    <t xml:space="preserve">Maleic acid </t>
  </si>
  <si>
    <t xml:space="preserve">C4H4O5 </t>
  </si>
  <si>
    <t xml:space="preserve">Oxaloacetic acid </t>
  </si>
  <si>
    <t xml:space="preserve">C4H6O2 </t>
  </si>
  <si>
    <t xml:space="preserve">3-Butenoic acid </t>
  </si>
  <si>
    <t xml:space="preserve">C4H6O3 </t>
  </si>
  <si>
    <t xml:space="preserve">Acetoacetic acid </t>
  </si>
  <si>
    <t xml:space="preserve">C4H6O4 </t>
  </si>
  <si>
    <t xml:space="preserve">C4H6O5 </t>
  </si>
  <si>
    <t xml:space="preserve">Malic acid </t>
  </si>
  <si>
    <t xml:space="preserve">C4H6O6 </t>
  </si>
  <si>
    <t xml:space="preserve">meso-Tartaric acid </t>
  </si>
  <si>
    <t xml:space="preserve">C4H7NO4 </t>
  </si>
  <si>
    <t xml:space="preserve">Aspartic acid </t>
  </si>
  <si>
    <t xml:space="preserve">C4H7N3O </t>
  </si>
  <si>
    <t xml:space="preserve">Creatinine </t>
  </si>
  <si>
    <t xml:space="preserve">C4H8N2O3 </t>
  </si>
  <si>
    <t xml:space="preserve">C4H8O2 </t>
  </si>
  <si>
    <t xml:space="preserve">Butanoic acid </t>
  </si>
  <si>
    <t xml:space="preserve">C4H9N </t>
  </si>
  <si>
    <t xml:space="preserve">Pyrrolidine </t>
  </si>
  <si>
    <t xml:space="preserve">C4H9NO </t>
  </si>
  <si>
    <t xml:space="preserve">Morpholine </t>
  </si>
  <si>
    <t xml:space="preserve">C4H9NO2 </t>
  </si>
  <si>
    <t xml:space="preserve">2-Aminobutanoic acid </t>
  </si>
  <si>
    <t xml:space="preserve">C4H10N2 </t>
  </si>
  <si>
    <t xml:space="preserve">Piperazine </t>
  </si>
  <si>
    <t xml:space="preserve">C4H10N2O2 </t>
  </si>
  <si>
    <t xml:space="preserve">2,4-Diaminobutanoic acid </t>
  </si>
  <si>
    <t xml:space="preserve">C4H11N </t>
  </si>
  <si>
    <t xml:space="preserve">Butylamine </t>
  </si>
  <si>
    <t xml:space="preserve">sec-Butylamine </t>
  </si>
  <si>
    <t xml:space="preserve">tert-Butylamine </t>
  </si>
  <si>
    <t xml:space="preserve">C5H4N4 </t>
  </si>
  <si>
    <t xml:space="preserve">Purine </t>
  </si>
  <si>
    <t xml:space="preserve">C5H4N4O3 </t>
  </si>
  <si>
    <t xml:space="preserve">Uric acid </t>
  </si>
  <si>
    <t>Vol</t>
  </si>
  <si>
    <t>pH/14</t>
  </si>
  <si>
    <t xml:space="preserve">C5H9NO4 </t>
  </si>
  <si>
    <t xml:space="preserve">L-Glutamic acid </t>
  </si>
  <si>
    <t xml:space="preserve">C5H9N3 </t>
  </si>
  <si>
    <t xml:space="preserve">Histamine </t>
  </si>
  <si>
    <t xml:space="preserve">C5H10N2O3 </t>
  </si>
  <si>
    <t xml:space="preserve">L-Glutamine </t>
  </si>
  <si>
    <t xml:space="preserve">C5H10O2 </t>
  </si>
  <si>
    <t xml:space="preserve">2-Methylbutanoic acid </t>
  </si>
  <si>
    <t xml:space="preserve">3-Methylbutanoic acid </t>
  </si>
  <si>
    <t xml:space="preserve">Pentanoic acid </t>
  </si>
  <si>
    <t xml:space="preserve">Trimethylacetic acid   </t>
  </si>
  <si>
    <t xml:space="preserve">C5H11NO2 </t>
  </si>
  <si>
    <t xml:space="preserve">5-Aminopentanoic acid </t>
  </si>
  <si>
    <t xml:space="preserve">Betaine </t>
  </si>
  <si>
    <t xml:space="preserve">Valine </t>
  </si>
  <si>
    <t xml:space="preserve">C5H11NO2S </t>
  </si>
  <si>
    <t xml:space="preserve">C5H14NO </t>
  </si>
  <si>
    <t xml:space="preserve">Choline </t>
  </si>
  <si>
    <t xml:space="preserve">C5H14N2 </t>
  </si>
  <si>
    <t xml:space="preserve">Cadaverine </t>
  </si>
  <si>
    <t xml:space="preserve">C6H3N3O7 </t>
  </si>
  <si>
    <t xml:space="preserve">Picric acid </t>
  </si>
  <si>
    <t xml:space="preserve">C6H4Cl2O </t>
  </si>
  <si>
    <t xml:space="preserve">2,3-Dichlorophenol </t>
  </si>
  <si>
    <t xml:space="preserve">C6H5CIO </t>
  </si>
  <si>
    <t xml:space="preserve">2-Chlorophenol </t>
  </si>
  <si>
    <t xml:space="preserve">3-Chlorophenol </t>
  </si>
  <si>
    <t xml:space="preserve">4-Chlorophenol </t>
  </si>
  <si>
    <t xml:space="preserve">C6H5NO2 </t>
  </si>
  <si>
    <t xml:space="preserve">Picolinic acid </t>
  </si>
  <si>
    <t xml:space="preserve">3-Pyridinecarboxylic acid </t>
  </si>
  <si>
    <t xml:space="preserve">4-Pyridinecarboxylic acid </t>
  </si>
  <si>
    <t xml:space="preserve">C6H5NO3 </t>
  </si>
  <si>
    <t xml:space="preserve">4-Nitrophenol </t>
  </si>
  <si>
    <t xml:space="preserve">C6H6CIN </t>
  </si>
  <si>
    <t xml:space="preserve">2-Chloroaniline </t>
  </si>
  <si>
    <t xml:space="preserve">3-Chloroaniline </t>
  </si>
  <si>
    <t xml:space="preserve">4-Chloroaniline </t>
  </si>
  <si>
    <t xml:space="preserve">C6H6N2O2 </t>
  </si>
  <si>
    <t xml:space="preserve">2-Nitroaniline </t>
  </si>
  <si>
    <t xml:space="preserve">3-Nitroaniline </t>
  </si>
  <si>
    <t xml:space="preserve">4-Nitroaniline </t>
  </si>
  <si>
    <t xml:space="preserve">C6H6O2 </t>
  </si>
  <si>
    <t xml:space="preserve">Hydroquinone </t>
  </si>
  <si>
    <t xml:space="preserve">Pyrocatechol </t>
  </si>
  <si>
    <t xml:space="preserve">  pKa(n) = -log Kd(HB--&gt;B) = log Kp(1)</t>
  </si>
  <si>
    <r>
      <t>b</t>
    </r>
    <r>
      <rPr>
        <vertAlign val="subscript"/>
        <sz val="12"/>
        <rFont val="Arial"/>
        <family val="2"/>
      </rPr>
      <t>p1</t>
    </r>
  </si>
  <si>
    <r>
      <t>[H</t>
    </r>
    <r>
      <rPr>
        <vertAlign val="subscript"/>
        <sz val="12"/>
        <rFont val="Arial"/>
        <family val="2"/>
      </rPr>
      <t>2</t>
    </r>
    <r>
      <rPr>
        <sz val="10"/>
        <rFont val="Arial"/>
        <family val="2"/>
      </rPr>
      <t>B]</t>
    </r>
  </si>
  <si>
    <r>
      <t>b</t>
    </r>
    <r>
      <rPr>
        <vertAlign val="subscript"/>
        <sz val="12"/>
        <rFont val="Arial"/>
        <family val="2"/>
      </rPr>
      <t>p2</t>
    </r>
  </si>
  <si>
    <r>
      <t>[H</t>
    </r>
    <r>
      <rPr>
        <vertAlign val="subscript"/>
        <sz val="12"/>
        <rFont val="Arial"/>
        <family val="2"/>
      </rPr>
      <t>3</t>
    </r>
    <r>
      <rPr>
        <sz val="10"/>
        <rFont val="Arial"/>
        <family val="2"/>
      </rPr>
      <t>B]</t>
    </r>
  </si>
  <si>
    <r>
      <t>b</t>
    </r>
    <r>
      <rPr>
        <vertAlign val="subscript"/>
        <sz val="12"/>
        <rFont val="Arial"/>
        <family val="2"/>
      </rPr>
      <t>p3</t>
    </r>
  </si>
  <si>
    <r>
      <t>[H</t>
    </r>
    <r>
      <rPr>
        <vertAlign val="subscript"/>
        <sz val="12"/>
        <rFont val="Arial"/>
        <family val="2"/>
      </rPr>
      <t>4</t>
    </r>
    <r>
      <rPr>
        <sz val="10"/>
        <rFont val="Arial"/>
        <family val="2"/>
      </rPr>
      <t>B]</t>
    </r>
  </si>
  <si>
    <r>
      <t>b</t>
    </r>
    <r>
      <rPr>
        <vertAlign val="subscript"/>
        <sz val="12"/>
        <rFont val="Arial"/>
        <family val="2"/>
      </rPr>
      <t>p4</t>
    </r>
  </si>
  <si>
    <r>
      <t>[H</t>
    </r>
    <r>
      <rPr>
        <vertAlign val="subscript"/>
        <sz val="12"/>
        <rFont val="Arial"/>
        <family val="2"/>
      </rPr>
      <t>5</t>
    </r>
    <r>
      <rPr>
        <sz val="10"/>
        <rFont val="Arial"/>
        <family val="2"/>
      </rPr>
      <t>B]</t>
    </r>
  </si>
  <si>
    <r>
      <t>b</t>
    </r>
    <r>
      <rPr>
        <vertAlign val="subscript"/>
        <sz val="12"/>
        <rFont val="Arial"/>
        <family val="2"/>
      </rPr>
      <t>p5</t>
    </r>
  </si>
  <si>
    <r>
      <t>[H</t>
    </r>
    <r>
      <rPr>
        <vertAlign val="subscript"/>
        <sz val="12"/>
        <rFont val="Arial"/>
        <family val="2"/>
      </rPr>
      <t>6</t>
    </r>
    <r>
      <rPr>
        <sz val="10"/>
        <rFont val="Arial"/>
        <family val="2"/>
      </rPr>
      <t>B]</t>
    </r>
  </si>
  <si>
    <r>
      <t>b</t>
    </r>
    <r>
      <rPr>
        <vertAlign val="subscript"/>
        <sz val="12"/>
        <rFont val="Arial"/>
        <family val="2"/>
      </rPr>
      <t>p6</t>
    </r>
  </si>
  <si>
    <r>
      <t>S</t>
    </r>
    <r>
      <rPr>
        <sz val="10"/>
        <rFont val="Arial"/>
        <family val="2"/>
      </rPr>
      <t>[H</t>
    </r>
    <r>
      <rPr>
        <vertAlign val="subscript"/>
        <sz val="12"/>
        <rFont val="Arial"/>
        <family val="2"/>
      </rPr>
      <t>i</t>
    </r>
    <r>
      <rPr>
        <sz val="10"/>
        <rFont val="Arial"/>
        <family val="2"/>
      </rPr>
      <t>B]</t>
    </r>
  </si>
  <si>
    <r>
      <t>Na</t>
    </r>
    <r>
      <rPr>
        <vertAlign val="superscript"/>
        <sz val="10"/>
        <rFont val="Arial"/>
        <family val="2"/>
      </rPr>
      <t>+</t>
    </r>
  </si>
  <si>
    <r>
      <t>K</t>
    </r>
    <r>
      <rPr>
        <vertAlign val="superscript"/>
        <sz val="10"/>
        <rFont val="Arial"/>
        <family val="2"/>
      </rPr>
      <t>+</t>
    </r>
  </si>
  <si>
    <r>
      <t>Ca</t>
    </r>
    <r>
      <rPr>
        <vertAlign val="superscript"/>
        <sz val="10"/>
        <rFont val="Arial"/>
        <family val="2"/>
      </rPr>
      <t>++</t>
    </r>
  </si>
  <si>
    <t>Cl-</t>
  </si>
  <si>
    <r>
      <t>NO</t>
    </r>
    <r>
      <rPr>
        <vertAlign val="subscript"/>
        <sz val="10"/>
        <rFont val="Arial"/>
        <family val="2"/>
      </rPr>
      <t>3</t>
    </r>
    <r>
      <rPr>
        <vertAlign val="superscript"/>
        <sz val="10"/>
        <rFont val="Arial"/>
        <family val="2"/>
      </rPr>
      <t>-</t>
    </r>
  </si>
  <si>
    <r>
      <t>ClO</t>
    </r>
    <r>
      <rPr>
        <vertAlign val="subscript"/>
        <sz val="10"/>
        <rFont val="Arial"/>
        <family val="2"/>
      </rPr>
      <t>4</t>
    </r>
    <r>
      <rPr>
        <vertAlign val="superscript"/>
        <sz val="10"/>
        <rFont val="Arial"/>
        <family val="2"/>
      </rPr>
      <t>-</t>
    </r>
  </si>
  <si>
    <r>
      <t>C</t>
    </r>
    <r>
      <rPr>
        <vertAlign val="subscript"/>
        <sz val="10"/>
        <rFont val="Arial"/>
        <family val="2"/>
      </rPr>
      <t>i</t>
    </r>
    <r>
      <rPr>
        <sz val="10"/>
        <rFont val="Arial"/>
        <family val="2"/>
      </rPr>
      <t xml:space="preserve"> (mol/L)</t>
    </r>
  </si>
  <si>
    <t xml:space="preserve">A </t>
  </si>
  <si>
    <t>b</t>
  </si>
  <si>
    <r>
      <t xml:space="preserve">g </t>
    </r>
    <r>
      <rPr>
        <sz val="11"/>
        <rFont val="Arial"/>
        <family val="2"/>
      </rPr>
      <t>H</t>
    </r>
    <r>
      <rPr>
        <vertAlign val="superscript"/>
        <sz val="12"/>
        <rFont val="Arial"/>
        <family val="2"/>
      </rPr>
      <t>+</t>
    </r>
  </si>
  <si>
    <r>
      <t>a</t>
    </r>
    <r>
      <rPr>
        <vertAlign val="subscript"/>
        <sz val="13"/>
        <rFont val="Symbol"/>
        <family val="1"/>
        <charset val="2"/>
      </rPr>
      <t xml:space="preserve"> </t>
    </r>
    <r>
      <rPr>
        <vertAlign val="subscript"/>
        <sz val="13"/>
        <rFont val="Arial"/>
        <family val="2"/>
      </rPr>
      <t>H</t>
    </r>
    <r>
      <rPr>
        <sz val="8"/>
        <rFont val="Arial"/>
        <family val="2"/>
      </rPr>
      <t>+</t>
    </r>
  </si>
  <si>
    <t>pOH</t>
  </si>
  <si>
    <t>p[H]</t>
  </si>
  <si>
    <t>p[OH]</t>
  </si>
  <si>
    <r>
      <t>[H</t>
    </r>
    <r>
      <rPr>
        <vertAlign val="superscript"/>
        <sz val="10"/>
        <color indexed="8"/>
        <rFont val="Arial"/>
        <family val="2"/>
      </rPr>
      <t>+</t>
    </r>
    <r>
      <rPr>
        <sz val="10"/>
        <color indexed="8"/>
        <rFont val="Arial"/>
        <family val="2"/>
      </rPr>
      <t>]</t>
    </r>
  </si>
  <si>
    <r>
      <t>[OH</t>
    </r>
    <r>
      <rPr>
        <vertAlign val="superscript"/>
        <sz val="10"/>
        <color indexed="8"/>
        <rFont val="Arial"/>
        <family val="2"/>
      </rPr>
      <t>-</t>
    </r>
    <r>
      <rPr>
        <sz val="10"/>
        <color indexed="8"/>
        <rFont val="Arial"/>
        <family val="2"/>
      </rPr>
      <t>]</t>
    </r>
  </si>
  <si>
    <r>
      <t>S</t>
    </r>
    <r>
      <rPr>
        <sz val="10"/>
        <rFont val="Arial"/>
        <family val="2"/>
      </rPr>
      <t>[HiB]</t>
    </r>
  </si>
  <si>
    <t>% B</t>
  </si>
  <si>
    <t>% HB</t>
  </si>
  <si>
    <r>
      <t>% H</t>
    </r>
    <r>
      <rPr>
        <vertAlign val="subscript"/>
        <sz val="11"/>
        <rFont val="Arial"/>
        <family val="2"/>
      </rPr>
      <t>2</t>
    </r>
    <r>
      <rPr>
        <sz val="10"/>
        <rFont val="Arial"/>
        <family val="2"/>
      </rPr>
      <t>B</t>
    </r>
  </si>
  <si>
    <r>
      <t>% H</t>
    </r>
    <r>
      <rPr>
        <vertAlign val="subscript"/>
        <sz val="11"/>
        <rFont val="Arial"/>
        <family val="2"/>
      </rPr>
      <t>3</t>
    </r>
    <r>
      <rPr>
        <sz val="10"/>
        <rFont val="Arial"/>
        <family val="2"/>
      </rPr>
      <t>B</t>
    </r>
  </si>
  <si>
    <r>
      <t>% H</t>
    </r>
    <r>
      <rPr>
        <vertAlign val="subscript"/>
        <sz val="11"/>
        <rFont val="Arial"/>
        <family val="2"/>
      </rPr>
      <t>4</t>
    </r>
    <r>
      <rPr>
        <sz val="10"/>
        <rFont val="Arial"/>
        <family val="2"/>
      </rPr>
      <t>B</t>
    </r>
  </si>
  <si>
    <r>
      <t>% H</t>
    </r>
    <r>
      <rPr>
        <vertAlign val="subscript"/>
        <sz val="11"/>
        <rFont val="Arial"/>
        <family val="2"/>
      </rPr>
      <t>5</t>
    </r>
    <r>
      <rPr>
        <sz val="10"/>
        <rFont val="Arial"/>
        <family val="2"/>
      </rPr>
      <t>B</t>
    </r>
  </si>
  <si>
    <r>
      <t>% H</t>
    </r>
    <r>
      <rPr>
        <vertAlign val="subscript"/>
        <sz val="11"/>
        <rFont val="Arial"/>
        <family val="2"/>
      </rPr>
      <t>6</t>
    </r>
    <r>
      <rPr>
        <sz val="10"/>
        <rFont val="Arial"/>
        <family val="2"/>
      </rPr>
      <t>B</t>
    </r>
  </si>
  <si>
    <r>
      <t>% S</t>
    </r>
    <r>
      <rPr>
        <sz val="10"/>
        <rFont val="Arial"/>
        <family val="2"/>
      </rPr>
      <t>[HiB]</t>
    </r>
  </si>
  <si>
    <r>
      <t xml:space="preserve">g </t>
    </r>
    <r>
      <rPr>
        <sz val="10"/>
        <rFont val="Arial"/>
        <family val="2"/>
      </rPr>
      <t>B</t>
    </r>
  </si>
  <si>
    <r>
      <t xml:space="preserve">g </t>
    </r>
    <r>
      <rPr>
        <sz val="10"/>
        <rFont val="Arial"/>
        <family val="2"/>
      </rPr>
      <t>HB</t>
    </r>
  </si>
  <si>
    <r>
      <t xml:space="preserve">g </t>
    </r>
    <r>
      <rPr>
        <sz val="10"/>
        <rFont val="Arial"/>
        <family val="2"/>
      </rPr>
      <t>H</t>
    </r>
    <r>
      <rPr>
        <vertAlign val="subscript"/>
        <sz val="11"/>
        <rFont val="Arial"/>
        <family val="2"/>
      </rPr>
      <t>2</t>
    </r>
    <r>
      <rPr>
        <sz val="10"/>
        <rFont val="Arial"/>
        <family val="2"/>
      </rPr>
      <t>B</t>
    </r>
  </si>
  <si>
    <r>
      <t xml:space="preserve">g </t>
    </r>
    <r>
      <rPr>
        <sz val="10"/>
        <rFont val="Arial"/>
        <family val="2"/>
      </rPr>
      <t>H</t>
    </r>
    <r>
      <rPr>
        <vertAlign val="subscript"/>
        <sz val="11"/>
        <rFont val="Arial"/>
        <family val="2"/>
      </rPr>
      <t>3</t>
    </r>
    <r>
      <rPr>
        <sz val="10"/>
        <rFont val="Arial"/>
        <family val="2"/>
      </rPr>
      <t>B</t>
    </r>
  </si>
  <si>
    <r>
      <t xml:space="preserve">g </t>
    </r>
    <r>
      <rPr>
        <sz val="10"/>
        <rFont val="Arial"/>
        <family val="2"/>
      </rPr>
      <t>H</t>
    </r>
    <r>
      <rPr>
        <vertAlign val="subscript"/>
        <sz val="11"/>
        <rFont val="Arial"/>
        <family val="2"/>
      </rPr>
      <t>4</t>
    </r>
    <r>
      <rPr>
        <sz val="10"/>
        <rFont val="Arial"/>
        <family val="2"/>
      </rPr>
      <t>B</t>
    </r>
  </si>
  <si>
    <r>
      <t xml:space="preserve">g </t>
    </r>
    <r>
      <rPr>
        <sz val="10"/>
        <rFont val="Arial"/>
        <family val="2"/>
      </rPr>
      <t>H</t>
    </r>
    <r>
      <rPr>
        <vertAlign val="subscript"/>
        <sz val="11"/>
        <rFont val="Arial"/>
        <family val="2"/>
      </rPr>
      <t>5</t>
    </r>
    <r>
      <rPr>
        <sz val="10"/>
        <rFont val="Arial"/>
        <family val="2"/>
      </rPr>
      <t>B</t>
    </r>
  </si>
  <si>
    <r>
      <t xml:space="preserve">g </t>
    </r>
    <r>
      <rPr>
        <sz val="10"/>
        <rFont val="Arial"/>
        <family val="2"/>
      </rPr>
      <t>H</t>
    </r>
    <r>
      <rPr>
        <vertAlign val="subscript"/>
        <sz val="11"/>
        <rFont val="Arial"/>
        <family val="2"/>
      </rPr>
      <t>6</t>
    </r>
    <r>
      <rPr>
        <sz val="10"/>
        <rFont val="Arial"/>
        <family val="2"/>
      </rPr>
      <t>B</t>
    </r>
  </si>
  <si>
    <r>
      <t>g</t>
    </r>
    <r>
      <rPr>
        <vertAlign val="subscript"/>
        <sz val="12"/>
        <rFont val="Arial"/>
        <family val="2"/>
      </rPr>
      <t>i</t>
    </r>
  </si>
  <si>
    <t>h</t>
  </si>
  <si>
    <r>
      <t>pK'a</t>
    </r>
    <r>
      <rPr>
        <vertAlign val="subscript"/>
        <sz val="13"/>
        <rFont val="Arial"/>
        <family val="2"/>
      </rPr>
      <t xml:space="preserve">n </t>
    </r>
    <r>
      <rPr>
        <sz val="11"/>
        <rFont val="Arial"/>
        <family val="2"/>
      </rPr>
      <t>= logK'</t>
    </r>
    <r>
      <rPr>
        <vertAlign val="subscript"/>
        <sz val="13"/>
        <rFont val="Arial"/>
        <family val="2"/>
      </rPr>
      <t>p1</t>
    </r>
  </si>
  <si>
    <r>
      <t>pK'a</t>
    </r>
    <r>
      <rPr>
        <vertAlign val="subscript"/>
        <sz val="13"/>
        <rFont val="Arial"/>
        <family val="2"/>
      </rPr>
      <t xml:space="preserve">n-1 </t>
    </r>
    <r>
      <rPr>
        <sz val="11"/>
        <rFont val="Arial"/>
        <family val="2"/>
      </rPr>
      <t>= logK'</t>
    </r>
    <r>
      <rPr>
        <vertAlign val="subscript"/>
        <sz val="13"/>
        <rFont val="Arial"/>
        <family val="2"/>
      </rPr>
      <t>p2</t>
    </r>
  </si>
  <si>
    <r>
      <t>pK'a</t>
    </r>
    <r>
      <rPr>
        <vertAlign val="subscript"/>
        <sz val="13"/>
        <rFont val="Arial"/>
        <family val="2"/>
      </rPr>
      <t xml:space="preserve">n-2 </t>
    </r>
    <r>
      <rPr>
        <sz val="11"/>
        <rFont val="Arial"/>
        <family val="2"/>
      </rPr>
      <t>= logK'</t>
    </r>
    <r>
      <rPr>
        <vertAlign val="subscript"/>
        <sz val="13"/>
        <rFont val="Arial"/>
        <family val="2"/>
      </rPr>
      <t>p3</t>
    </r>
  </si>
  <si>
    <r>
      <t>pK'a</t>
    </r>
    <r>
      <rPr>
        <vertAlign val="subscript"/>
        <sz val="13"/>
        <rFont val="Arial"/>
        <family val="2"/>
      </rPr>
      <t xml:space="preserve">n-3 </t>
    </r>
    <r>
      <rPr>
        <sz val="11"/>
        <rFont val="Arial"/>
        <family val="2"/>
      </rPr>
      <t>= logK'</t>
    </r>
    <r>
      <rPr>
        <vertAlign val="subscript"/>
        <sz val="13"/>
        <rFont val="Arial"/>
        <family val="2"/>
      </rPr>
      <t>p4</t>
    </r>
  </si>
  <si>
    <r>
      <t>pK'a</t>
    </r>
    <r>
      <rPr>
        <vertAlign val="subscript"/>
        <sz val="13"/>
        <rFont val="Arial"/>
        <family val="2"/>
      </rPr>
      <t xml:space="preserve">n-4 </t>
    </r>
    <r>
      <rPr>
        <sz val="11"/>
        <rFont val="Arial"/>
        <family val="2"/>
      </rPr>
      <t>= logK'</t>
    </r>
    <r>
      <rPr>
        <vertAlign val="subscript"/>
        <sz val="13"/>
        <rFont val="Arial"/>
        <family val="2"/>
      </rPr>
      <t>p5</t>
    </r>
  </si>
  <si>
    <r>
      <t>pK'a</t>
    </r>
    <r>
      <rPr>
        <vertAlign val="subscript"/>
        <sz val="13"/>
        <rFont val="Arial"/>
        <family val="2"/>
      </rPr>
      <t xml:space="preserve">n-5 </t>
    </r>
    <r>
      <rPr>
        <sz val="11"/>
        <rFont val="Arial"/>
        <family val="2"/>
      </rPr>
      <t>= logK'</t>
    </r>
    <r>
      <rPr>
        <vertAlign val="subscript"/>
        <sz val="13"/>
        <rFont val="Arial"/>
        <family val="2"/>
      </rPr>
      <t>p6</t>
    </r>
  </si>
  <si>
    <t>pK'w</t>
  </si>
  <si>
    <t>K'w</t>
  </si>
  <si>
    <r>
      <t>b</t>
    </r>
    <r>
      <rPr>
        <sz val="12"/>
        <rFont val="Arial"/>
        <family val="2"/>
      </rPr>
      <t>'</t>
    </r>
    <r>
      <rPr>
        <vertAlign val="subscript"/>
        <sz val="12"/>
        <rFont val="Arial"/>
        <family val="2"/>
      </rPr>
      <t>p1</t>
    </r>
  </si>
  <si>
    <r>
      <t>b</t>
    </r>
    <r>
      <rPr>
        <sz val="12"/>
        <rFont val="Arial"/>
        <family val="2"/>
      </rPr>
      <t>'</t>
    </r>
    <r>
      <rPr>
        <vertAlign val="subscript"/>
        <sz val="12"/>
        <rFont val="Arial"/>
        <family val="2"/>
      </rPr>
      <t>p2</t>
    </r>
    <r>
      <rPr>
        <sz val="10"/>
        <rFont val="Arial"/>
        <family val="2"/>
      </rPr>
      <t/>
    </r>
  </si>
  <si>
    <r>
      <t>b</t>
    </r>
    <r>
      <rPr>
        <sz val="12"/>
        <rFont val="Arial"/>
        <family val="2"/>
      </rPr>
      <t>'</t>
    </r>
    <r>
      <rPr>
        <vertAlign val="subscript"/>
        <sz val="12"/>
        <rFont val="Arial"/>
        <family val="2"/>
      </rPr>
      <t>p3</t>
    </r>
    <r>
      <rPr>
        <sz val="10"/>
        <rFont val="Arial"/>
        <family val="2"/>
      </rPr>
      <t/>
    </r>
  </si>
  <si>
    <r>
      <t>b</t>
    </r>
    <r>
      <rPr>
        <sz val="12"/>
        <rFont val="Arial"/>
        <family val="2"/>
      </rPr>
      <t>'</t>
    </r>
    <r>
      <rPr>
        <vertAlign val="subscript"/>
        <sz val="12"/>
        <rFont val="Arial"/>
        <family val="2"/>
      </rPr>
      <t>p4</t>
    </r>
    <r>
      <rPr>
        <sz val="10"/>
        <rFont val="Arial"/>
        <family val="2"/>
      </rPr>
      <t/>
    </r>
  </si>
  <si>
    <r>
      <t>b</t>
    </r>
    <r>
      <rPr>
        <sz val="12"/>
        <rFont val="Arial"/>
        <family val="2"/>
      </rPr>
      <t>'</t>
    </r>
    <r>
      <rPr>
        <vertAlign val="subscript"/>
        <sz val="12"/>
        <rFont val="Arial"/>
        <family val="2"/>
      </rPr>
      <t>p5</t>
    </r>
    <r>
      <rPr>
        <sz val="10"/>
        <rFont val="Arial"/>
        <family val="2"/>
      </rPr>
      <t/>
    </r>
  </si>
  <si>
    <r>
      <t>b</t>
    </r>
    <r>
      <rPr>
        <sz val="12"/>
        <rFont val="Arial"/>
        <family val="2"/>
      </rPr>
      <t>'</t>
    </r>
    <r>
      <rPr>
        <vertAlign val="subscript"/>
        <sz val="12"/>
        <rFont val="Arial"/>
        <family val="2"/>
      </rPr>
      <t>p6</t>
    </r>
    <r>
      <rPr>
        <sz val="10"/>
        <rFont val="Arial"/>
        <family val="2"/>
      </rPr>
      <t/>
    </r>
  </si>
  <si>
    <t xml:space="preserve">           </t>
  </si>
  <si>
    <t>http://nvl.nist.gov/pub/nistpubs/jres/081/1/V81.N01.A03.pdf</t>
  </si>
  <si>
    <t>http://nvl.nist.gov/pub/nistpubs/jres/066/2/V66.N02.A06.pdf</t>
  </si>
  <si>
    <t xml:space="preserve">Measurement of pH. Definitions, Standards and Procedures (IUPAC - 2002) </t>
  </si>
  <si>
    <t>http://www.iupac.org/publications/pac/2002/pdf/7411x2169.pdf</t>
  </si>
  <si>
    <t xml:space="preserve">  Formula</t>
  </si>
  <si>
    <t>NaOH</t>
  </si>
  <si>
    <t>Aminobenzene = aniline</t>
  </si>
  <si>
    <t>C6H7N</t>
  </si>
  <si>
    <t xml:space="preserve">2,3-Dimethylpyridine </t>
  </si>
  <si>
    <t xml:space="preserve">2,4-Dimethylpyridine </t>
  </si>
  <si>
    <t xml:space="preserve">2,5-Dmethylpyridine </t>
  </si>
  <si>
    <t xml:space="preserve">2,6-Dimethylpyridine </t>
  </si>
  <si>
    <t xml:space="preserve">3,4-Dimethylpyridine </t>
  </si>
  <si>
    <t xml:space="preserve">3.5-Dimethylpyridine </t>
  </si>
  <si>
    <t>Hydrazine</t>
  </si>
  <si>
    <t>N2H4</t>
  </si>
  <si>
    <r>
      <t>HCrO</t>
    </r>
    <r>
      <rPr>
        <vertAlign val="subscript"/>
        <sz val="10"/>
        <rFont val="Arial"/>
        <family val="2"/>
      </rPr>
      <t>4</t>
    </r>
    <r>
      <rPr>
        <vertAlign val="superscript"/>
        <sz val="10"/>
        <rFont val="Arial"/>
        <family val="2"/>
      </rPr>
      <t>-</t>
    </r>
    <r>
      <rPr>
        <sz val="10"/>
        <rFont val="Arial"/>
        <family val="2"/>
      </rPr>
      <t xml:space="preserve"> </t>
    </r>
  </si>
  <si>
    <r>
      <t>HSeO</t>
    </r>
    <r>
      <rPr>
        <vertAlign val="subscript"/>
        <sz val="10"/>
        <rFont val="Arial"/>
        <family val="2"/>
      </rPr>
      <t>4</t>
    </r>
    <r>
      <rPr>
        <sz val="10"/>
        <rFont val="Arial"/>
        <family val="2"/>
      </rPr>
      <t xml:space="preserve">- </t>
    </r>
  </si>
  <si>
    <t>Melamine = 1,3,5-triazine-2,4,6-triamine</t>
  </si>
  <si>
    <t>Methionine = (S)-2-amino-4-(methylsulfanyl)-butanoic acid</t>
  </si>
  <si>
    <t>2-Methylaniline = o-touidine = 2-amino-1-methylbenzene</t>
  </si>
  <si>
    <t>C7H9N</t>
  </si>
  <si>
    <t>107.17</t>
  </si>
  <si>
    <t>4-Methylaniline = p-toluidine = 4-amino-1-methylbenzene</t>
  </si>
  <si>
    <t>2-Methylphenol = o-cresol</t>
  </si>
  <si>
    <t>108.14</t>
  </si>
  <si>
    <t>4-Methylphenol = p-cresol</t>
  </si>
  <si>
    <t>p-Periodic acid</t>
  </si>
  <si>
    <r>
      <t>S</t>
    </r>
    <r>
      <rPr>
        <sz val="10"/>
        <rFont val="Arial"/>
        <family val="2"/>
      </rPr>
      <t>z</t>
    </r>
    <r>
      <rPr>
        <vertAlign val="subscript"/>
        <sz val="12"/>
        <rFont val="Arial"/>
        <family val="2"/>
      </rPr>
      <t>i</t>
    </r>
    <r>
      <rPr>
        <sz val="10"/>
        <rFont val="Arial"/>
        <family val="2"/>
      </rPr>
      <t>C</t>
    </r>
    <r>
      <rPr>
        <vertAlign val="subscript"/>
        <sz val="12"/>
        <rFont val="Arial"/>
        <family val="2"/>
      </rPr>
      <t>i</t>
    </r>
  </si>
  <si>
    <r>
      <t>z</t>
    </r>
    <r>
      <rPr>
        <vertAlign val="subscript"/>
        <sz val="12"/>
        <rFont val="Arial"/>
        <family val="2"/>
      </rPr>
      <t>i</t>
    </r>
    <r>
      <rPr>
        <sz val="10"/>
        <rFont val="Arial"/>
        <family val="2"/>
      </rPr>
      <t>C</t>
    </r>
    <r>
      <rPr>
        <vertAlign val="subscript"/>
        <sz val="12"/>
        <rFont val="Arial"/>
        <family val="2"/>
      </rPr>
      <t>i</t>
    </r>
  </si>
  <si>
    <t>[H]</t>
  </si>
  <si>
    <t>(mL)</t>
  </si>
  <si>
    <t>mol/L</t>
  </si>
  <si>
    <r>
      <t>pKa</t>
    </r>
    <r>
      <rPr>
        <vertAlign val="subscript"/>
        <sz val="13"/>
        <rFont val="Arial"/>
        <family val="2"/>
      </rPr>
      <t xml:space="preserve">1 </t>
    </r>
    <r>
      <rPr>
        <sz val="11"/>
        <rFont val="Arial"/>
        <family val="2"/>
      </rPr>
      <t>= logK</t>
    </r>
    <r>
      <rPr>
        <vertAlign val="subscript"/>
        <sz val="13"/>
        <rFont val="Arial"/>
        <family val="2"/>
      </rPr>
      <t>pn</t>
    </r>
  </si>
  <si>
    <r>
      <t>pKa</t>
    </r>
    <r>
      <rPr>
        <vertAlign val="subscript"/>
        <sz val="13"/>
        <rFont val="Arial"/>
        <family val="2"/>
      </rPr>
      <t xml:space="preserve">2 </t>
    </r>
    <r>
      <rPr>
        <sz val="11"/>
        <rFont val="Arial"/>
        <family val="2"/>
      </rPr>
      <t>= logK</t>
    </r>
    <r>
      <rPr>
        <vertAlign val="subscript"/>
        <sz val="13"/>
        <rFont val="Arial"/>
        <family val="2"/>
      </rPr>
      <t>pn-1</t>
    </r>
  </si>
  <si>
    <r>
      <t>pKa</t>
    </r>
    <r>
      <rPr>
        <vertAlign val="subscript"/>
        <sz val="13"/>
        <rFont val="Arial"/>
        <family val="2"/>
      </rPr>
      <t xml:space="preserve">3 </t>
    </r>
    <r>
      <rPr>
        <sz val="11"/>
        <rFont val="Arial"/>
        <family val="2"/>
      </rPr>
      <t>= logK</t>
    </r>
    <r>
      <rPr>
        <vertAlign val="subscript"/>
        <sz val="13"/>
        <rFont val="Arial"/>
        <family val="2"/>
      </rPr>
      <t>pn-2</t>
    </r>
  </si>
  <si>
    <r>
      <t>pKa</t>
    </r>
    <r>
      <rPr>
        <vertAlign val="subscript"/>
        <sz val="13"/>
        <rFont val="Arial"/>
        <family val="2"/>
      </rPr>
      <t xml:space="preserve">4 </t>
    </r>
    <r>
      <rPr>
        <sz val="11"/>
        <rFont val="Arial"/>
        <family val="2"/>
      </rPr>
      <t>= logK</t>
    </r>
    <r>
      <rPr>
        <vertAlign val="subscript"/>
        <sz val="13"/>
        <rFont val="Arial"/>
        <family val="2"/>
      </rPr>
      <t>pn-3</t>
    </r>
  </si>
  <si>
    <r>
      <t>pKa</t>
    </r>
    <r>
      <rPr>
        <vertAlign val="subscript"/>
        <sz val="13"/>
        <rFont val="Arial"/>
        <family val="2"/>
      </rPr>
      <t xml:space="preserve">5 </t>
    </r>
    <r>
      <rPr>
        <sz val="11"/>
        <rFont val="Arial"/>
        <family val="2"/>
      </rPr>
      <t>= logK</t>
    </r>
    <r>
      <rPr>
        <vertAlign val="subscript"/>
        <sz val="13"/>
        <rFont val="Arial"/>
        <family val="2"/>
      </rPr>
      <t>pn-4</t>
    </r>
  </si>
  <si>
    <r>
      <t>pKa</t>
    </r>
    <r>
      <rPr>
        <vertAlign val="subscript"/>
        <sz val="13"/>
        <rFont val="Arial"/>
        <family val="2"/>
      </rPr>
      <t xml:space="preserve">6 </t>
    </r>
    <r>
      <rPr>
        <sz val="11"/>
        <rFont val="Arial"/>
        <family val="2"/>
      </rPr>
      <t>= logK</t>
    </r>
    <r>
      <rPr>
        <vertAlign val="subscript"/>
        <sz val="13"/>
        <rFont val="Arial"/>
        <family val="2"/>
      </rPr>
      <t>pn-5</t>
    </r>
  </si>
  <si>
    <t>pH (-8 a 0)</t>
  </si>
  <si>
    <t/>
  </si>
  <si>
    <r>
      <t xml:space="preserve">  Solution composition - reagents added,</t>
    </r>
    <r>
      <rPr>
        <sz val="11"/>
        <rFont val="Arial"/>
        <family val="2"/>
      </rPr>
      <t xml:space="preserve"> in mol/L</t>
    </r>
  </si>
  <si>
    <t>Acid / Base
Protonation</t>
  </si>
  <si>
    <t>Electrolyte</t>
  </si>
  <si>
    <t>Charge Balance</t>
  </si>
  <si>
    <t>Acid / Base</t>
  </si>
  <si>
    <t>Charge of B</t>
  </si>
  <si>
    <t>Ion charge</t>
  </si>
  <si>
    <t xml:space="preserve"> Davies equation parameters</t>
  </si>
  <si>
    <t xml:space="preserve"> for activity coefficient estimation</t>
  </si>
  <si>
    <t>Color  coding</t>
  </si>
  <si>
    <t xml:space="preserve">D  o     n  o  t     c  h  a  n  g  e </t>
  </si>
  <si>
    <t xml:space="preserve"> C h a n g e   c r i t e r i o u s l y</t>
  </si>
  <si>
    <t>Fill out, change or leave blank</t>
  </si>
  <si>
    <t>Titrand</t>
  </si>
  <si>
    <r>
      <t xml:space="preserve">    </t>
    </r>
    <r>
      <rPr>
        <b/>
        <sz val="10"/>
        <rFont val="Arial"/>
        <family val="2"/>
      </rPr>
      <t>Titrand</t>
    </r>
  </si>
  <si>
    <t>Charge of  B</t>
  </si>
  <si>
    <t>Titrant</t>
  </si>
  <si>
    <t xml:space="preserve">          Titration Data Analysis - Multiple Regression</t>
  </si>
  <si>
    <t>Carbonic ac.</t>
  </si>
  <si>
    <t>Water</t>
  </si>
  <si>
    <t>Sum</t>
  </si>
  <si>
    <t>Dispensed</t>
  </si>
  <si>
    <t>added</t>
  </si>
  <si>
    <t>(initial vol.)</t>
  </si>
  <si>
    <t xml:space="preserve">    Titration speed</t>
  </si>
  <si>
    <t xml:space="preserve">  Slower</t>
  </si>
  <si>
    <t xml:space="preserve">  Faster</t>
  </si>
  <si>
    <t xml:space="preserve"> Data ID on curves</t>
  </si>
  <si>
    <t xml:space="preserve"> Copying curves</t>
  </si>
  <si>
    <t xml:space="preserve"> Resizing axis</t>
  </si>
  <si>
    <t xml:space="preserve"> Other graphics</t>
  </si>
  <si>
    <t xml:space="preserve"> Data analysis</t>
  </si>
  <si>
    <t>Vadd</t>
  </si>
  <si>
    <t>simulated</t>
  </si>
  <si>
    <t>simulated with "error"</t>
  </si>
  <si>
    <r>
      <t>Titrand</t>
    </r>
    <r>
      <rPr>
        <sz val="10"/>
        <rFont val="Arial"/>
        <family val="2"/>
      </rPr>
      <t xml:space="preserve"> (sample)</t>
    </r>
  </si>
  <si>
    <r>
      <t xml:space="preserve">Titrant </t>
    </r>
    <r>
      <rPr>
        <sz val="10"/>
        <rFont val="Arial"/>
        <family val="2"/>
      </rPr>
      <t>(buret)</t>
    </r>
  </si>
  <si>
    <t>Hydroxide ion</t>
  </si>
  <si>
    <t>h1 titrant</t>
  </si>
  <si>
    <t>h2 titrant</t>
  </si>
  <si>
    <t>h3 titrant</t>
  </si>
  <si>
    <r>
      <t xml:space="preserve"> Overall protonation constants = </t>
    </r>
    <r>
      <rPr>
        <b/>
        <sz val="11"/>
        <rFont val="Symbol"/>
        <family val="1"/>
        <charset val="2"/>
      </rPr>
      <t>b</t>
    </r>
    <r>
      <rPr>
        <b/>
        <sz val="11"/>
        <rFont val="Arial"/>
        <family val="2"/>
      </rPr>
      <t xml:space="preserve">p = </t>
    </r>
    <r>
      <rPr>
        <b/>
        <sz val="11"/>
        <rFont val="Symbol"/>
        <family val="1"/>
        <charset val="2"/>
      </rPr>
      <t>S</t>
    </r>
    <r>
      <rPr>
        <b/>
        <sz val="11"/>
        <rFont val="Arial"/>
        <family val="2"/>
      </rPr>
      <t xml:space="preserve">Kp </t>
    </r>
    <r>
      <rPr>
        <sz val="11"/>
        <rFont val="Arial"/>
        <family val="2"/>
      </rPr>
      <t>(calculated by the program)</t>
    </r>
  </si>
  <si>
    <t>Dill. Titrant</t>
  </si>
  <si>
    <t>Dil Titrand</t>
  </si>
  <si>
    <r>
      <t xml:space="preserve">Find endpoints of your real or simulated curves with </t>
    </r>
    <r>
      <rPr>
        <b/>
        <sz val="12"/>
        <rFont val="Arial"/>
        <family val="2"/>
      </rPr>
      <t>Evaluation</t>
    </r>
    <r>
      <rPr>
        <sz val="12"/>
        <rFont val="Arial"/>
        <family val="2"/>
      </rPr>
      <t xml:space="preserve">. There are buttons to load the last titration curve from </t>
    </r>
    <r>
      <rPr>
        <b/>
        <sz val="12"/>
        <rFont val="Arial"/>
        <family val="2"/>
      </rPr>
      <t>Simulation;</t>
    </r>
  </si>
  <si>
    <t>Molar mass</t>
  </si>
  <si>
    <r>
      <t>pKa</t>
    </r>
    <r>
      <rPr>
        <vertAlign val="subscript"/>
        <sz val="13"/>
        <rFont val="Arial"/>
        <family val="2"/>
      </rPr>
      <t>1</t>
    </r>
  </si>
  <si>
    <r>
      <t>pKa</t>
    </r>
    <r>
      <rPr>
        <vertAlign val="subscript"/>
        <sz val="13"/>
        <rFont val="Arial"/>
        <family val="2"/>
      </rPr>
      <t>2</t>
    </r>
  </si>
  <si>
    <r>
      <t>pKa</t>
    </r>
    <r>
      <rPr>
        <vertAlign val="subscript"/>
        <sz val="13"/>
        <rFont val="Arial"/>
        <family val="2"/>
      </rPr>
      <t>3</t>
    </r>
  </si>
  <si>
    <r>
      <t>pKa</t>
    </r>
    <r>
      <rPr>
        <vertAlign val="subscript"/>
        <sz val="13"/>
        <rFont val="Arial"/>
        <family val="2"/>
      </rPr>
      <t>4</t>
    </r>
  </si>
  <si>
    <r>
      <t>pKa</t>
    </r>
    <r>
      <rPr>
        <vertAlign val="subscript"/>
        <sz val="13"/>
        <rFont val="Arial"/>
        <family val="2"/>
      </rPr>
      <t>5</t>
    </r>
  </si>
  <si>
    <r>
      <t>pKa</t>
    </r>
    <r>
      <rPr>
        <vertAlign val="subscript"/>
        <sz val="13"/>
        <rFont val="Arial"/>
        <family val="2"/>
      </rPr>
      <t>6</t>
    </r>
  </si>
  <si>
    <t>Strong ACID</t>
  </si>
  <si>
    <t>Strong BASE</t>
  </si>
  <si>
    <t xml:space="preserve">  Virtual Titrator – Simulation of curves  </t>
  </si>
  <si>
    <t>Sample</t>
  </si>
  <si>
    <t>Click on K2 to Q2; select acids/bases; click on J2; other options, read M1</t>
  </si>
  <si>
    <t>Click on K2 to Q2; select acids/bases; click on J2; read M1</t>
  </si>
  <si>
    <r>
      <t xml:space="preserve">      Interpolation and smoothing</t>
    </r>
    <r>
      <rPr>
        <sz val="12"/>
        <rFont val="Arial"/>
        <family val="2"/>
      </rPr>
      <t xml:space="preserve"> by cubic splines</t>
    </r>
  </si>
  <si>
    <r>
      <t xml:space="preserve">    Evaluation of Real and Simulated Titration Data </t>
    </r>
    <r>
      <rPr>
        <sz val="14"/>
        <color indexed="43"/>
        <rFont val="Arial"/>
        <family val="2"/>
      </rPr>
      <t>by Derivatives with Interpolation</t>
    </r>
  </si>
  <si>
    <t>Interp. Vol.</t>
  </si>
  <si>
    <t>Fitted pH</t>
  </si>
  <si>
    <r>
      <t>d</t>
    </r>
    <r>
      <rPr>
        <b/>
        <vertAlign val="superscript"/>
        <sz val="11"/>
        <rFont val="Arial"/>
        <family val="2"/>
      </rPr>
      <t>2</t>
    </r>
    <r>
      <rPr>
        <b/>
        <sz val="10"/>
        <rFont val="Arial"/>
        <family val="2"/>
      </rPr>
      <t>pH/dV</t>
    </r>
    <r>
      <rPr>
        <b/>
        <vertAlign val="superscript"/>
        <sz val="11"/>
        <rFont val="Arial"/>
        <family val="2"/>
      </rPr>
      <t>2</t>
    </r>
  </si>
  <si>
    <t xml:space="preserve"> (0 to 100%)</t>
  </si>
  <si>
    <t>Interpolated points</t>
  </si>
  <si>
    <t>Initial volume</t>
  </si>
  <si>
    <t>Final volume</t>
  </si>
  <si>
    <t>Minimum</t>
  </si>
  <si>
    <t xml:space="preserve">Degree of smoothing  </t>
  </si>
  <si>
    <r>
      <t xml:space="preserve">    Fitting range</t>
    </r>
    <r>
      <rPr>
        <sz val="10"/>
        <rFont val="Arial"/>
        <family val="2"/>
      </rPr>
      <t xml:space="preserve"> (zoom)</t>
    </r>
  </si>
  <si>
    <t>Vol. Inflection</t>
  </si>
  <si>
    <t>[species]</t>
  </si>
  <si>
    <t xml:space="preserve">Results of the Example: </t>
  </si>
  <si>
    <t>No titration curve</t>
  </si>
  <si>
    <t xml:space="preserve">        Acid/base system</t>
  </si>
  <si>
    <t>Molar fraction of each species during titration</t>
  </si>
  <si>
    <t>alpha 0</t>
  </si>
  <si>
    <t>alpha 1</t>
  </si>
  <si>
    <t>alpha 2</t>
  </si>
  <si>
    <t>alpha 3</t>
  </si>
  <si>
    <t>alpha 4</t>
  </si>
  <si>
    <t>alpha 5</t>
  </si>
  <si>
    <t>alpha 6</t>
  </si>
  <si>
    <t>scaling</t>
  </si>
  <si>
    <t>same</t>
  </si>
  <si>
    <t>logarithm of molar fraction of each species during titration</t>
  </si>
  <si>
    <t>log alpha 0</t>
  </si>
  <si>
    <t>log alpha 1</t>
  </si>
  <si>
    <t>log alpha 2</t>
  </si>
  <si>
    <t>log alpha 3</t>
  </si>
  <si>
    <t>log alpha 4</t>
  </si>
  <si>
    <t>log alpha 5</t>
  </si>
  <si>
    <t>log alpha 6</t>
  </si>
  <si>
    <t>with "error" 
(do not use)</t>
  </si>
  <si>
    <r>
      <t>Version 3.2, released in December 2006, includes a separate</t>
    </r>
    <r>
      <rPr>
        <b/>
        <sz val="12"/>
        <rFont val="Arial"/>
        <family val="2"/>
      </rPr>
      <t xml:space="preserve"> pH_calc</t>
    </r>
    <r>
      <rPr>
        <sz val="12"/>
        <rFont val="Arial"/>
        <family val="2"/>
      </rPr>
      <t xml:space="preserve"> module with activity coefficient estimation.</t>
    </r>
  </si>
  <si>
    <r>
      <t xml:space="preserve">     Titrand (sample) and titrant (standard) composition </t>
    </r>
    <r>
      <rPr>
        <sz val="11"/>
        <rFont val="Arial"/>
        <family val="2"/>
      </rPr>
      <t>(concentrations in mol/L)</t>
    </r>
  </si>
  <si>
    <t xml:space="preserve">             pKa(n) = -log Kd(HB--&gt;B) = log Kp(1)</t>
  </si>
  <si>
    <t xml:space="preserve"> Fill out concentrations; Enter; Click button B18.</t>
  </si>
  <si>
    <t>Click on J2 to use these pKas in the pH calculation</t>
  </si>
  <si>
    <r>
      <t xml:space="preserve">       pKa</t>
    </r>
    <r>
      <rPr>
        <sz val="11"/>
        <rFont val="Arial"/>
        <family val="2"/>
      </rPr>
      <t xml:space="preserve">s loaded from the Database </t>
    </r>
  </si>
  <si>
    <t>Click on J2 to use these pKas in the Regression</t>
  </si>
  <si>
    <t>Click on J2 to use these pKas in the Simulation</t>
  </si>
  <si>
    <t xml:space="preserve">max. free H </t>
  </si>
  <si>
    <r>
      <t>Options</t>
    </r>
    <r>
      <rPr>
        <sz val="10"/>
        <rFont val="Arial"/>
        <family val="2"/>
      </rPr>
      <t xml:space="preserve"> of the A8 slider</t>
    </r>
  </si>
  <si>
    <t>Larger compilations of equilibrium constants and examples of on-line literature on acid-base equilibrium</t>
  </si>
  <si>
    <r>
      <t xml:space="preserve"> Overall protonation constants = </t>
    </r>
    <r>
      <rPr>
        <sz val="12"/>
        <rFont val="Symbol"/>
        <family val="1"/>
        <charset val="2"/>
      </rPr>
      <t>b</t>
    </r>
    <r>
      <rPr>
        <vertAlign val="subscript"/>
        <sz val="12"/>
        <rFont val="Arial"/>
        <family val="2"/>
      </rPr>
      <t>p</t>
    </r>
    <r>
      <rPr>
        <sz val="10"/>
        <rFont val="Arial"/>
        <family val="2"/>
      </rPr>
      <t xml:space="preserve"> = </t>
    </r>
    <r>
      <rPr>
        <sz val="12"/>
        <rFont val="Symbol"/>
        <family val="1"/>
        <charset val="2"/>
      </rPr>
      <t>S</t>
    </r>
    <r>
      <rPr>
        <sz val="12"/>
        <rFont val="Arial"/>
        <family val="2"/>
      </rPr>
      <t>K</t>
    </r>
    <r>
      <rPr>
        <vertAlign val="subscript"/>
        <sz val="14"/>
        <rFont val="Arial"/>
        <family val="2"/>
      </rPr>
      <t>p</t>
    </r>
  </si>
  <si>
    <r>
      <t>measured</t>
    </r>
    <r>
      <rPr>
        <b/>
        <sz val="10"/>
        <rFont val="Arial"/>
        <family val="2"/>
      </rPr>
      <t xml:space="preserve"> pH</t>
    </r>
  </si>
  <si>
    <t>Dimethylglyoxime</t>
  </si>
  <si>
    <t xml:space="preserve">  Correction of the pH sensor calibration</t>
  </si>
  <si>
    <t>den1</t>
  </si>
  <si>
    <t>den2</t>
  </si>
  <si>
    <t>den3</t>
  </si>
  <si>
    <t>den4</t>
  </si>
  <si>
    <t>den5</t>
  </si>
  <si>
    <t>den6</t>
  </si>
  <si>
    <t>den7</t>
  </si>
  <si>
    <t>den1 titrant</t>
  </si>
  <si>
    <t>den2 titrant</t>
  </si>
  <si>
    <t>den3 titrant</t>
  </si>
  <si>
    <r>
      <t>I</t>
    </r>
    <r>
      <rPr>
        <b/>
        <sz val="10"/>
        <rFont val="Arial"/>
        <family val="2"/>
      </rPr>
      <t>1</t>
    </r>
  </si>
  <si>
    <r>
      <t>I</t>
    </r>
    <r>
      <rPr>
        <b/>
        <sz val="10"/>
        <rFont val="Arial"/>
        <family val="2"/>
      </rPr>
      <t>2</t>
    </r>
    <r>
      <rPr>
        <sz val="10"/>
        <rFont val="Arial"/>
        <family val="2"/>
      </rPr>
      <t/>
    </r>
  </si>
  <si>
    <r>
      <t>I</t>
    </r>
    <r>
      <rPr>
        <b/>
        <sz val="10"/>
        <rFont val="Arial"/>
        <family val="2"/>
      </rPr>
      <t>3</t>
    </r>
    <r>
      <rPr>
        <sz val="10"/>
        <rFont val="Arial"/>
        <family val="2"/>
      </rPr>
      <t/>
    </r>
  </si>
  <si>
    <r>
      <t>I</t>
    </r>
    <r>
      <rPr>
        <b/>
        <sz val="10"/>
        <rFont val="Arial"/>
        <family val="2"/>
      </rPr>
      <t>4</t>
    </r>
    <r>
      <rPr>
        <sz val="10"/>
        <rFont val="Arial"/>
        <family val="2"/>
      </rPr>
      <t/>
    </r>
  </si>
  <si>
    <r>
      <t>I</t>
    </r>
    <r>
      <rPr>
        <b/>
        <sz val="10"/>
        <rFont val="Arial"/>
        <family val="2"/>
      </rPr>
      <t>5</t>
    </r>
    <r>
      <rPr>
        <sz val="10"/>
        <rFont val="Arial"/>
        <family val="2"/>
      </rPr>
      <t/>
    </r>
  </si>
  <si>
    <r>
      <t>I</t>
    </r>
    <r>
      <rPr>
        <b/>
        <sz val="10"/>
        <rFont val="Arial"/>
        <family val="2"/>
      </rPr>
      <t>6</t>
    </r>
    <r>
      <rPr>
        <sz val="10"/>
        <rFont val="Arial"/>
        <family val="2"/>
      </rPr>
      <t/>
    </r>
  </si>
  <si>
    <r>
      <t>I</t>
    </r>
    <r>
      <rPr>
        <b/>
        <sz val="10"/>
        <rFont val="Arial"/>
        <family val="2"/>
      </rPr>
      <t>7</t>
    </r>
    <r>
      <rPr>
        <sz val="10"/>
        <rFont val="Arial"/>
        <family val="2"/>
      </rPr>
      <t/>
    </r>
  </si>
  <si>
    <r>
      <t>I</t>
    </r>
    <r>
      <rPr>
        <b/>
        <sz val="10"/>
        <rFont val="Arial"/>
        <family val="2"/>
      </rPr>
      <t>1 titrant</t>
    </r>
  </si>
  <si>
    <r>
      <t>I</t>
    </r>
    <r>
      <rPr>
        <b/>
        <sz val="10"/>
        <rFont val="Arial"/>
        <family val="2"/>
      </rPr>
      <t>2 titrant</t>
    </r>
  </si>
  <si>
    <r>
      <t>I</t>
    </r>
    <r>
      <rPr>
        <b/>
        <sz val="10"/>
        <rFont val="Arial"/>
        <family val="2"/>
      </rPr>
      <t>3 titrant</t>
    </r>
  </si>
  <si>
    <r>
      <t>CH</t>
    </r>
    <r>
      <rPr>
        <sz val="8"/>
        <rFont val="Arial"/>
        <family val="2"/>
      </rPr>
      <t>Reg</t>
    </r>
  </si>
  <si>
    <t>weighted</t>
  </si>
  <si>
    <t>Counterion charge</t>
  </si>
  <si>
    <r>
      <rPr>
        <sz val="10"/>
        <rFont val="Arial"/>
        <family val="2"/>
      </rPr>
      <t xml:space="preserve">and </t>
    </r>
    <r>
      <rPr>
        <sz val="12"/>
        <rFont val="Symbol"/>
        <family val="1"/>
        <charset val="2"/>
      </rPr>
      <t xml:space="preserve">g </t>
    </r>
    <r>
      <rPr>
        <sz val="11"/>
        <rFont val="Arial"/>
        <family val="2"/>
      </rPr>
      <t>H</t>
    </r>
    <r>
      <rPr>
        <vertAlign val="superscript"/>
        <sz val="12"/>
        <rFont val="Arial"/>
        <family val="2"/>
      </rPr>
      <t>+</t>
    </r>
    <r>
      <rPr>
        <sz val="12"/>
        <rFont val="Arial"/>
        <family val="2"/>
      </rPr>
      <t>=</t>
    </r>
  </si>
  <si>
    <r>
      <t>S</t>
    </r>
    <r>
      <rPr>
        <sz val="10"/>
        <rFont val="Arial"/>
        <family val="2"/>
      </rPr>
      <t>z</t>
    </r>
    <r>
      <rPr>
        <vertAlign val="subscript"/>
        <sz val="12"/>
        <rFont val="Arial"/>
        <family val="2"/>
      </rPr>
      <t>i</t>
    </r>
    <r>
      <rPr>
        <vertAlign val="superscript"/>
        <sz val="12"/>
        <rFont val="Arial"/>
        <family val="2"/>
      </rPr>
      <t>2</t>
    </r>
    <r>
      <rPr>
        <sz val="10"/>
        <rFont val="Arial"/>
        <family val="2"/>
      </rPr>
      <t>C</t>
    </r>
    <r>
      <rPr>
        <vertAlign val="subscript"/>
        <sz val="12"/>
        <rFont val="Arial"/>
        <family val="2"/>
      </rPr>
      <t>i</t>
    </r>
  </si>
  <si>
    <t>Titrant ions</t>
  </si>
  <si>
    <t>Acid/base ions</t>
  </si>
  <si>
    <r>
      <rPr>
        <sz val="10"/>
        <rFont val="Symbol"/>
        <family val="1"/>
        <charset val="2"/>
      </rPr>
      <t>S</t>
    </r>
    <r>
      <rPr>
        <sz val="10"/>
        <rFont val="Arial"/>
        <family val="2"/>
      </rPr>
      <t>z</t>
    </r>
    <r>
      <rPr>
        <vertAlign val="subscript"/>
        <sz val="12"/>
        <rFont val="Arial"/>
        <family val="2"/>
      </rPr>
      <t>i</t>
    </r>
    <r>
      <rPr>
        <sz val="10"/>
        <rFont val="Arial"/>
        <family val="2"/>
      </rPr>
      <t>C</t>
    </r>
    <r>
      <rPr>
        <vertAlign val="subscript"/>
        <sz val="12"/>
        <rFont val="Arial"/>
        <family val="2"/>
      </rPr>
      <t>i</t>
    </r>
  </si>
  <si>
    <r>
      <rPr>
        <sz val="10"/>
        <rFont val="Symbol"/>
        <family val="1"/>
        <charset val="2"/>
      </rPr>
      <t>S</t>
    </r>
    <r>
      <rPr>
        <sz val="10"/>
        <rFont val="Arial"/>
        <family val="2"/>
      </rPr>
      <t>z</t>
    </r>
    <r>
      <rPr>
        <vertAlign val="subscript"/>
        <sz val="12"/>
        <rFont val="Arial"/>
        <family val="2"/>
      </rPr>
      <t>j</t>
    </r>
    <r>
      <rPr>
        <sz val="10"/>
        <rFont val="Arial"/>
        <family val="2"/>
      </rPr>
      <t>C</t>
    </r>
    <r>
      <rPr>
        <vertAlign val="subscript"/>
        <sz val="12"/>
        <rFont val="Arial"/>
        <family val="2"/>
      </rPr>
      <t>j</t>
    </r>
  </si>
  <si>
    <r>
      <t>S</t>
    </r>
    <r>
      <rPr>
        <sz val="10"/>
        <rFont val="Arial"/>
        <family val="2"/>
      </rPr>
      <t>C</t>
    </r>
    <r>
      <rPr>
        <vertAlign val="subscript"/>
        <sz val="12"/>
        <rFont val="Arial"/>
        <family val="2"/>
      </rPr>
      <t>k(</t>
    </r>
    <r>
      <rPr>
        <vertAlign val="subscript"/>
        <sz val="14"/>
        <rFont val="Arial"/>
        <family val="2"/>
      </rPr>
      <t>z=1</t>
    </r>
    <r>
      <rPr>
        <vertAlign val="subscript"/>
        <sz val="12"/>
        <rFont val="Arial"/>
        <family val="2"/>
      </rPr>
      <t>)</t>
    </r>
  </si>
  <si>
    <r>
      <t>S</t>
    </r>
    <r>
      <rPr>
        <sz val="10"/>
        <rFont val="Arial"/>
        <family val="2"/>
      </rPr>
      <t>C</t>
    </r>
    <r>
      <rPr>
        <vertAlign val="subscript"/>
        <sz val="12"/>
        <rFont val="Arial"/>
        <family val="2"/>
      </rPr>
      <t>k(</t>
    </r>
    <r>
      <rPr>
        <vertAlign val="subscript"/>
        <sz val="14"/>
        <rFont val="Arial"/>
        <family val="2"/>
      </rPr>
      <t>z=2</t>
    </r>
    <r>
      <rPr>
        <vertAlign val="subscript"/>
        <sz val="12"/>
        <rFont val="Arial"/>
        <family val="2"/>
      </rPr>
      <t>)</t>
    </r>
  </si>
  <si>
    <t>(z = ion charge)</t>
  </si>
  <si>
    <r>
      <t>Total</t>
    </r>
    <r>
      <rPr>
        <sz val="10"/>
        <rFont val="Bookman Old Style"/>
        <family val="1"/>
      </rPr>
      <t xml:space="preserve"> I </t>
    </r>
  </si>
  <si>
    <r>
      <t>[H</t>
    </r>
    <r>
      <rPr>
        <vertAlign val="superscript"/>
        <sz val="12"/>
        <rFont val="Arial"/>
        <family val="2"/>
      </rPr>
      <t>+</t>
    </r>
    <r>
      <rPr>
        <sz val="10"/>
        <rFont val="Arial"/>
        <family val="2"/>
      </rPr>
      <t>]</t>
    </r>
  </si>
  <si>
    <t>for acids/bases</t>
  </si>
  <si>
    <t>of counter-ions</t>
  </si>
  <si>
    <t>Other ions</t>
  </si>
  <si>
    <r>
      <rPr>
        <sz val="10"/>
        <rFont val="Arial"/>
        <family val="2"/>
      </rPr>
      <t>1/2.</t>
    </r>
    <r>
      <rPr>
        <sz val="10"/>
        <rFont val="Symbol"/>
        <family val="1"/>
        <charset val="2"/>
      </rPr>
      <t>S</t>
    </r>
    <r>
      <rPr>
        <sz val="10"/>
        <rFont val="Arial"/>
        <family val="2"/>
      </rPr>
      <t>C</t>
    </r>
    <r>
      <rPr>
        <vertAlign val="subscript"/>
        <sz val="12"/>
        <rFont val="Arial"/>
        <family val="2"/>
      </rPr>
      <t>j</t>
    </r>
    <r>
      <rPr>
        <sz val="10"/>
        <rFont val="Arial"/>
        <family val="2"/>
      </rPr>
      <t>z</t>
    </r>
    <r>
      <rPr>
        <vertAlign val="subscript"/>
        <sz val="12"/>
        <rFont val="Arial"/>
        <family val="2"/>
      </rPr>
      <t>j</t>
    </r>
    <r>
      <rPr>
        <vertAlign val="superscript"/>
        <sz val="12"/>
        <rFont val="Arial"/>
        <family val="2"/>
      </rPr>
      <t>2</t>
    </r>
    <r>
      <rPr>
        <sz val="12"/>
        <rFont val="Arial"/>
        <family val="2"/>
      </rPr>
      <t xml:space="preserve"> = </t>
    </r>
    <r>
      <rPr>
        <sz val="10"/>
        <rFont val="Bookman Old Style"/>
        <family val="1"/>
      </rPr>
      <t>I</t>
    </r>
    <r>
      <rPr>
        <vertAlign val="subscript"/>
        <sz val="12"/>
        <rFont val="Arial"/>
        <family val="2"/>
      </rPr>
      <t>j</t>
    </r>
  </si>
  <si>
    <r>
      <rPr>
        <sz val="10"/>
        <rFont val="Arial"/>
        <family val="2"/>
      </rPr>
      <t>1/2.</t>
    </r>
    <r>
      <rPr>
        <sz val="10"/>
        <rFont val="Symbol"/>
        <family val="1"/>
        <charset val="2"/>
      </rPr>
      <t>S</t>
    </r>
    <r>
      <rPr>
        <sz val="10"/>
        <rFont val="Arial"/>
        <family val="2"/>
      </rPr>
      <t>C</t>
    </r>
    <r>
      <rPr>
        <vertAlign val="subscript"/>
        <sz val="12"/>
        <rFont val="Arial"/>
        <family val="2"/>
      </rPr>
      <t>k</t>
    </r>
    <r>
      <rPr>
        <sz val="10"/>
        <rFont val="Arial"/>
        <family val="2"/>
      </rPr>
      <t>z</t>
    </r>
    <r>
      <rPr>
        <vertAlign val="subscript"/>
        <sz val="12"/>
        <rFont val="Arial"/>
        <family val="2"/>
      </rPr>
      <t>k</t>
    </r>
    <r>
      <rPr>
        <vertAlign val="superscript"/>
        <sz val="12"/>
        <rFont val="Arial"/>
        <family val="2"/>
      </rPr>
      <t>2</t>
    </r>
    <r>
      <rPr>
        <sz val="12"/>
        <rFont val="Arial"/>
        <family val="2"/>
      </rPr>
      <t xml:space="preserve"> = </t>
    </r>
    <r>
      <rPr>
        <sz val="10"/>
        <rFont val="Bookman Old Style"/>
        <family val="1"/>
      </rPr>
      <t>I</t>
    </r>
    <r>
      <rPr>
        <vertAlign val="subscript"/>
        <sz val="12"/>
        <rFont val="Arial"/>
        <family val="2"/>
      </rPr>
      <t>k</t>
    </r>
  </si>
  <si>
    <t>Ready for 100 real or simulated data points; to expand range to 160, copy all columns, from line 141 down to 200</t>
  </si>
  <si>
    <t>at given pH</t>
  </si>
  <si>
    <r>
      <rPr>
        <sz val="8"/>
        <rFont val="Arial"/>
        <family val="2"/>
      </rPr>
      <t>1/2</t>
    </r>
    <r>
      <rPr>
        <sz val="10"/>
        <rFont val="Arial"/>
        <family val="2"/>
      </rPr>
      <t>.</t>
    </r>
    <r>
      <rPr>
        <sz val="10"/>
        <rFont val="Symbol"/>
        <family val="1"/>
        <charset val="2"/>
      </rPr>
      <t>S</t>
    </r>
    <r>
      <rPr>
        <sz val="10"/>
        <rFont val="Arial"/>
        <family val="2"/>
      </rPr>
      <t>C</t>
    </r>
    <r>
      <rPr>
        <vertAlign val="subscript"/>
        <sz val="12"/>
        <rFont val="Arial"/>
        <family val="2"/>
      </rPr>
      <t>i</t>
    </r>
    <r>
      <rPr>
        <sz val="10"/>
        <rFont val="Arial"/>
        <family val="2"/>
      </rPr>
      <t>z</t>
    </r>
    <r>
      <rPr>
        <vertAlign val="subscript"/>
        <sz val="12"/>
        <rFont val="Arial"/>
        <family val="2"/>
      </rPr>
      <t>i</t>
    </r>
    <r>
      <rPr>
        <vertAlign val="superscript"/>
        <sz val="12"/>
        <rFont val="Arial"/>
        <family val="2"/>
      </rPr>
      <t>2</t>
    </r>
    <r>
      <rPr>
        <sz val="12"/>
        <rFont val="Arial"/>
        <family val="2"/>
      </rPr>
      <t xml:space="preserve"> =</t>
    </r>
    <r>
      <rPr>
        <sz val="12"/>
        <rFont val="Bookman Old Style"/>
        <family val="1"/>
      </rPr>
      <t xml:space="preserve"> </t>
    </r>
    <r>
      <rPr>
        <sz val="10"/>
        <rFont val="Bookman Old Style"/>
        <family val="1"/>
      </rPr>
      <t>I</t>
    </r>
    <r>
      <rPr>
        <vertAlign val="subscript"/>
        <sz val="12"/>
        <rFont val="Arial"/>
        <family val="2"/>
      </rPr>
      <t>i</t>
    </r>
  </si>
  <si>
    <t xml:space="preserve"> Slope (may be fitted, read comment)</t>
  </si>
  <si>
    <r>
      <t xml:space="preserve">        </t>
    </r>
    <r>
      <rPr>
        <b/>
        <sz val="10"/>
        <rFont val="Arial"/>
        <family val="2"/>
      </rPr>
      <t xml:space="preserve">Ionic Strength, </t>
    </r>
    <r>
      <rPr>
        <b/>
        <sz val="10"/>
        <rFont val="Bookman Old Style"/>
        <family val="1"/>
      </rPr>
      <t>I</t>
    </r>
    <r>
      <rPr>
        <sz val="10"/>
        <rFont val="Arial"/>
        <family val="2"/>
      </rPr>
      <t xml:space="preserve"> (initial)</t>
    </r>
  </si>
  <si>
    <r>
      <t>[OH</t>
    </r>
    <r>
      <rPr>
        <vertAlign val="superscript"/>
        <sz val="12"/>
        <rFont val="Arial"/>
        <family val="2"/>
      </rPr>
      <t>-</t>
    </r>
    <r>
      <rPr>
        <sz val="10"/>
        <rFont val="Arial"/>
        <family val="2"/>
      </rPr>
      <t>]</t>
    </r>
  </si>
  <si>
    <t xml:space="preserve"> Intersection pH (may be fitted)</t>
  </si>
  <si>
    <t>simulated or</t>
  </si>
  <si>
    <r>
      <t>calculated</t>
    </r>
    <r>
      <rPr>
        <b/>
        <sz val="10"/>
        <rFont val="Arial"/>
        <family val="2"/>
      </rPr>
      <t xml:space="preserve"> pH</t>
    </r>
  </si>
  <si>
    <t>from regression</t>
  </si>
  <si>
    <t>Save your data, settings and results in Curtipot_anyname.xls files to preserve the original software (optionally deleting unused spreadsheets, with exception of this first one);</t>
  </si>
  <si>
    <r>
      <t xml:space="preserve">Version 3.0 for Excel, an evolution of the DOS version with added </t>
    </r>
    <r>
      <rPr>
        <b/>
        <sz val="12"/>
        <rFont val="Arial"/>
        <family val="2"/>
      </rPr>
      <t>Regression</t>
    </r>
    <r>
      <rPr>
        <sz val="12"/>
        <rFont val="Arial"/>
        <family val="2"/>
      </rPr>
      <t xml:space="preserve"> module was released in 2006 (in Portuguese).</t>
    </r>
  </si>
  <si>
    <r>
      <rPr>
        <sz val="12"/>
        <rFont val="Symbol"/>
        <family val="1"/>
        <charset val="2"/>
      </rPr>
      <t>a</t>
    </r>
    <r>
      <rPr>
        <sz val="10"/>
        <rFont val="Arial"/>
        <family val="2"/>
      </rPr>
      <t xml:space="preserve"> B</t>
    </r>
  </si>
  <si>
    <r>
      <rPr>
        <sz val="12"/>
        <rFont val="Symbol"/>
        <family val="1"/>
        <charset val="2"/>
      </rPr>
      <t>a</t>
    </r>
    <r>
      <rPr>
        <sz val="10"/>
        <rFont val="Symbol"/>
        <family val="1"/>
        <charset val="2"/>
      </rPr>
      <t xml:space="preserve"> </t>
    </r>
    <r>
      <rPr>
        <sz val="10"/>
        <rFont val="Arial"/>
        <family val="2"/>
      </rPr>
      <t>HB</t>
    </r>
  </si>
  <si>
    <r>
      <rPr>
        <sz val="12"/>
        <rFont val="Symbol"/>
        <family val="1"/>
        <charset val="2"/>
      </rPr>
      <t>a</t>
    </r>
    <r>
      <rPr>
        <sz val="10"/>
        <rFont val="Symbol"/>
        <family val="1"/>
        <charset val="2"/>
      </rPr>
      <t xml:space="preserve"> </t>
    </r>
    <r>
      <rPr>
        <sz val="10"/>
        <rFont val="Arial"/>
        <family val="2"/>
      </rPr>
      <t>H</t>
    </r>
    <r>
      <rPr>
        <vertAlign val="subscript"/>
        <sz val="12"/>
        <rFont val="Arial"/>
        <family val="2"/>
      </rPr>
      <t>2</t>
    </r>
    <r>
      <rPr>
        <sz val="10"/>
        <rFont val="Arial"/>
        <family val="2"/>
      </rPr>
      <t>B</t>
    </r>
  </si>
  <si>
    <r>
      <rPr>
        <sz val="12"/>
        <rFont val="Symbol"/>
        <family val="1"/>
        <charset val="2"/>
      </rPr>
      <t>a</t>
    </r>
    <r>
      <rPr>
        <sz val="10"/>
        <rFont val="Arial"/>
        <family val="2"/>
      </rPr>
      <t xml:space="preserve"> H</t>
    </r>
    <r>
      <rPr>
        <vertAlign val="subscript"/>
        <sz val="12"/>
        <rFont val="Arial"/>
        <family val="2"/>
      </rPr>
      <t>3</t>
    </r>
    <r>
      <rPr>
        <sz val="10"/>
        <rFont val="Arial"/>
        <family val="2"/>
      </rPr>
      <t>B</t>
    </r>
  </si>
  <si>
    <r>
      <rPr>
        <sz val="12"/>
        <rFont val="Symbol"/>
        <family val="1"/>
        <charset val="2"/>
      </rPr>
      <t>a</t>
    </r>
    <r>
      <rPr>
        <sz val="10"/>
        <rFont val="Symbol"/>
        <family val="1"/>
        <charset val="2"/>
      </rPr>
      <t xml:space="preserve"> </t>
    </r>
    <r>
      <rPr>
        <sz val="10"/>
        <rFont val="Arial"/>
        <family val="2"/>
      </rPr>
      <t>H</t>
    </r>
    <r>
      <rPr>
        <vertAlign val="subscript"/>
        <sz val="12"/>
        <rFont val="Arial"/>
        <family val="2"/>
      </rPr>
      <t>4</t>
    </r>
    <r>
      <rPr>
        <sz val="10"/>
        <rFont val="Arial"/>
        <family val="2"/>
      </rPr>
      <t>B</t>
    </r>
  </si>
  <si>
    <r>
      <rPr>
        <sz val="12"/>
        <rFont val="Symbol"/>
        <family val="1"/>
        <charset val="2"/>
      </rPr>
      <t>a</t>
    </r>
    <r>
      <rPr>
        <sz val="10"/>
        <rFont val="Arial"/>
        <family val="2"/>
      </rPr>
      <t xml:space="preserve"> H</t>
    </r>
    <r>
      <rPr>
        <vertAlign val="subscript"/>
        <sz val="12"/>
        <rFont val="Arial"/>
        <family val="2"/>
      </rPr>
      <t>5</t>
    </r>
    <r>
      <rPr>
        <sz val="10"/>
        <rFont val="Arial"/>
        <family val="2"/>
      </rPr>
      <t>B</t>
    </r>
  </si>
  <si>
    <r>
      <rPr>
        <sz val="12"/>
        <rFont val="Symbol"/>
        <family val="1"/>
        <charset val="2"/>
      </rPr>
      <t>a</t>
    </r>
    <r>
      <rPr>
        <sz val="10"/>
        <rFont val="Arial"/>
        <family val="2"/>
      </rPr>
      <t xml:space="preserve"> H</t>
    </r>
    <r>
      <rPr>
        <vertAlign val="subscript"/>
        <sz val="12"/>
        <rFont val="Arial"/>
        <family val="2"/>
      </rPr>
      <t>6</t>
    </r>
    <r>
      <rPr>
        <sz val="10"/>
        <rFont val="Arial"/>
        <family val="2"/>
      </rPr>
      <t>B</t>
    </r>
  </si>
  <si>
    <t>&lt;--- read comment</t>
  </si>
  <si>
    <t>&lt;--- read important remarks and instructions</t>
  </si>
  <si>
    <t>&lt;--- read instructions</t>
  </si>
  <si>
    <r>
      <t>Update curve(s)</t>
    </r>
    <r>
      <rPr>
        <sz val="10"/>
        <color indexed="23"/>
        <rFont val="Arial"/>
        <family val="2"/>
      </rPr>
      <t xml:space="preserve"> after any change in Simulation, Evaluation or Regression </t>
    </r>
  </si>
  <si>
    <r>
      <t>a</t>
    </r>
    <r>
      <rPr>
        <vertAlign val="subscript"/>
        <sz val="13"/>
        <rFont val="Symbol"/>
        <family val="1"/>
        <charset val="2"/>
      </rPr>
      <t xml:space="preserve"> </t>
    </r>
    <r>
      <rPr>
        <vertAlign val="subscript"/>
        <sz val="13"/>
        <rFont val="Arial"/>
        <family val="2"/>
      </rPr>
      <t>OH-</t>
    </r>
  </si>
  <si>
    <r>
      <t xml:space="preserve">g </t>
    </r>
    <r>
      <rPr>
        <sz val="11"/>
        <rFont val="Arial"/>
        <family val="2"/>
      </rPr>
      <t>OH</t>
    </r>
    <r>
      <rPr>
        <vertAlign val="superscript"/>
        <sz val="11"/>
        <rFont val="Arial"/>
        <family val="2"/>
      </rPr>
      <t>-</t>
    </r>
  </si>
  <si>
    <t>Buffer</t>
  </si>
  <si>
    <t>Capacity</t>
  </si>
  <si>
    <t>pH (-6 a 0)</t>
  </si>
  <si>
    <t>n*pH/6</t>
  </si>
  <si>
    <t>n*pH/8</t>
  </si>
  <si>
    <r>
      <t xml:space="preserve">•  </t>
    </r>
    <r>
      <rPr>
        <b/>
        <sz val="13"/>
        <rFont val="Arial"/>
        <family val="2"/>
      </rPr>
      <t>pH calculation</t>
    </r>
    <r>
      <rPr>
        <sz val="13"/>
        <rFont val="Arial"/>
        <family val="2"/>
      </rPr>
      <t xml:space="preserve"> of aqueous solutions with activity coefficient and buffer capacity estimation (mixtures of up to seven hexaprotic systems)</t>
    </r>
  </si>
  <si>
    <t>Member of the Brazilian Academy of Sciences</t>
  </si>
  <si>
    <r>
      <rPr>
        <b/>
        <sz val="18"/>
        <rFont val="Bookman Old Style"/>
        <family val="1"/>
      </rPr>
      <t>CurTiPot</t>
    </r>
    <r>
      <rPr>
        <b/>
        <sz val="14"/>
        <rFont val="Arial"/>
        <family val="2"/>
      </rPr>
      <t xml:space="preserve"> </t>
    </r>
    <r>
      <rPr>
        <b/>
        <sz val="16"/>
        <rFont val="Arial"/>
        <family val="2"/>
      </rPr>
      <t>main features and uses</t>
    </r>
    <r>
      <rPr>
        <b/>
        <sz val="14"/>
        <rFont val="Arial"/>
        <family val="2"/>
      </rPr>
      <t/>
    </r>
  </si>
  <si>
    <r>
      <t>[H</t>
    </r>
    <r>
      <rPr>
        <vertAlign val="superscript"/>
        <sz val="11"/>
        <rFont val="Arial"/>
        <family val="2"/>
      </rPr>
      <t>+</t>
    </r>
    <r>
      <rPr>
        <sz val="11"/>
        <rFont val="Arial"/>
        <family val="2"/>
      </rPr>
      <t>]</t>
    </r>
  </si>
  <si>
    <r>
      <t>[OH</t>
    </r>
    <r>
      <rPr>
        <vertAlign val="superscript"/>
        <sz val="11"/>
        <rFont val="Arial"/>
        <family val="2"/>
      </rPr>
      <t>-</t>
    </r>
    <r>
      <rPr>
        <sz val="11"/>
        <rFont val="Arial"/>
        <family val="2"/>
      </rPr>
      <t>]</t>
    </r>
  </si>
  <si>
    <r>
      <t>"[H</t>
    </r>
    <r>
      <rPr>
        <vertAlign val="superscript"/>
        <sz val="11"/>
        <rFont val="Arial"/>
        <family val="2"/>
      </rPr>
      <t>+</t>
    </r>
    <r>
      <rPr>
        <sz val="11"/>
        <rFont val="Arial"/>
        <family val="2"/>
      </rPr>
      <t>]"</t>
    </r>
  </si>
  <si>
    <r>
      <t>"[OH</t>
    </r>
    <r>
      <rPr>
        <vertAlign val="superscript"/>
        <sz val="11"/>
        <rFont val="Arial"/>
        <family val="2"/>
      </rPr>
      <t>-</t>
    </r>
    <r>
      <rPr>
        <sz val="11"/>
        <rFont val="Arial"/>
        <family val="2"/>
      </rPr>
      <t>]"</t>
    </r>
  </si>
  <si>
    <t>or p[H]=</t>
  </si>
  <si>
    <t>"pOH"</t>
  </si>
  <si>
    <r>
      <t>z</t>
    </r>
    <r>
      <rPr>
        <vertAlign val="subscript"/>
        <sz val="12"/>
        <rFont val="Arial"/>
        <family val="2"/>
      </rPr>
      <t>m</t>
    </r>
  </si>
  <si>
    <r>
      <t>h</t>
    </r>
    <r>
      <rPr>
        <vertAlign val="subscript"/>
        <sz val="12"/>
        <rFont val="Arial"/>
        <family val="2"/>
      </rPr>
      <t>m</t>
    </r>
  </si>
  <si>
    <t xml:space="preserve">     Buffer Strength</t>
  </si>
  <si>
    <r>
      <t xml:space="preserve">    </t>
    </r>
    <r>
      <rPr>
        <b/>
        <sz val="11"/>
        <rFont val="Arial"/>
        <family val="2"/>
      </rPr>
      <t xml:space="preserve">Ionic strength </t>
    </r>
    <r>
      <rPr>
        <sz val="11"/>
        <rFont val="Arial"/>
        <family val="2"/>
      </rPr>
      <t xml:space="preserve">(mol/L)     </t>
    </r>
  </si>
  <si>
    <t>vs</t>
  </si>
  <si>
    <r>
      <t>z</t>
    </r>
    <r>
      <rPr>
        <vertAlign val="subscript"/>
        <sz val="14"/>
        <rFont val="Arial"/>
        <family val="2"/>
      </rPr>
      <t>m</t>
    </r>
  </si>
  <si>
    <t>z+N.pH/14</t>
  </si>
  <si>
    <t>Mean charge of species HiB</t>
  </si>
  <si>
    <t>scale</t>
  </si>
  <si>
    <r>
      <t xml:space="preserve"> Mean charge (z</t>
    </r>
    <r>
      <rPr>
        <b/>
        <vertAlign val="subscript"/>
        <sz val="12"/>
        <rFont val="Arial"/>
        <family val="2"/>
      </rPr>
      <t>m</t>
    </r>
    <r>
      <rPr>
        <b/>
        <sz val="11"/>
        <rFont val="Arial"/>
        <family val="2"/>
      </rPr>
      <t>) and mean protonation (h</t>
    </r>
    <r>
      <rPr>
        <b/>
        <vertAlign val="subscript"/>
        <sz val="12"/>
        <rFont val="Arial"/>
        <family val="2"/>
      </rPr>
      <t>m</t>
    </r>
    <r>
      <rPr>
        <b/>
        <sz val="11"/>
        <rFont val="Arial"/>
        <family val="2"/>
      </rPr>
      <t>) of the equilibrium H</t>
    </r>
    <r>
      <rPr>
        <b/>
        <vertAlign val="subscript"/>
        <sz val="14"/>
        <rFont val="Arial"/>
        <family val="2"/>
      </rPr>
      <t>i</t>
    </r>
    <r>
      <rPr>
        <b/>
        <sz val="11"/>
        <rFont val="Arial"/>
        <family val="2"/>
      </rPr>
      <t>B  species at pH</t>
    </r>
  </si>
  <si>
    <r>
      <t>mol.L</t>
    </r>
    <r>
      <rPr>
        <vertAlign val="superscript"/>
        <sz val="12"/>
        <rFont val="Arial"/>
        <family val="2"/>
      </rPr>
      <t>-1</t>
    </r>
    <r>
      <rPr>
        <sz val="11"/>
        <rFont val="Arial"/>
        <family val="2"/>
      </rPr>
      <t>.pH</t>
    </r>
    <r>
      <rPr>
        <vertAlign val="superscript"/>
        <sz val="12"/>
        <rFont val="Arial"/>
        <family val="2"/>
      </rPr>
      <t>-1</t>
    </r>
  </si>
  <si>
    <r>
      <t xml:space="preserve">   Buffer Capacity (Buffer Index, </t>
    </r>
    <r>
      <rPr>
        <b/>
        <sz val="11"/>
        <rFont val="Symbol"/>
        <family val="1"/>
        <charset val="2"/>
      </rPr>
      <t>D</t>
    </r>
    <r>
      <rPr>
        <b/>
        <sz val="11"/>
        <rFont val="Arial"/>
        <family val="2"/>
      </rPr>
      <t>C/</t>
    </r>
    <r>
      <rPr>
        <sz val="11"/>
        <rFont val="Symbol"/>
        <family val="1"/>
        <charset val="2"/>
      </rPr>
      <t>D</t>
    </r>
    <r>
      <rPr>
        <b/>
        <sz val="11"/>
        <rFont val="Arial"/>
        <family val="2"/>
      </rPr>
      <t>pH)</t>
    </r>
  </si>
  <si>
    <t>Do not change or delete</t>
  </si>
  <si>
    <t>Dil. factor</t>
  </si>
  <si>
    <t>Dil. Factor</t>
  </si>
  <si>
    <t>Temperature</t>
  </si>
  <si>
    <t>Ionic strength</t>
  </si>
  <si>
    <t>for pH</t>
  </si>
  <si>
    <t xml:space="preserve">for pH </t>
  </si>
  <si>
    <t xml:space="preserve">   Stepwise apparent constants recalculated for I </t>
  </si>
  <si>
    <t xml:space="preserve">and I </t>
  </si>
  <si>
    <t>Fellow of the International Union of Pure and Applied Chemistry</t>
  </si>
  <si>
    <r>
      <t>Version 3.5, Jan/Feb 2010, calculates Buffer Capacity (BC) and medium charge (z</t>
    </r>
    <r>
      <rPr>
        <vertAlign val="subscript"/>
        <sz val="14"/>
        <rFont val="Arial"/>
        <family val="2"/>
      </rPr>
      <t>m</t>
    </r>
    <r>
      <rPr>
        <sz val="12"/>
        <rFont val="Arial"/>
        <family val="2"/>
      </rPr>
      <t>) (pH_calc module) and plots BC and z</t>
    </r>
    <r>
      <rPr>
        <vertAlign val="subscript"/>
        <sz val="14"/>
        <rFont val="Arial"/>
        <family val="2"/>
      </rPr>
      <t>m</t>
    </r>
    <r>
      <rPr>
        <sz val="12"/>
        <rFont val="Arial"/>
        <family val="2"/>
      </rPr>
      <t xml:space="preserve"> and finds the isoelectric point (Distribution module).</t>
    </r>
  </si>
  <si>
    <r>
      <t xml:space="preserve">Play and learn with the </t>
    </r>
    <r>
      <rPr>
        <b/>
        <sz val="12"/>
        <rFont val="Arial"/>
        <family val="2"/>
      </rPr>
      <t>Distribution</t>
    </r>
    <r>
      <rPr>
        <sz val="12"/>
        <rFont val="Arial"/>
        <family val="2"/>
      </rPr>
      <t xml:space="preserve"> module; enjoy the </t>
    </r>
    <r>
      <rPr>
        <b/>
        <sz val="12"/>
        <rFont val="Arial"/>
        <family val="2"/>
      </rPr>
      <t>Graphs</t>
    </r>
    <r>
      <rPr>
        <sz val="12"/>
        <rFont val="Arial"/>
        <family val="2"/>
      </rPr>
      <t xml:space="preserve"> before you advance to the less simple but more powerful </t>
    </r>
    <r>
      <rPr>
        <b/>
        <sz val="12"/>
        <rFont val="Arial"/>
        <family val="2"/>
      </rPr>
      <t>Regression</t>
    </r>
    <r>
      <rPr>
        <sz val="12"/>
        <rFont val="Arial"/>
        <family val="2"/>
      </rPr>
      <t xml:space="preserve"> module to fit concentrations and pKas;</t>
    </r>
  </si>
  <si>
    <r>
      <t xml:space="preserve">The software </t>
    </r>
    <r>
      <rPr>
        <sz val="12"/>
        <rFont val="Bookman Old Style"/>
        <family val="1"/>
      </rPr>
      <t>CurTiPot,</t>
    </r>
    <r>
      <rPr>
        <sz val="12"/>
        <rFont val="Arial"/>
        <family val="2"/>
      </rPr>
      <t xml:space="preserve"> version 1.0 for DOS (Borland Turbo Basic and Microsoft Disk Operating System), was created in 1991 and launched in 1992.</t>
    </r>
  </si>
  <si>
    <t xml:space="preserve">    Overall apparent protonation constants recalculated for I</t>
  </si>
  <si>
    <t xml:space="preserve">         Distribution Diagrams, Buffer Capacity and Protonation Curves</t>
  </si>
  <si>
    <t xml:space="preserve">             pH Calculator</t>
  </si>
  <si>
    <r>
      <t>SO</t>
    </r>
    <r>
      <rPr>
        <vertAlign val="subscript"/>
        <sz val="10"/>
        <rFont val="Arial"/>
        <family val="2"/>
      </rPr>
      <t>4</t>
    </r>
    <r>
      <rPr>
        <vertAlign val="superscript"/>
        <sz val="10"/>
        <rFont val="Arial"/>
        <family val="2"/>
      </rPr>
      <t>=</t>
    </r>
  </si>
  <si>
    <r>
      <t>d</t>
    </r>
    <r>
      <rPr>
        <vertAlign val="superscript"/>
        <sz val="10"/>
        <rFont val="Arial"/>
        <family val="2"/>
      </rPr>
      <t>2</t>
    </r>
    <r>
      <rPr>
        <sz val="10"/>
        <rFont val="Arial"/>
        <family val="2"/>
      </rPr>
      <t>pH/dV</t>
    </r>
    <r>
      <rPr>
        <vertAlign val="superscript"/>
        <sz val="10"/>
        <rFont val="Arial"/>
        <family val="2"/>
      </rPr>
      <t>2</t>
    </r>
  </si>
  <si>
    <t xml:space="preserve">Fit quality of the splines to pH   </t>
  </si>
  <si>
    <r>
      <rPr>
        <b/>
        <sz val="12"/>
        <rFont val="Arial"/>
        <family val="2"/>
      </rPr>
      <t xml:space="preserve">Inflection auto-finder </t>
    </r>
    <r>
      <rPr>
        <sz val="10"/>
        <rFont val="Arial"/>
        <family val="2"/>
      </rPr>
      <t>- first-derivative-based</t>
    </r>
  </si>
  <si>
    <t xml:space="preserve">         D  o     n  o  t     c  h  a  n  g  e </t>
  </si>
  <si>
    <t xml:space="preserve">Fitted pH std. dev. </t>
  </si>
  <si>
    <t>Detector threshold |dpH/dV| &gt;</t>
  </si>
  <si>
    <t>guess value</t>
  </si>
  <si>
    <t xml:space="preserve">F i l l   o u t </t>
  </si>
  <si>
    <t xml:space="preserve">o r  </t>
  </si>
  <si>
    <t xml:space="preserve"> c h a n g e</t>
  </si>
  <si>
    <t>Correlation coefficient</t>
  </si>
  <si>
    <t>Detected inflection points</t>
  </si>
  <si>
    <t xml:space="preserve">    Interpolated spline smoothed data</t>
  </si>
  <si>
    <t>step</t>
  </si>
  <si>
    <t>Titrand concentration calculator</t>
  </si>
  <si>
    <t>(optional and modifiable)</t>
  </si>
  <si>
    <t xml:space="preserve">  mL</t>
  </si>
  <si>
    <t xml:space="preserve">Concentration of titrant (in the buret)  </t>
  </si>
  <si>
    <t xml:space="preserve">  mol/L</t>
  </si>
  <si>
    <t xml:space="preserve">  Number of mols of titrant</t>
  </si>
  <si>
    <t>Result (mol/L)</t>
  </si>
  <si>
    <t>total</t>
  </si>
  <si>
    <t>stepwise</t>
  </si>
  <si>
    <t>[H3PO4] =  0,0501 mol/L in the 20 mL of sample</t>
  </si>
  <si>
    <t xml:space="preserve">To enable the execution of macro-instructions in MS Excel follow instructions at the right   -------&gt;               -------&gt;               -------&gt;               -------&gt;               -------&gt;               -------&gt;              </t>
  </si>
  <si>
    <t>http://www.chemicalize.org/</t>
  </si>
  <si>
    <t>Tutorial on acids and bases (and other) equilibria</t>
  </si>
  <si>
    <t>Tutorial on titrations of acids and bases</t>
  </si>
  <si>
    <t>http://www.asdlib.org/onlineArticles/ecourseware/Text_Files_files/Chapter6.pdf</t>
  </si>
  <si>
    <t>http://www.asdlib.org/onlineArticles/ecourseware/Text_Files_files/Chapter9.pdf</t>
  </si>
  <si>
    <t>Conversion of dissociation constants of acids into protonation constants of their conjugated bases</t>
  </si>
  <si>
    <t xml:space="preserve"> pKas of the acids and bases in the solution</t>
  </si>
  <si>
    <t xml:space="preserve">       pKas loaded from the Database </t>
  </si>
  <si>
    <t xml:space="preserve">    Titrand</t>
  </si>
  <si>
    <t>S[H]</t>
  </si>
  <si>
    <t>Titrand (sample)</t>
  </si>
  <si>
    <t>Titrant (buret)</t>
  </si>
  <si>
    <r>
      <t>b</t>
    </r>
    <r>
      <rPr>
        <vertAlign val="subscript"/>
        <sz val="12"/>
        <rFont val="Arial"/>
        <family val="2"/>
      </rPr>
      <t>p1</t>
    </r>
    <r>
      <rPr>
        <sz val="11"/>
        <color theme="1"/>
        <rFont val="Calibri"/>
        <family val="2"/>
        <scheme val="minor"/>
      </rPr>
      <t/>
    </r>
  </si>
  <si>
    <r>
      <t xml:space="preserve">          Overall protonation constants = </t>
    </r>
    <r>
      <rPr>
        <b/>
        <sz val="11"/>
        <rFont val="Symbol"/>
        <family val="1"/>
        <charset val="2"/>
      </rPr>
      <t>b</t>
    </r>
    <r>
      <rPr>
        <b/>
        <sz val="11"/>
        <rFont val="Arial"/>
        <family val="2"/>
      </rPr>
      <t>p =</t>
    </r>
    <r>
      <rPr>
        <b/>
        <sz val="11"/>
        <rFont val="Symbol"/>
        <family val="1"/>
        <charset val="2"/>
      </rPr>
      <t xml:space="preserve"> P</t>
    </r>
    <r>
      <rPr>
        <b/>
        <sz val="11"/>
        <rFont val="Arial"/>
        <family val="2"/>
      </rPr>
      <t>Kp (calculated by the program)</t>
    </r>
  </si>
  <si>
    <r>
      <t>pKa</t>
    </r>
    <r>
      <rPr>
        <vertAlign val="subscript"/>
        <sz val="13"/>
        <rFont val="Arial"/>
        <family val="2"/>
      </rPr>
      <t>1</t>
    </r>
    <r>
      <rPr>
        <sz val="11"/>
        <color theme="1"/>
        <rFont val="Calibri"/>
        <family val="2"/>
        <scheme val="minor"/>
      </rPr>
      <t/>
    </r>
  </si>
  <si>
    <r>
      <t>pKa</t>
    </r>
    <r>
      <rPr>
        <vertAlign val="subscript"/>
        <sz val="13"/>
        <rFont val="Arial"/>
        <family val="2"/>
      </rPr>
      <t>2</t>
    </r>
    <r>
      <rPr>
        <sz val="11"/>
        <color theme="1"/>
        <rFont val="Calibri"/>
        <family val="2"/>
        <scheme val="minor"/>
      </rPr>
      <t/>
    </r>
  </si>
  <si>
    <t>pH &lt; pK-1</t>
  </si>
  <si>
    <t>pH = pK</t>
  </si>
  <si>
    <t>pH &gt; pK+1</t>
  </si>
  <si>
    <t>% Ind</t>
  </si>
  <si>
    <t>% Hind</t>
  </si>
  <si>
    <t>pH-meter</t>
  </si>
  <si>
    <t>Molar fraction</t>
  </si>
  <si>
    <t xml:space="preserve">         Magnetic stirrer</t>
  </si>
  <si>
    <t>Display (or hide)</t>
  </si>
  <si>
    <r>
      <t>pK</t>
    </r>
    <r>
      <rPr>
        <b/>
        <vertAlign val="subscript"/>
        <sz val="12"/>
        <rFont val="Arial"/>
        <family val="2"/>
      </rPr>
      <t>a, indicator</t>
    </r>
  </si>
  <si>
    <t>Region</t>
  </si>
  <si>
    <t xml:space="preserve">  INDICATOR equilibrium</t>
  </si>
  <si>
    <t>Titrand equilibrium</t>
  </si>
  <si>
    <t>Indicator</t>
  </si>
  <si>
    <r>
      <t xml:space="preserve">Volume, </t>
    </r>
    <r>
      <rPr>
        <sz val="10"/>
        <rFont val="Arial"/>
        <family val="2"/>
      </rPr>
      <t>mL</t>
    </r>
  </si>
  <si>
    <t xml:space="preserve"> motor</t>
  </si>
  <si>
    <t>on graphic</t>
  </si>
  <si>
    <t>Manual Virtual Titrator with visual indicator</t>
  </si>
  <si>
    <r>
      <t xml:space="preserve"> mL of titrant                  </t>
    </r>
    <r>
      <rPr>
        <sz val="4"/>
        <color theme="9" tint="-0.499984740745262"/>
        <rFont val="Arial"/>
        <family val="2"/>
      </rPr>
      <t>.</t>
    </r>
  </si>
  <si>
    <t xml:space="preserve">  Volume of titrand in beaker (mL)</t>
  </si>
  <si>
    <t>Digital BURET</t>
  </si>
  <si>
    <t>Syringe with titrant</t>
  </si>
  <si>
    <t>pH and titration curve</t>
  </si>
  <si>
    <t>Titrants</t>
  </si>
  <si>
    <r>
      <t xml:space="preserve">•  </t>
    </r>
    <r>
      <rPr>
        <b/>
        <sz val="13"/>
        <rFont val="Arial"/>
        <family val="2"/>
      </rPr>
      <t>Simulation</t>
    </r>
    <r>
      <rPr>
        <sz val="13"/>
        <rFont val="Arial"/>
        <family val="2"/>
      </rPr>
      <t xml:space="preserve"> of simple and complex acid-base titration curves</t>
    </r>
  </si>
  <si>
    <t>•  Data analysis of real and simulated curves</t>
  </si>
  <si>
    <r>
      <t xml:space="preserve">If you agree with all terms of the License, enable macros and use </t>
    </r>
    <r>
      <rPr>
        <sz val="12"/>
        <rFont val="Bookman Old Style"/>
        <family val="1"/>
      </rPr>
      <t>CurTiPot</t>
    </r>
    <r>
      <rPr>
        <sz val="12"/>
        <rFont val="Arial"/>
        <family val="2"/>
      </rPr>
      <t xml:space="preserve"> freely for non-commercial purposes</t>
    </r>
  </si>
  <si>
    <r>
      <t xml:space="preserve">The Solver supplement is required only by the </t>
    </r>
    <r>
      <rPr>
        <b/>
        <sz val="12"/>
        <rFont val="Arial"/>
        <family val="2"/>
      </rPr>
      <t>Regression</t>
    </r>
    <r>
      <rPr>
        <sz val="12"/>
        <rFont val="Arial"/>
        <family val="2"/>
      </rPr>
      <t xml:space="preserve"> module. Follow activation instructions given in the cell I19 of the module</t>
    </r>
  </si>
  <si>
    <t>Read local instructions in comment boxes by placing the mouse on cells with red marks (like in Q14 and Q34 at this page);</t>
  </si>
  <si>
    <r>
      <t xml:space="preserve">Titrant addition </t>
    </r>
    <r>
      <rPr>
        <sz val="10"/>
        <color theme="9" tint="-0.499984740745262"/>
        <rFont val="Arial"/>
        <family val="2"/>
      </rPr>
      <t xml:space="preserve">(mL)   </t>
    </r>
    <r>
      <rPr>
        <b/>
        <sz val="10"/>
        <color theme="9" tint="-0.499984740745262"/>
        <rFont val="Arial"/>
        <family val="2"/>
      </rPr>
      <t xml:space="preserve"> </t>
    </r>
  </si>
  <si>
    <t>Buret (syringe) capacity</t>
  </si>
  <si>
    <t>Upper limits</t>
  </si>
  <si>
    <t>Titrant Vol.</t>
  </si>
  <si>
    <r>
      <t>[H</t>
    </r>
    <r>
      <rPr>
        <vertAlign val="subscript"/>
        <sz val="10"/>
        <color theme="9" tint="-0.499984740745262"/>
        <rFont val="Arial"/>
        <family val="2"/>
      </rPr>
      <t>2</t>
    </r>
    <r>
      <rPr>
        <sz val="10"/>
        <color theme="9" tint="-0.499984740745262"/>
        <rFont val="Arial"/>
        <family val="2"/>
      </rPr>
      <t>B]</t>
    </r>
  </si>
  <si>
    <r>
      <t>S</t>
    </r>
    <r>
      <rPr>
        <sz val="10"/>
        <color theme="9" tint="-0.499984740745262"/>
        <rFont val="Arial"/>
        <family val="2"/>
      </rPr>
      <t>[H</t>
    </r>
    <r>
      <rPr>
        <vertAlign val="subscript"/>
        <sz val="12"/>
        <color theme="9" tint="-0.499984740745262"/>
        <rFont val="Arial"/>
        <family val="2"/>
      </rPr>
      <t>i</t>
    </r>
    <r>
      <rPr>
        <sz val="10"/>
        <color theme="9" tint="-0.499984740745262"/>
        <rFont val="Arial"/>
        <family val="2"/>
      </rPr>
      <t>B]</t>
    </r>
  </si>
  <si>
    <r>
      <t>S</t>
    </r>
    <r>
      <rPr>
        <sz val="10"/>
        <color theme="9" tint="-0.499984740745262"/>
        <rFont val="Arial"/>
        <family val="2"/>
      </rPr>
      <t>[H]</t>
    </r>
  </si>
  <si>
    <r>
      <t>[H</t>
    </r>
    <r>
      <rPr>
        <vertAlign val="subscript"/>
        <sz val="12"/>
        <color theme="9" tint="-0.499984740745262"/>
        <rFont val="Arial"/>
        <family val="2"/>
      </rPr>
      <t>2</t>
    </r>
    <r>
      <rPr>
        <sz val="10"/>
        <color theme="9" tint="-0.499984740745262"/>
        <rFont val="Arial"/>
        <family val="2"/>
      </rPr>
      <t>B]</t>
    </r>
  </si>
  <si>
    <r>
      <t>S</t>
    </r>
    <r>
      <rPr>
        <sz val="10"/>
        <color theme="9" tint="-0.499984740745262"/>
        <rFont val="Arial"/>
        <family val="2"/>
      </rPr>
      <t>[HiB]</t>
    </r>
  </si>
  <si>
    <t xml:space="preserve">  Model INDICATOR</t>
  </si>
  <si>
    <r>
      <t>S</t>
    </r>
    <r>
      <rPr>
        <sz val="10"/>
        <color theme="9" tint="-0.499984740745262"/>
        <rFont val="Arial"/>
        <family val="2"/>
      </rPr>
      <t>z</t>
    </r>
    <r>
      <rPr>
        <vertAlign val="subscript"/>
        <sz val="12"/>
        <color theme="9" tint="-0.499984740745262"/>
        <rFont val="Arial"/>
        <family val="2"/>
      </rPr>
      <t>i</t>
    </r>
    <r>
      <rPr>
        <sz val="10"/>
        <color theme="9" tint="-0.499984740745262"/>
        <rFont val="Arial"/>
        <family val="2"/>
      </rPr>
      <t>C</t>
    </r>
    <r>
      <rPr>
        <vertAlign val="subscript"/>
        <sz val="12"/>
        <color theme="9" tint="-0.499984740745262"/>
        <rFont val="Arial"/>
        <family val="2"/>
      </rPr>
      <t>i</t>
    </r>
  </si>
  <si>
    <t>Cations (monov.)</t>
  </si>
  <si>
    <t>Anions (monov.)</t>
  </si>
  <si>
    <t>Minimum  (mol/L)</t>
  </si>
  <si>
    <t>Extra  (mol/L)</t>
  </si>
  <si>
    <t>Sum  (mol/L)</t>
  </si>
  <si>
    <r>
      <t>[H</t>
    </r>
    <r>
      <rPr>
        <vertAlign val="subscript"/>
        <sz val="11"/>
        <color theme="3"/>
        <rFont val="Arial"/>
        <family val="2"/>
      </rPr>
      <t>2</t>
    </r>
    <r>
      <rPr>
        <sz val="10"/>
        <color theme="3"/>
        <rFont val="Arial"/>
        <family val="2"/>
      </rPr>
      <t>B]</t>
    </r>
  </si>
  <si>
    <r>
      <t>[H</t>
    </r>
    <r>
      <rPr>
        <vertAlign val="subscript"/>
        <sz val="11"/>
        <color theme="3"/>
        <rFont val="Arial"/>
        <family val="2"/>
      </rPr>
      <t>3</t>
    </r>
    <r>
      <rPr>
        <sz val="10"/>
        <color theme="3"/>
        <rFont val="Arial"/>
        <family val="2"/>
      </rPr>
      <t>B]</t>
    </r>
  </si>
  <si>
    <r>
      <t>[H</t>
    </r>
    <r>
      <rPr>
        <vertAlign val="subscript"/>
        <sz val="11"/>
        <color theme="3"/>
        <rFont val="Arial"/>
        <family val="2"/>
      </rPr>
      <t>4</t>
    </r>
    <r>
      <rPr>
        <sz val="10"/>
        <color theme="3"/>
        <rFont val="Arial"/>
        <family val="2"/>
      </rPr>
      <t>B]</t>
    </r>
  </si>
  <si>
    <r>
      <t>[H</t>
    </r>
    <r>
      <rPr>
        <vertAlign val="subscript"/>
        <sz val="11"/>
        <color theme="3"/>
        <rFont val="Arial"/>
        <family val="2"/>
      </rPr>
      <t>5</t>
    </r>
    <r>
      <rPr>
        <sz val="10"/>
        <color theme="3"/>
        <rFont val="Arial"/>
        <family val="2"/>
      </rPr>
      <t>B]</t>
    </r>
  </si>
  <si>
    <r>
      <t>[H</t>
    </r>
    <r>
      <rPr>
        <vertAlign val="subscript"/>
        <sz val="11"/>
        <color theme="3"/>
        <rFont val="Arial"/>
        <family val="2"/>
      </rPr>
      <t>6</t>
    </r>
    <r>
      <rPr>
        <sz val="10"/>
        <color theme="3"/>
        <rFont val="Arial"/>
        <family val="2"/>
      </rPr>
      <t>B]</t>
    </r>
  </si>
  <si>
    <r>
      <t>S</t>
    </r>
    <r>
      <rPr>
        <sz val="10"/>
        <color theme="3"/>
        <rFont val="Arial"/>
        <family val="2"/>
      </rPr>
      <t>[H</t>
    </r>
    <r>
      <rPr>
        <vertAlign val="subscript"/>
        <sz val="12"/>
        <color theme="3"/>
        <rFont val="Arial"/>
        <family val="2"/>
      </rPr>
      <t>i</t>
    </r>
    <r>
      <rPr>
        <sz val="10"/>
        <color theme="3"/>
        <rFont val="Arial"/>
        <family val="2"/>
      </rPr>
      <t>B]</t>
    </r>
  </si>
  <si>
    <r>
      <t>S</t>
    </r>
    <r>
      <rPr>
        <sz val="10"/>
        <color theme="3"/>
        <rFont val="Arial"/>
        <family val="2"/>
      </rPr>
      <t>[H]</t>
    </r>
  </si>
  <si>
    <r>
      <t>S</t>
    </r>
    <r>
      <rPr>
        <sz val="10"/>
        <color theme="3"/>
        <rFont val="Arial"/>
        <family val="2"/>
      </rPr>
      <t>z</t>
    </r>
    <r>
      <rPr>
        <vertAlign val="subscript"/>
        <sz val="12"/>
        <color theme="3"/>
        <rFont val="Arial"/>
        <family val="2"/>
      </rPr>
      <t>i</t>
    </r>
    <r>
      <rPr>
        <sz val="10"/>
        <color theme="3"/>
        <rFont val="Arial"/>
        <family val="2"/>
      </rPr>
      <t>C</t>
    </r>
    <r>
      <rPr>
        <vertAlign val="subscript"/>
        <sz val="12"/>
        <color theme="3"/>
        <rFont val="Arial"/>
        <family val="2"/>
      </rPr>
      <t>i</t>
    </r>
  </si>
  <si>
    <r>
      <t>[H</t>
    </r>
    <r>
      <rPr>
        <vertAlign val="subscript"/>
        <sz val="12"/>
        <color theme="3"/>
        <rFont val="Arial"/>
        <family val="2"/>
      </rPr>
      <t>2</t>
    </r>
    <r>
      <rPr>
        <sz val="10"/>
        <color theme="3"/>
        <rFont val="Arial"/>
        <family val="2"/>
      </rPr>
      <t>B]</t>
    </r>
  </si>
  <si>
    <r>
      <t>[H</t>
    </r>
    <r>
      <rPr>
        <vertAlign val="subscript"/>
        <sz val="12"/>
        <color theme="3"/>
        <rFont val="Arial"/>
        <family val="2"/>
      </rPr>
      <t>3</t>
    </r>
    <r>
      <rPr>
        <sz val="10"/>
        <color theme="3"/>
        <rFont val="Arial"/>
        <family val="2"/>
      </rPr>
      <t>B]</t>
    </r>
  </si>
  <si>
    <r>
      <t>S</t>
    </r>
    <r>
      <rPr>
        <sz val="10"/>
        <color theme="3"/>
        <rFont val="Arial"/>
        <family val="2"/>
      </rPr>
      <t>[HiB]</t>
    </r>
  </si>
  <si>
    <r>
      <t>% H</t>
    </r>
    <r>
      <rPr>
        <vertAlign val="subscript"/>
        <sz val="11"/>
        <color theme="3"/>
        <rFont val="Arial"/>
        <family val="2"/>
      </rPr>
      <t>2</t>
    </r>
    <r>
      <rPr>
        <sz val="10"/>
        <color theme="3"/>
        <rFont val="Arial"/>
        <family val="2"/>
      </rPr>
      <t>B</t>
    </r>
  </si>
  <si>
    <r>
      <t>% H</t>
    </r>
    <r>
      <rPr>
        <vertAlign val="subscript"/>
        <sz val="11"/>
        <color theme="3"/>
        <rFont val="Arial"/>
        <family val="2"/>
      </rPr>
      <t>3</t>
    </r>
    <r>
      <rPr>
        <sz val="10"/>
        <color theme="3"/>
        <rFont val="Arial"/>
        <family val="2"/>
      </rPr>
      <t>B</t>
    </r>
  </si>
  <si>
    <r>
      <t>% H</t>
    </r>
    <r>
      <rPr>
        <vertAlign val="subscript"/>
        <sz val="11"/>
        <color theme="3"/>
        <rFont val="Arial"/>
        <family val="2"/>
      </rPr>
      <t>4</t>
    </r>
    <r>
      <rPr>
        <sz val="10"/>
        <color theme="3"/>
        <rFont val="Arial"/>
        <family val="2"/>
      </rPr>
      <t>B</t>
    </r>
  </si>
  <si>
    <r>
      <t>% H</t>
    </r>
    <r>
      <rPr>
        <vertAlign val="subscript"/>
        <sz val="11"/>
        <color theme="3"/>
        <rFont val="Arial"/>
        <family val="2"/>
      </rPr>
      <t>5</t>
    </r>
    <r>
      <rPr>
        <sz val="10"/>
        <color theme="3"/>
        <rFont val="Arial"/>
        <family val="2"/>
      </rPr>
      <t>B</t>
    </r>
  </si>
  <si>
    <r>
      <t>% H</t>
    </r>
    <r>
      <rPr>
        <vertAlign val="subscript"/>
        <sz val="11"/>
        <color theme="3"/>
        <rFont val="Arial"/>
        <family val="2"/>
      </rPr>
      <t>6</t>
    </r>
    <r>
      <rPr>
        <sz val="10"/>
        <color theme="3"/>
        <rFont val="Arial"/>
        <family val="2"/>
      </rPr>
      <t>B</t>
    </r>
  </si>
  <si>
    <t xml:space="preserve">           Titrant reservoir</t>
  </si>
  <si>
    <r>
      <t>SS</t>
    </r>
    <r>
      <rPr>
        <sz val="10"/>
        <color theme="9" tint="-0.499984740745262"/>
        <rFont val="Arial"/>
        <family val="2"/>
      </rPr>
      <t xml:space="preserve"> [H]          pH</t>
    </r>
  </si>
  <si>
    <r>
      <t>[H</t>
    </r>
    <r>
      <rPr>
        <vertAlign val="subscript"/>
        <sz val="12"/>
        <color theme="3"/>
        <rFont val="Arial"/>
        <family val="2"/>
      </rPr>
      <t>4</t>
    </r>
    <r>
      <rPr>
        <sz val="10"/>
        <color theme="3"/>
        <rFont val="Arial"/>
        <family val="2"/>
      </rPr>
      <t>B]</t>
    </r>
  </si>
  <si>
    <r>
      <t>[H</t>
    </r>
    <r>
      <rPr>
        <vertAlign val="subscript"/>
        <sz val="10"/>
        <color theme="3"/>
        <rFont val="Arial"/>
        <family val="2"/>
      </rPr>
      <t>5</t>
    </r>
    <r>
      <rPr>
        <sz val="10"/>
        <color theme="3"/>
        <rFont val="Arial"/>
        <family val="2"/>
      </rPr>
      <t>B]</t>
    </r>
  </si>
  <si>
    <r>
      <t>[H</t>
    </r>
    <r>
      <rPr>
        <vertAlign val="subscript"/>
        <sz val="12"/>
        <color theme="3"/>
        <rFont val="Arial"/>
        <family val="2"/>
      </rPr>
      <t>6</t>
    </r>
    <r>
      <rPr>
        <sz val="10"/>
        <color theme="3"/>
        <rFont val="Arial"/>
        <family val="2"/>
      </rPr>
      <t>B]</t>
    </r>
  </si>
  <si>
    <r>
      <t>S</t>
    </r>
    <r>
      <rPr>
        <b/>
        <sz val="10"/>
        <color theme="3"/>
        <rFont val="Arial"/>
        <family val="2"/>
      </rPr>
      <t>[H</t>
    </r>
    <r>
      <rPr>
        <b/>
        <vertAlign val="subscript"/>
        <sz val="12"/>
        <color theme="3"/>
        <rFont val="Arial"/>
        <family val="2"/>
      </rPr>
      <t>i</t>
    </r>
    <r>
      <rPr>
        <b/>
        <sz val="10"/>
        <color theme="3"/>
        <rFont val="Arial"/>
        <family val="2"/>
      </rPr>
      <t>B]</t>
    </r>
  </si>
  <si>
    <r>
      <t>S</t>
    </r>
    <r>
      <rPr>
        <sz val="10"/>
        <color theme="3"/>
        <rFont val="Arial"/>
        <family val="2"/>
      </rPr>
      <t>[H] bound</t>
    </r>
  </si>
  <si>
    <r>
      <t>Most constants in this compilation of ~250 systems – but not all – were obtained at 25</t>
    </r>
    <r>
      <rPr>
        <vertAlign val="superscript"/>
        <sz val="12"/>
        <rFont val="Arial"/>
        <family val="2"/>
      </rPr>
      <t>o</t>
    </r>
    <r>
      <rPr>
        <sz val="12"/>
        <rFont val="Arial"/>
        <family val="2"/>
      </rPr>
      <t xml:space="preserve"> C and are thermodynamic ones (</t>
    </r>
    <r>
      <rPr>
        <sz val="12"/>
        <rFont val="Bookman Old Style"/>
        <family val="1"/>
      </rPr>
      <t>I</t>
    </r>
    <r>
      <rPr>
        <sz val="12"/>
        <rFont val="Arial"/>
        <family val="2"/>
      </rPr>
      <t xml:space="preserve">=0), as required by the </t>
    </r>
    <r>
      <rPr>
        <b/>
        <sz val="12"/>
        <rFont val="Arial"/>
        <family val="2"/>
      </rPr>
      <t>pH_calc</t>
    </r>
    <r>
      <rPr>
        <sz val="12"/>
        <rFont val="Arial"/>
        <family val="2"/>
      </rPr>
      <t xml:space="preserve">, </t>
    </r>
    <r>
      <rPr>
        <b/>
        <sz val="12"/>
        <rFont val="Arial"/>
        <family val="2"/>
      </rPr>
      <t>Simulation</t>
    </r>
    <r>
      <rPr>
        <sz val="12"/>
        <rFont val="Arial"/>
        <family val="2"/>
      </rPr>
      <t xml:space="preserve"> and </t>
    </r>
    <r>
      <rPr>
        <b/>
        <sz val="12"/>
        <rFont val="Arial"/>
        <family val="2"/>
      </rPr>
      <t>Regression</t>
    </r>
    <r>
      <rPr>
        <sz val="12"/>
        <rFont val="Arial"/>
        <family val="2"/>
      </rPr>
      <t xml:space="preserve"> modules.</t>
    </r>
  </si>
  <si>
    <t xml:space="preserve">    Composition: cells B13 to D16</t>
  </si>
  <si>
    <t xml:space="preserve">"pH"  </t>
  </si>
  <si>
    <t>Color</t>
  </si>
  <si>
    <r>
      <rPr>
        <sz val="10"/>
        <rFont val="Symbol"/>
        <family val="1"/>
        <charset val="2"/>
      </rPr>
      <t>g</t>
    </r>
    <r>
      <rPr>
        <sz val="10"/>
        <rFont val="Arial"/>
        <family val="2"/>
      </rPr>
      <t>H+</t>
    </r>
  </si>
  <si>
    <t xml:space="preserve"> TITRAND equilibrium</t>
  </si>
  <si>
    <t>Read the License - hover the mouse over the cell with the red dot on the left (Q14)</t>
  </si>
  <si>
    <t>Titration curve from Titration</t>
  </si>
  <si>
    <t>Titration curve from Simulation</t>
  </si>
  <si>
    <t>Titration curve from Evaluation</t>
  </si>
  <si>
    <t>Titration curve from Regression</t>
  </si>
  <si>
    <t>red</t>
  </si>
  <si>
    <t>yellow</t>
  </si>
  <si>
    <t>blue</t>
  </si>
  <si>
    <t>Phenolphthalein</t>
  </si>
  <si>
    <t xml:space="preserve">  Unknown sample</t>
  </si>
  <si>
    <t>Due to the wide range of screen resolutions in use nowadays, some resizing/replacement of figures and objects may be required</t>
  </si>
  <si>
    <t>C27H30O5S</t>
  </si>
  <si>
    <t>C14H14N3NaO3S</t>
  </si>
  <si>
    <t>C21H14Br4O5S</t>
  </si>
  <si>
    <t>C15H15N3O2</t>
  </si>
  <si>
    <t>C27H28Br2O5S</t>
  </si>
  <si>
    <t>C19H14O5S</t>
  </si>
  <si>
    <t>orange</t>
  </si>
  <si>
    <t>C20H14O4</t>
  </si>
  <si>
    <t xml:space="preserve">    »  automatic generation of curves with data equally spaced in pH or volume, in concentration ("pH") or activity (pH)</t>
  </si>
  <si>
    <t xml:space="preserve">    »  simulation of experimental random errors in pH and volume; overlay of multiple curves for comparison</t>
  </si>
  <si>
    <r>
      <t xml:space="preserve">    »  </t>
    </r>
    <r>
      <rPr>
        <b/>
        <sz val="13"/>
        <rFont val="Arial"/>
        <family val="2"/>
      </rPr>
      <t>Evaluation</t>
    </r>
    <r>
      <rPr>
        <sz val="13"/>
        <rFont val="Arial"/>
        <family val="2"/>
      </rPr>
      <t xml:space="preserve"> of curves with enhanced accuracy by interpolation, spline smoothing and automatic endpoint detection</t>
    </r>
  </si>
  <si>
    <r>
      <t xml:space="preserve">    »  Non-linear data </t>
    </r>
    <r>
      <rPr>
        <b/>
        <sz val="13"/>
        <rFont val="Arial"/>
        <family val="2"/>
      </rPr>
      <t>Regression</t>
    </r>
    <r>
      <rPr>
        <sz val="13"/>
        <rFont val="Arial"/>
        <family val="2"/>
      </rPr>
      <t xml:space="preserve"> for the determination of concentrations and refinement of pK</t>
    </r>
    <r>
      <rPr>
        <vertAlign val="subscript"/>
        <sz val="15"/>
        <rFont val="Arial"/>
        <family val="2"/>
      </rPr>
      <t>a</t>
    </r>
    <r>
      <rPr>
        <sz val="13"/>
        <rFont val="Arial"/>
        <family val="2"/>
      </rPr>
      <t xml:space="preserve"> values</t>
    </r>
  </si>
  <si>
    <r>
      <t xml:space="preserve">•  </t>
    </r>
    <r>
      <rPr>
        <b/>
        <sz val="13"/>
        <rFont val="Arial"/>
        <family val="2"/>
      </rPr>
      <t>Distribution</t>
    </r>
    <r>
      <rPr>
        <sz val="13"/>
        <rFont val="Arial"/>
        <family val="2"/>
      </rPr>
      <t xml:space="preserve"> diagrams of species, protonation of bases, isoelectric point and buffer capacity vs. pH and vs. volume of a titration</t>
    </r>
  </si>
  <si>
    <r>
      <t xml:space="preserve">Activity coefficient calculations, available in the </t>
    </r>
    <r>
      <rPr>
        <b/>
        <sz val="12"/>
        <rFont val="Arial"/>
        <family val="2"/>
      </rPr>
      <t>pH_calc</t>
    </r>
    <r>
      <rPr>
        <sz val="12"/>
        <rFont val="Arial"/>
        <family val="2"/>
      </rPr>
      <t xml:space="preserve">, </t>
    </r>
    <r>
      <rPr>
        <b/>
        <sz val="12"/>
        <rFont val="Arial"/>
        <family val="2"/>
      </rPr>
      <t>Simulation</t>
    </r>
    <r>
      <rPr>
        <sz val="12"/>
        <rFont val="Arial"/>
        <family val="2"/>
      </rPr>
      <t xml:space="preserve"> and </t>
    </r>
    <r>
      <rPr>
        <b/>
        <sz val="12"/>
        <rFont val="Arial"/>
        <family val="2"/>
      </rPr>
      <t>Regression</t>
    </r>
    <r>
      <rPr>
        <sz val="12"/>
        <rFont val="Arial"/>
        <family val="2"/>
      </rPr>
      <t xml:space="preserve"> modules, are subject to the limitations of the Daniel equation at ionic strength &gt;0.1 mol/L</t>
    </r>
  </si>
  <si>
    <r>
      <t xml:space="preserve">The author reserves the right not to be responsible for the correctness, completeness, accuracy and bug-free operation of the freeware </t>
    </r>
    <r>
      <rPr>
        <sz val="12"/>
        <rFont val="Bookman Old Style"/>
        <family val="1"/>
      </rPr>
      <t>CurTiPot</t>
    </r>
    <r>
      <rPr>
        <sz val="12"/>
        <rFont val="Arial"/>
        <family val="2"/>
      </rPr>
      <t>, provided "as is" without warranty of any kind</t>
    </r>
  </si>
  <si>
    <r>
      <t xml:space="preserve">Version 3.6, March 2012 - Inflections (endpoints) of real and simulated titrations are located automatically by the improved </t>
    </r>
    <r>
      <rPr>
        <b/>
        <sz val="12"/>
        <rFont val="Arial"/>
        <family val="2"/>
      </rPr>
      <t>Evaluation</t>
    </r>
    <r>
      <rPr>
        <sz val="12"/>
        <rFont val="Arial"/>
        <family val="2"/>
      </rPr>
      <t xml:space="preserve"> module, with smoothing and interpolation. </t>
    </r>
  </si>
  <si>
    <r>
      <t xml:space="preserve">Switch to the </t>
    </r>
    <r>
      <rPr>
        <b/>
        <sz val="12"/>
        <rFont val="Arial"/>
        <family val="2"/>
      </rPr>
      <t>Simulation</t>
    </r>
    <r>
      <rPr>
        <sz val="12"/>
        <rFont val="Arial"/>
        <family val="2"/>
      </rPr>
      <t xml:space="preserve"> module and repeat the preloaded titration of phosphoric acid; start clicking on the buttons at the left of the figure; change some concentrations afterwards;</t>
    </r>
  </si>
  <si>
    <r>
      <rPr>
        <b/>
        <sz val="12"/>
        <rFont val="Arial"/>
        <family val="2"/>
      </rPr>
      <t>Titration</t>
    </r>
    <r>
      <rPr>
        <sz val="12"/>
        <rFont val="Arial"/>
        <family val="2"/>
      </rPr>
      <t xml:space="preserve"> could be a nice start for beginners; </t>
    </r>
    <r>
      <rPr>
        <b/>
        <sz val="12"/>
        <rFont val="Arial"/>
        <family val="2"/>
      </rPr>
      <t>pH_calc</t>
    </r>
    <r>
      <rPr>
        <sz val="12"/>
        <rFont val="Arial"/>
        <family val="2"/>
      </rPr>
      <t xml:space="preserve"> has too much stuff to grasp at once, but the </t>
    </r>
    <r>
      <rPr>
        <b/>
        <sz val="12"/>
        <rFont val="Arial"/>
        <family val="2"/>
      </rPr>
      <t>pH</t>
    </r>
    <r>
      <rPr>
        <sz val="12"/>
        <rFont val="Arial"/>
        <family val="2"/>
      </rPr>
      <t xml:space="preserve"> is highlighted in the dark blue cell H23</t>
    </r>
  </si>
  <si>
    <r>
      <t>Enable macros (see cell R16 above); click on a tab at the bottom left of this page or press Ctrl + PgDn switch modules</t>
    </r>
    <r>
      <rPr>
        <b/>
        <sz val="12"/>
        <rFont val="Arial"/>
        <family val="2"/>
      </rPr>
      <t>;</t>
    </r>
    <r>
      <rPr>
        <sz val="12"/>
        <rFont val="Arial"/>
        <family val="2"/>
      </rPr>
      <t xml:space="preserve"> follow instructions in the yellow balloons</t>
    </r>
  </si>
  <si>
    <r>
      <t xml:space="preserve">•  Virtual </t>
    </r>
    <r>
      <rPr>
        <b/>
        <sz val="13"/>
        <rFont val="Arial"/>
        <family val="2"/>
      </rPr>
      <t>Titration</t>
    </r>
    <r>
      <rPr>
        <sz val="13"/>
        <rFont val="Arial"/>
        <family val="2"/>
      </rPr>
      <t xml:space="preserve"> with indicator color transition simulation, manual titrant addition with a digital burette, species distribution and pH vs. volume plot</t>
    </r>
  </si>
  <si>
    <r>
      <rPr>
        <sz val="10"/>
        <color rgb="FFFF0000"/>
        <rFont val="Arial"/>
        <family val="2"/>
      </rPr>
      <t>(negative</t>
    </r>
    <r>
      <rPr>
        <sz val="10"/>
        <rFont val="Arial"/>
        <family val="2"/>
      </rPr>
      <t xml:space="preserve"> results are possible)</t>
    </r>
  </si>
  <si>
    <t xml:space="preserve">[NaH2PO4] =  [H2PO4- titrated] - [H3PO4] = 0,1000 - 0,501 = 0,0499 mol/L </t>
  </si>
  <si>
    <t>For this sample, half of the determined H2PO4- came from the H3PO4</t>
  </si>
  <si>
    <r>
      <t>No guarantee</t>
    </r>
    <r>
      <rPr>
        <sz val="10"/>
        <rFont val="Arial"/>
        <family val="2"/>
      </rPr>
      <t xml:space="preserve"> is given that the compiled pKas or the calculations made with CurTiPot are correct or accurate. CurTiPot takes in account only protonation equilibria but other chemical reactions will occur for many combinations of two or more of the listed systems. </t>
    </r>
  </si>
  <si>
    <t>More systems, e.g., from the sources given next,  can be added: a) at the end of the list; b) in alphabetic order by inserting line(s) and updating the sequential numbering (column B).</t>
  </si>
  <si>
    <t>http://www.acadsoft.co.uk/scdbase/scdbase.htm</t>
  </si>
  <si>
    <t>Ionic strength =</t>
  </si>
  <si>
    <t>SC-Database - Stability (equilibrium) constants database (from 1887 on, including IUPAC database)</t>
  </si>
  <si>
    <t xml:space="preserve">Computer calculated pKa values of any compound (by chemical name, CAS #, etc.) </t>
  </si>
  <si>
    <t>Acid base indicators - pKas, color transitions, etc.</t>
  </si>
  <si>
    <r>
      <t xml:space="preserve">Estimation of activity coefficients, </t>
    </r>
    <r>
      <rPr>
        <sz val="10"/>
        <rFont val="Symbol"/>
        <family val="1"/>
        <charset val="2"/>
      </rPr>
      <t>g</t>
    </r>
    <r>
      <rPr>
        <i/>
        <vertAlign val="subscript"/>
        <sz val="12"/>
        <rFont val="Arial"/>
        <family val="2"/>
      </rPr>
      <t>i</t>
    </r>
    <r>
      <rPr>
        <sz val="10"/>
        <rFont val="Arial"/>
        <family val="2"/>
      </rPr>
      <t>, within CurTiPot - Davies equation:</t>
    </r>
  </si>
  <si>
    <t>http://www.utexas.edu/courses/lasdon/design3.htm</t>
  </si>
  <si>
    <t>of the generalized reduced gradient method of nonlinear optimization, visit</t>
  </si>
  <si>
    <t>Indicator: pKa1 or 2</t>
  </si>
  <si>
    <t>color #, pH &lt; pKa indic</t>
  </si>
  <si>
    <t>color #, pH = pKa indic</t>
  </si>
  <si>
    <t>color #, pH &gt; pKa indic</t>
  </si>
  <si>
    <t>Thymol Blue (pKa 1.7)</t>
  </si>
  <si>
    <t>Methyl Orange (pKa 3.5)</t>
  </si>
  <si>
    <t>Bromocresol Green (pKa 4.8)</t>
  </si>
  <si>
    <t>Methyl Red (pKa 5.1)</t>
  </si>
  <si>
    <t>Bromothymol Blue (pKa 7.1)</t>
  </si>
  <si>
    <t>Phenol Red (pKa 7.7)</t>
  </si>
  <si>
    <t>Thymol Blue (pKa 8.9)</t>
  </si>
  <si>
    <t>Alizarine yellow R (pKa 11)</t>
  </si>
  <si>
    <t xml:space="preserve">C13H9N3O5 </t>
  </si>
  <si>
    <t>pKa</t>
  </si>
  <si>
    <t>pH &lt; pKa</t>
  </si>
  <si>
    <t>pH = pKa</t>
  </si>
  <si>
    <t>pH&gt;pka</t>
  </si>
  <si>
    <t>Other color numbers</t>
  </si>
  <si>
    <t>green</t>
  </si>
  <si>
    <t>white</t>
  </si>
  <si>
    <t>I N D I C A T O R S</t>
  </si>
  <si>
    <r>
      <t xml:space="preserve">Version 4.0, January 2014 - </t>
    </r>
    <r>
      <rPr>
        <b/>
        <sz val="12"/>
        <rFont val="Arial"/>
        <family val="2"/>
      </rPr>
      <t>Titration</t>
    </r>
    <r>
      <rPr>
        <sz val="12"/>
        <rFont val="Arial"/>
        <family val="2"/>
      </rPr>
      <t xml:space="preserve"> module for students introduced, embracing visual and instrumental end point detection; activity calculation extended to </t>
    </r>
    <r>
      <rPr>
        <b/>
        <sz val="12"/>
        <rFont val="Arial"/>
        <family val="2"/>
      </rPr>
      <t>Simulation</t>
    </r>
    <r>
      <rPr>
        <sz val="12"/>
        <rFont val="Arial"/>
        <family val="2"/>
      </rPr>
      <t xml:space="preserve"> module</t>
    </r>
  </si>
  <si>
    <t xml:space="preserve">Use the e-mail: </t>
  </si>
  <si>
    <r>
      <t xml:space="preserve">Please report errors and incompatibilities of </t>
    </r>
    <r>
      <rPr>
        <sz val="12"/>
        <rFont val="Bookman Old Style"/>
        <family val="1"/>
      </rPr>
      <t>CurTiPot</t>
    </r>
    <r>
      <rPr>
        <sz val="12"/>
        <rFont val="Arial"/>
        <family val="2"/>
      </rPr>
      <t xml:space="preserve"> for MS Excel  (PC and Mac)  to the author;</t>
    </r>
  </si>
  <si>
    <t xml:space="preserve">     Titrant</t>
  </si>
  <si>
    <t xml:space="preserve">  Counterions and other ions</t>
  </si>
  <si>
    <t xml:space="preserve">  Simulation of errors </t>
  </si>
  <si>
    <t xml:space="preserve">  (data dispersion)</t>
  </si>
  <si>
    <r>
      <rPr>
        <sz val="11"/>
        <rFont val="Arial"/>
        <family val="2"/>
      </rPr>
      <t>pK</t>
    </r>
    <r>
      <rPr>
        <sz val="10"/>
        <rFont val="Arial"/>
        <family val="2"/>
      </rPr>
      <t>a</t>
    </r>
    <r>
      <rPr>
        <vertAlign val="subscript"/>
        <sz val="13"/>
        <rFont val="Arial"/>
        <family val="2"/>
      </rPr>
      <t xml:space="preserve">1 </t>
    </r>
    <r>
      <rPr>
        <sz val="11"/>
        <rFont val="Arial"/>
        <family val="2"/>
      </rPr>
      <t>= logK</t>
    </r>
    <r>
      <rPr>
        <vertAlign val="subscript"/>
        <sz val="13"/>
        <rFont val="Arial"/>
        <family val="2"/>
      </rPr>
      <t xml:space="preserve">pn  </t>
    </r>
  </si>
  <si>
    <r>
      <rPr>
        <sz val="11"/>
        <rFont val="Arial"/>
        <family val="2"/>
      </rPr>
      <t>pK</t>
    </r>
    <r>
      <rPr>
        <sz val="10"/>
        <rFont val="Arial"/>
        <family val="2"/>
      </rPr>
      <t>a</t>
    </r>
    <r>
      <rPr>
        <vertAlign val="subscript"/>
        <sz val="13"/>
        <rFont val="Arial"/>
        <family val="2"/>
      </rPr>
      <t xml:space="preserve">2 </t>
    </r>
    <r>
      <rPr>
        <sz val="11"/>
        <rFont val="Arial"/>
        <family val="2"/>
      </rPr>
      <t>= logK</t>
    </r>
    <r>
      <rPr>
        <vertAlign val="subscript"/>
        <sz val="13"/>
        <rFont val="Arial"/>
        <family val="2"/>
      </rPr>
      <t>pn-1</t>
    </r>
  </si>
  <si>
    <r>
      <rPr>
        <sz val="11"/>
        <rFont val="Arial"/>
        <family val="2"/>
      </rPr>
      <t>pK</t>
    </r>
    <r>
      <rPr>
        <sz val="10"/>
        <rFont val="Arial"/>
        <family val="2"/>
      </rPr>
      <t>a</t>
    </r>
    <r>
      <rPr>
        <vertAlign val="subscript"/>
        <sz val="13"/>
        <rFont val="Arial"/>
        <family val="2"/>
      </rPr>
      <t xml:space="preserve">3 </t>
    </r>
    <r>
      <rPr>
        <sz val="11"/>
        <rFont val="Arial"/>
        <family val="2"/>
      </rPr>
      <t>= logK</t>
    </r>
    <r>
      <rPr>
        <vertAlign val="subscript"/>
        <sz val="13"/>
        <rFont val="Arial"/>
        <family val="2"/>
      </rPr>
      <t>pn-2</t>
    </r>
  </si>
  <si>
    <r>
      <rPr>
        <sz val="11"/>
        <rFont val="Arial"/>
        <family val="2"/>
      </rPr>
      <t>pK</t>
    </r>
    <r>
      <rPr>
        <sz val="10"/>
        <rFont val="Arial"/>
        <family val="2"/>
      </rPr>
      <t>a</t>
    </r>
    <r>
      <rPr>
        <vertAlign val="subscript"/>
        <sz val="13"/>
        <rFont val="Arial"/>
        <family val="2"/>
      </rPr>
      <t xml:space="preserve">4 </t>
    </r>
    <r>
      <rPr>
        <sz val="11"/>
        <rFont val="Arial"/>
        <family val="2"/>
      </rPr>
      <t>= logK</t>
    </r>
    <r>
      <rPr>
        <vertAlign val="subscript"/>
        <sz val="13"/>
        <rFont val="Arial"/>
        <family val="2"/>
      </rPr>
      <t>pn-3</t>
    </r>
  </si>
  <si>
    <r>
      <rPr>
        <sz val="11"/>
        <rFont val="Arial"/>
        <family val="2"/>
      </rPr>
      <t>pK</t>
    </r>
    <r>
      <rPr>
        <sz val="10"/>
        <rFont val="Arial"/>
        <family val="2"/>
      </rPr>
      <t>a</t>
    </r>
    <r>
      <rPr>
        <vertAlign val="subscript"/>
        <sz val="13"/>
        <rFont val="Arial"/>
        <family val="2"/>
      </rPr>
      <t xml:space="preserve">5 </t>
    </r>
    <r>
      <rPr>
        <sz val="11"/>
        <rFont val="Arial"/>
        <family val="2"/>
      </rPr>
      <t>= logK</t>
    </r>
    <r>
      <rPr>
        <vertAlign val="subscript"/>
        <sz val="13"/>
        <rFont val="Arial"/>
        <family val="2"/>
      </rPr>
      <t>pn-4</t>
    </r>
  </si>
  <si>
    <r>
      <rPr>
        <sz val="11"/>
        <rFont val="Arial"/>
        <family val="2"/>
      </rPr>
      <t>pK</t>
    </r>
    <r>
      <rPr>
        <sz val="10"/>
        <rFont val="Arial"/>
        <family val="2"/>
      </rPr>
      <t>a</t>
    </r>
    <r>
      <rPr>
        <vertAlign val="subscript"/>
        <sz val="13"/>
        <rFont val="Arial"/>
        <family val="2"/>
      </rPr>
      <t xml:space="preserve">6 </t>
    </r>
    <r>
      <rPr>
        <sz val="11"/>
        <rFont val="Arial"/>
        <family val="2"/>
      </rPr>
      <t>= logK</t>
    </r>
    <r>
      <rPr>
        <vertAlign val="subscript"/>
        <sz val="13"/>
        <rFont val="Arial"/>
        <family val="2"/>
      </rPr>
      <t>pn-5</t>
    </r>
  </si>
  <si>
    <t>http://www1.lsbu.ac.uk/water/hydrogen_ions.html</t>
  </si>
  <si>
    <t xml:space="preserve">Water,  hydrogen ion, hydroxide ion structures, properties, Kw, pH </t>
  </si>
  <si>
    <r>
      <t>Number of additions</t>
    </r>
    <r>
      <rPr>
        <sz val="10"/>
        <color theme="9" tint="-0.499984740745262"/>
        <rFont val="Arial"/>
        <family val="2"/>
      </rPr>
      <t xml:space="preserve"> </t>
    </r>
  </si>
  <si>
    <t>Sample (Titrand)</t>
  </si>
  <si>
    <t>Sample ions</t>
  </si>
  <si>
    <t>Added</t>
  </si>
  <si>
    <r>
      <t xml:space="preserve">Extra in </t>
    </r>
    <r>
      <rPr>
        <b/>
        <sz val="10"/>
        <color theme="3"/>
        <rFont val="Arial"/>
        <family val="2"/>
      </rPr>
      <t>sample</t>
    </r>
  </si>
  <si>
    <r>
      <rPr>
        <sz val="12"/>
        <rFont val="Book Antiqua"/>
        <family val="1"/>
      </rPr>
      <t>I</t>
    </r>
    <r>
      <rPr>
        <sz val="10"/>
        <rFont val="Arial"/>
        <family val="2"/>
      </rPr>
      <t xml:space="preserve"> of counter- and extra ions</t>
    </r>
  </si>
  <si>
    <r>
      <t xml:space="preserve">Ionic strength, </t>
    </r>
    <r>
      <rPr>
        <sz val="12"/>
        <rFont val="Book Antiqua"/>
        <family val="1"/>
      </rPr>
      <t>I</t>
    </r>
  </si>
  <si>
    <t>Parameters calculated only for the 'Activities, plot pH' option</t>
  </si>
  <si>
    <r>
      <t>I</t>
    </r>
    <r>
      <rPr>
        <b/>
        <vertAlign val="subscript"/>
        <sz val="12"/>
        <rFont val="Arial"/>
        <family val="2"/>
      </rPr>
      <t>partial</t>
    </r>
  </si>
  <si>
    <r>
      <t>I</t>
    </r>
    <r>
      <rPr>
        <b/>
        <vertAlign val="subscript"/>
        <sz val="12"/>
        <rFont val="Arial"/>
        <family val="2"/>
      </rPr>
      <t>total</t>
    </r>
  </si>
  <si>
    <r>
      <t>I</t>
    </r>
    <r>
      <rPr>
        <b/>
        <vertAlign val="subscript"/>
        <sz val="10"/>
        <rFont val="Arial"/>
        <family val="2"/>
      </rPr>
      <t xml:space="preserve"> </t>
    </r>
    <r>
      <rPr>
        <b/>
        <vertAlign val="subscript"/>
        <sz val="12"/>
        <rFont val="Arial"/>
        <family val="2"/>
      </rPr>
      <t>total</t>
    </r>
  </si>
  <si>
    <t>applied</t>
  </si>
  <si>
    <t>applied
mol/L</t>
  </si>
  <si>
    <t xml:space="preserve">delay (s)    </t>
  </si>
  <si>
    <t>Parameter</t>
  </si>
  <si>
    <t>I</t>
  </si>
  <si>
    <t>Action</t>
  </si>
  <si>
    <r>
      <t>I</t>
    </r>
    <r>
      <rPr>
        <sz val="10"/>
        <rFont val="Arial"/>
        <family val="2"/>
      </rPr>
      <t xml:space="preserve"> = </t>
    </r>
    <r>
      <rPr>
        <sz val="10"/>
        <rFont val="Bookman Old Style"/>
        <family val="1"/>
      </rPr>
      <t>I</t>
    </r>
    <r>
      <rPr>
        <vertAlign val="subscript"/>
        <sz val="12"/>
        <rFont val="Arial"/>
        <family val="2"/>
      </rPr>
      <t>i</t>
    </r>
    <r>
      <rPr>
        <sz val="10"/>
        <rFont val="Arial"/>
        <family val="2"/>
      </rPr>
      <t>+</t>
    </r>
    <r>
      <rPr>
        <sz val="10"/>
        <rFont val="Bookman Old Style"/>
        <family val="1"/>
      </rPr>
      <t>I</t>
    </r>
    <r>
      <rPr>
        <vertAlign val="subscript"/>
        <sz val="12"/>
        <rFont val="Arial"/>
        <family val="2"/>
      </rPr>
      <t>j</t>
    </r>
    <r>
      <rPr>
        <sz val="10"/>
        <rFont val="Arial"/>
        <family val="2"/>
      </rPr>
      <t>+</t>
    </r>
    <r>
      <rPr>
        <sz val="10"/>
        <rFont val="Bookman Old Style"/>
        <family val="1"/>
      </rPr>
      <t>I</t>
    </r>
    <r>
      <rPr>
        <vertAlign val="subscript"/>
        <sz val="12"/>
        <rFont val="Arial"/>
        <family val="2"/>
      </rPr>
      <t>k</t>
    </r>
    <r>
      <rPr>
        <sz val="10"/>
        <rFont val="Arial"/>
        <family val="2"/>
      </rPr>
      <t>+</t>
    </r>
    <r>
      <rPr>
        <sz val="10"/>
        <rFont val="Bookman Old Style"/>
        <family val="1"/>
      </rPr>
      <t>I</t>
    </r>
    <r>
      <rPr>
        <vertAlign val="subscript"/>
        <sz val="12"/>
        <rFont val="Arial"/>
        <family val="2"/>
      </rPr>
      <t>H</t>
    </r>
    <r>
      <rPr>
        <sz val="10"/>
        <rFont val="Arial"/>
        <family val="2"/>
      </rPr>
      <t>+</t>
    </r>
    <r>
      <rPr>
        <sz val="10"/>
        <rFont val="Bookman Old Style"/>
        <family val="1"/>
      </rPr>
      <t>I</t>
    </r>
    <r>
      <rPr>
        <vertAlign val="subscript"/>
        <sz val="12"/>
        <rFont val="Arial"/>
        <family val="2"/>
      </rPr>
      <t>OH</t>
    </r>
  </si>
  <si>
    <t>for data weighting</t>
  </si>
  <si>
    <r>
      <t>pH</t>
    </r>
    <r>
      <rPr>
        <sz val="10"/>
        <rFont val="Arial"/>
        <family val="2"/>
      </rPr>
      <t>Reg</t>
    </r>
    <r>
      <rPr>
        <b/>
        <sz val="10"/>
        <rFont val="Arial"/>
        <family val="2"/>
      </rPr>
      <t>-pH</t>
    </r>
  </si>
  <si>
    <r>
      <t>CH</t>
    </r>
    <r>
      <rPr>
        <sz val="10"/>
        <rFont val="Arial"/>
        <family val="2"/>
      </rPr>
      <t>Reg</t>
    </r>
    <r>
      <rPr>
        <b/>
        <sz val="10"/>
        <rFont val="Arial"/>
        <family val="2"/>
      </rPr>
      <t>-CH</t>
    </r>
    <r>
      <rPr>
        <sz val="10"/>
        <rFont val="Arial"/>
        <family val="2"/>
      </rPr>
      <t>calc</t>
    </r>
  </si>
  <si>
    <r>
      <t>CH</t>
    </r>
    <r>
      <rPr>
        <sz val="10"/>
        <rFont val="Arial"/>
        <family val="2"/>
      </rPr>
      <t>calc</t>
    </r>
  </si>
  <si>
    <t xml:space="preserve">  initial p[H]</t>
  </si>
  <si>
    <r>
      <t xml:space="preserve">  initial p[OH] for ionic strength</t>
    </r>
    <r>
      <rPr>
        <sz val="10"/>
        <rFont val="Bookman Old Style"/>
        <family val="1"/>
      </rPr>
      <t>, I</t>
    </r>
  </si>
  <si>
    <r>
      <t>Sample CH</t>
    </r>
    <r>
      <rPr>
        <sz val="8"/>
        <rFont val="Arial"/>
        <family val="2"/>
      </rPr>
      <t>Reg</t>
    </r>
  </si>
  <si>
    <r>
      <t>Titrand [H]=10</t>
    </r>
    <r>
      <rPr>
        <vertAlign val="superscript"/>
        <sz val="12"/>
        <rFont val="Arial"/>
        <family val="2"/>
      </rPr>
      <t>-p[H]</t>
    </r>
  </si>
  <si>
    <t>Titrand [OH]=Kw/[H]</t>
  </si>
  <si>
    <t>Sample CHcalc</t>
  </si>
  <si>
    <r>
      <t>SS</t>
    </r>
    <r>
      <rPr>
        <sz val="10"/>
        <color theme="9" tint="-0.499984740745262"/>
        <rFont val="Arial"/>
        <family val="2"/>
      </rPr>
      <t>[HiB]</t>
    </r>
  </si>
  <si>
    <r>
      <t>SS</t>
    </r>
    <r>
      <rPr>
        <sz val="10"/>
        <rFont val="Arial"/>
        <family val="2"/>
      </rPr>
      <t>[H] bound</t>
    </r>
  </si>
  <si>
    <r>
      <t xml:space="preserve">Weights: exponent </t>
    </r>
    <r>
      <rPr>
        <b/>
        <sz val="10"/>
        <rFont val="Arial"/>
        <family val="2"/>
      </rPr>
      <t>a</t>
    </r>
  </si>
  <si>
    <r>
      <t xml:space="preserve">exponent </t>
    </r>
    <r>
      <rPr>
        <b/>
        <sz val="10"/>
        <rFont val="Arial"/>
        <family val="2"/>
      </rPr>
      <t>c</t>
    </r>
    <r>
      <rPr>
        <sz val="10"/>
        <rFont val="Arial"/>
        <family val="2"/>
      </rPr>
      <t xml:space="preserve">  </t>
    </r>
  </si>
  <si>
    <r>
      <t xml:space="preserve">exponent </t>
    </r>
    <r>
      <rPr>
        <b/>
        <sz val="10"/>
        <rFont val="Arial"/>
        <family val="2"/>
      </rPr>
      <t>b</t>
    </r>
    <r>
      <rPr>
        <sz val="10"/>
        <rFont val="Arial"/>
        <family val="2"/>
      </rPr>
      <t xml:space="preserve">   </t>
    </r>
  </si>
  <si>
    <t>Partial charge balance &lt;--&gt; counterions (opposite signal)</t>
  </si>
  <si>
    <t>residuals</t>
  </si>
  <si>
    <r>
      <t>pH</t>
    </r>
    <r>
      <rPr>
        <b/>
        <vertAlign val="subscript"/>
        <sz val="12"/>
        <rFont val="Arial"/>
        <family val="2"/>
      </rPr>
      <t>Reg</t>
    </r>
    <r>
      <rPr>
        <b/>
        <sz val="12"/>
        <rFont val="Arial"/>
        <family val="2"/>
      </rPr>
      <t xml:space="preserve">- </t>
    </r>
    <r>
      <rPr>
        <b/>
        <sz val="10"/>
        <rFont val="Arial"/>
        <family val="2"/>
      </rPr>
      <t>pH</t>
    </r>
  </si>
  <si>
    <t>Vol. added</t>
  </si>
  <si>
    <t>SAMPLE
Species</t>
  </si>
  <si>
    <t>TITRANT</t>
  </si>
  <si>
    <r>
      <t xml:space="preserve">&lt;--- Minimize </t>
    </r>
    <r>
      <rPr>
        <b/>
        <sz val="12"/>
        <color indexed="43"/>
        <rFont val="Symbol"/>
        <family val="1"/>
        <charset val="2"/>
      </rPr>
      <t>S</t>
    </r>
    <r>
      <rPr>
        <b/>
        <sz val="10"/>
        <color indexed="43"/>
        <rFont val="Arial"/>
        <family val="2"/>
      </rPr>
      <t xml:space="preserve"> of weighted residuals product </t>
    </r>
    <r>
      <rPr>
        <sz val="10"/>
        <color indexed="43"/>
        <rFont val="Arial"/>
        <family val="2"/>
      </rPr>
      <t>with</t>
    </r>
    <r>
      <rPr>
        <b/>
        <sz val="10"/>
        <color indexed="43"/>
        <rFont val="Arial"/>
        <family val="2"/>
      </rPr>
      <t xml:space="preserve"> Solver</t>
    </r>
  </si>
  <si>
    <r>
      <t>&lt;--- Find CH</t>
    </r>
    <r>
      <rPr>
        <b/>
        <vertAlign val="subscript"/>
        <sz val="12"/>
        <color indexed="43"/>
        <rFont val="Arial"/>
        <family val="2"/>
      </rPr>
      <t>Reg</t>
    </r>
    <r>
      <rPr>
        <b/>
        <sz val="10"/>
        <color indexed="43"/>
        <rFont val="Arial"/>
        <family val="2"/>
      </rPr>
      <t xml:space="preserve">, concentrations </t>
    </r>
    <r>
      <rPr>
        <sz val="10"/>
        <color indexed="43"/>
        <rFont val="Arial"/>
        <family val="2"/>
      </rPr>
      <t xml:space="preserve">(line 11, in blue) and </t>
    </r>
    <r>
      <rPr>
        <b/>
        <sz val="10"/>
        <color indexed="43"/>
        <rFont val="Arial"/>
        <family val="2"/>
      </rPr>
      <t>pKas</t>
    </r>
    <r>
      <rPr>
        <sz val="10"/>
        <color indexed="43"/>
        <rFont val="Arial"/>
        <family val="2"/>
      </rPr>
      <t xml:space="preserve"> with</t>
    </r>
    <r>
      <rPr>
        <b/>
        <sz val="10"/>
        <color indexed="43"/>
        <rFont val="Arial"/>
        <family val="2"/>
      </rPr>
      <t xml:space="preserve"> Solver</t>
    </r>
  </si>
  <si>
    <t>SAMPLE</t>
  </si>
  <si>
    <t>SAMPLE 
Species</t>
  </si>
  <si>
    <t>Volume of Titrand (mL)</t>
  </si>
  <si>
    <r>
      <rPr>
        <b/>
        <sz val="10"/>
        <color theme="3"/>
        <rFont val="Arial"/>
        <family val="2"/>
      </rPr>
      <t>Volume of titrand</t>
    </r>
    <r>
      <rPr>
        <sz val="10"/>
        <color theme="3"/>
        <rFont val="Arial"/>
        <family val="2"/>
      </rPr>
      <t xml:space="preserve"> (in mL)</t>
    </r>
  </si>
  <si>
    <r>
      <t xml:space="preserve">     Composition </t>
    </r>
    <r>
      <rPr>
        <sz val="11"/>
        <rFont val="Arial"/>
        <family val="2"/>
      </rPr>
      <t xml:space="preserve">of the </t>
    </r>
    <r>
      <rPr>
        <b/>
        <sz val="11"/>
        <rFont val="Arial"/>
        <family val="2"/>
      </rPr>
      <t xml:space="preserve">sample </t>
    </r>
    <r>
      <rPr>
        <sz val="11"/>
        <rFont val="Arial"/>
        <family val="2"/>
      </rPr>
      <t xml:space="preserve">(regression fit, in blue, and equilibrium at initial pH) and of the </t>
    </r>
    <r>
      <rPr>
        <b/>
        <sz val="11"/>
        <rFont val="Arial"/>
        <family val="2"/>
      </rPr>
      <t>titrant</t>
    </r>
    <r>
      <rPr>
        <sz val="11"/>
        <rFont val="Arial"/>
        <family val="2"/>
      </rPr>
      <t>; all concentrations in</t>
    </r>
    <r>
      <rPr>
        <b/>
        <sz val="11"/>
        <rFont val="Arial"/>
        <family val="2"/>
      </rPr>
      <t xml:space="preserve"> mol/L</t>
    </r>
  </si>
  <si>
    <t xml:space="preserve">Maximum titrant volume &amp; additions </t>
  </si>
  <si>
    <t>0 to 14</t>
  </si>
  <si>
    <r>
      <rPr>
        <sz val="12"/>
        <rFont val="Symbol"/>
        <family val="1"/>
        <charset val="2"/>
      </rPr>
      <t>S(</t>
    </r>
    <r>
      <rPr>
        <sz val="10"/>
        <rFont val="Symbol"/>
        <family val="1"/>
        <charset val="2"/>
      </rPr>
      <t>|</t>
    </r>
    <r>
      <rPr>
        <sz val="10"/>
        <rFont val="Calibri"/>
        <family val="2"/>
      </rPr>
      <t>R</t>
    </r>
    <r>
      <rPr>
        <vertAlign val="subscript"/>
        <sz val="12"/>
        <rFont val="Arial"/>
        <family val="2"/>
      </rPr>
      <t>CH</t>
    </r>
    <r>
      <rPr>
        <sz val="10"/>
        <rFont val="Symbol"/>
        <family val="1"/>
        <charset val="2"/>
      </rPr>
      <t>|</t>
    </r>
    <r>
      <rPr>
        <vertAlign val="superscript"/>
        <sz val="12"/>
        <rFont val="Arial"/>
        <family val="2"/>
      </rPr>
      <t>a</t>
    </r>
    <r>
      <rPr>
        <sz val="10"/>
        <rFont val="Symbol"/>
        <family val="1"/>
        <charset val="2"/>
      </rPr>
      <t>×|</t>
    </r>
    <r>
      <rPr>
        <sz val="10"/>
        <rFont val="Calibri"/>
        <family val="2"/>
      </rPr>
      <t>R</t>
    </r>
    <r>
      <rPr>
        <vertAlign val="subscript"/>
        <sz val="12"/>
        <rFont val="Arial"/>
        <family val="2"/>
      </rPr>
      <t>pH</t>
    </r>
    <r>
      <rPr>
        <sz val="10"/>
        <rFont val="Symbol"/>
        <family val="1"/>
        <charset val="2"/>
      </rPr>
      <t>|</t>
    </r>
    <r>
      <rPr>
        <vertAlign val="superscript"/>
        <sz val="12"/>
        <rFont val="Arial"/>
        <family val="2"/>
      </rPr>
      <t>b</t>
    </r>
    <r>
      <rPr>
        <sz val="10"/>
        <rFont val="Symbol"/>
        <family val="1"/>
        <charset val="2"/>
      </rPr>
      <t>×|</t>
    </r>
    <r>
      <rPr>
        <sz val="10"/>
        <rFont val="Calibri"/>
        <family val="2"/>
      </rPr>
      <t>d</t>
    </r>
    <r>
      <rPr>
        <vertAlign val="subscript"/>
        <sz val="12"/>
        <rFont val="Arial"/>
        <family val="2"/>
      </rPr>
      <t>pH</t>
    </r>
    <r>
      <rPr>
        <sz val="10"/>
        <rFont val="Symbol"/>
        <family val="1"/>
        <charset val="2"/>
      </rPr>
      <t>|</t>
    </r>
    <r>
      <rPr>
        <vertAlign val="superscript"/>
        <sz val="12"/>
        <rFont val="Arial"/>
        <family val="2"/>
      </rPr>
      <t>c</t>
    </r>
    <r>
      <rPr>
        <sz val="12"/>
        <rFont val="Symbol"/>
        <family val="1"/>
        <charset val="2"/>
      </rPr>
      <t>)</t>
    </r>
  </si>
  <si>
    <t>of</t>
  </si>
  <si>
    <r>
      <t xml:space="preserve">at ionic strength </t>
    </r>
    <r>
      <rPr>
        <sz val="12"/>
        <rFont val="Bookman Old Style"/>
        <family val="1"/>
      </rPr>
      <t xml:space="preserve">I </t>
    </r>
    <r>
      <rPr>
        <sz val="11"/>
        <rFont val="Arial"/>
        <family val="2"/>
      </rPr>
      <t>(mol/L)</t>
    </r>
  </si>
  <si>
    <t>and Buffer Capacity</t>
  </si>
  <si>
    <r>
      <t xml:space="preserve">at </t>
    </r>
    <r>
      <rPr>
        <sz val="12"/>
        <rFont val="Symbol"/>
        <family val="1"/>
        <charset val="2"/>
      </rPr>
      <t>S</t>
    </r>
    <r>
      <rPr>
        <sz val="11"/>
        <rFont val="Arial"/>
        <family val="2"/>
      </rPr>
      <t>[HiB] (mol/L)</t>
    </r>
  </si>
  <si>
    <r>
      <rPr>
        <sz val="14"/>
        <rFont val="Symbol"/>
        <family val="1"/>
        <charset val="2"/>
      </rPr>
      <t>g</t>
    </r>
    <r>
      <rPr>
        <vertAlign val="subscript"/>
        <sz val="12"/>
        <rFont val="Arial"/>
        <family val="2"/>
      </rPr>
      <t>H+</t>
    </r>
  </si>
  <si>
    <t>Protonations, n</t>
  </si>
  <si>
    <t>for</t>
  </si>
  <si>
    <t xml:space="preserve">Plot all curves overlaid on  </t>
  </si>
  <si>
    <r>
      <t xml:space="preserve">   Overall protonation constants </t>
    </r>
    <r>
      <rPr>
        <sz val="12"/>
        <rFont val="Symbol"/>
        <family val="1"/>
        <charset val="2"/>
      </rPr>
      <t>b</t>
    </r>
    <r>
      <rPr>
        <sz val="10"/>
        <rFont val="Arial"/>
        <family val="2"/>
      </rPr>
      <t>p</t>
    </r>
  </si>
  <si>
    <r>
      <t xml:space="preserve">Corrected for </t>
    </r>
    <r>
      <rPr>
        <sz val="11"/>
        <rFont val="Bookman Old Style"/>
        <family val="1"/>
      </rPr>
      <t>I</t>
    </r>
  </si>
  <si>
    <t>Species</t>
  </si>
  <si>
    <t>Curve color</t>
  </si>
  <si>
    <r>
      <rPr>
        <sz val="10"/>
        <rFont val="Arial"/>
        <family val="2"/>
      </rPr>
      <t xml:space="preserve">Ionic strength, </t>
    </r>
    <r>
      <rPr>
        <sz val="11"/>
        <rFont val="Bookman Old Style"/>
        <family val="1"/>
      </rPr>
      <t xml:space="preserve">I </t>
    </r>
  </si>
  <si>
    <t>Version 2, improved and adapted for titrations with coulometric generation of reactants, was released in 1992.</t>
  </si>
  <si>
    <t>Versions 4.1.1 to 4.1.3, January 2015 minor corrections and improved comments on ionic strength calculations.</t>
  </si>
  <si>
    <t>Version 3.3, January 2008, has a friendlier interface with the Database and includes logarithmic distribution diagram generation overlaid on the titration curve.</t>
  </si>
  <si>
    <t>Version 3.4, October 2008, extends Ionic strength and activity coefficient calculations to the Regression module (formerly available only in pH_calc).</t>
  </si>
  <si>
    <r>
      <t xml:space="preserve">Version 4.2.0, February 2015 - Extended data weighting options in </t>
    </r>
    <r>
      <rPr>
        <b/>
        <sz val="12"/>
        <rFont val="Arial"/>
        <family val="2"/>
      </rPr>
      <t>Regression</t>
    </r>
    <r>
      <rPr>
        <sz val="12"/>
        <rFont val="Arial"/>
        <family val="2"/>
      </rPr>
      <t xml:space="preserve">; ionic strength effect correction added to </t>
    </r>
    <r>
      <rPr>
        <b/>
        <sz val="12"/>
        <rFont val="Arial"/>
        <family val="2"/>
      </rPr>
      <t>Distribution</t>
    </r>
    <r>
      <rPr>
        <sz val="12"/>
        <rFont val="Arial"/>
        <family val="2"/>
      </rPr>
      <t>.</t>
    </r>
  </si>
  <si>
    <r>
      <t>Version 4.1, February 2014 -</t>
    </r>
    <r>
      <rPr>
        <b/>
        <sz val="12"/>
        <rFont val="Arial"/>
        <family val="2"/>
      </rPr>
      <t xml:space="preserve"> Titration </t>
    </r>
    <r>
      <rPr>
        <sz val="12"/>
        <rFont val="Arial"/>
        <family val="2"/>
      </rPr>
      <t>module now imports Indicator colors from Database; Distribution, Evaluation and Analysis modules import data also from Titration.</t>
    </r>
  </si>
  <si>
    <t xml:space="preserve">1. Open a new blank Excel spreadsheet </t>
  </si>
  <si>
    <t>How to enable the macro-instructions in Excel 2013, 2010 and 2007</t>
  </si>
  <si>
    <r>
      <t xml:space="preserve">2. Click on the </t>
    </r>
    <r>
      <rPr>
        <b/>
        <sz val="12"/>
        <rFont val="Arial"/>
        <family val="2"/>
      </rPr>
      <t>File</t>
    </r>
    <r>
      <rPr>
        <sz val="12"/>
        <rFont val="Arial"/>
        <family val="2"/>
      </rPr>
      <t xml:space="preserve"> tab (or the Office button, in Windows XP)(top left corner)</t>
    </r>
  </si>
  <si>
    <t xml:space="preserve">How to enable macros in MS Excel 97-2003: </t>
  </si>
  <si>
    <t xml:space="preserve">     is trustworthy and contains no harmful code.</t>
  </si>
  <si>
    <t xml:space="preserve">     All macros are fully removed when closing the file.</t>
  </si>
  <si>
    <t xml:space="preserve">     Needless to say, CurTiPot, freely distributed by the author since 1992,</t>
  </si>
  <si>
    <r>
      <t>3. Click on "</t>
    </r>
    <r>
      <rPr>
        <b/>
        <sz val="12"/>
        <rFont val="Arial"/>
        <family val="2"/>
      </rPr>
      <t>Options</t>
    </r>
    <r>
      <rPr>
        <sz val="12"/>
        <rFont val="Arial"/>
        <family val="2"/>
      </rPr>
      <t>" (bottom left)</t>
    </r>
  </si>
  <si>
    <r>
      <t>4. Click on "</t>
    </r>
    <r>
      <rPr>
        <b/>
        <sz val="12"/>
        <rFont val="Arial"/>
        <family val="2"/>
      </rPr>
      <t>Trust Center</t>
    </r>
    <r>
      <rPr>
        <sz val="12"/>
        <rFont val="Arial"/>
        <family val="2"/>
      </rPr>
      <t>" (bottom left)</t>
    </r>
  </si>
  <si>
    <r>
      <t>2. Click on the "</t>
    </r>
    <r>
      <rPr>
        <b/>
        <sz val="12"/>
        <rFont val="Arial"/>
        <family val="2"/>
      </rPr>
      <t>Tools</t>
    </r>
    <r>
      <rPr>
        <sz val="12"/>
        <rFont val="Arial"/>
        <family val="2"/>
      </rPr>
      <t>" tab</t>
    </r>
  </si>
  <si>
    <r>
      <t>3. Select "</t>
    </r>
    <r>
      <rPr>
        <b/>
        <sz val="12"/>
        <rFont val="Arial"/>
        <family val="2"/>
      </rPr>
      <t>Macro</t>
    </r>
    <r>
      <rPr>
        <sz val="12"/>
        <rFont val="Arial"/>
        <family val="2"/>
      </rPr>
      <t>"</t>
    </r>
  </si>
  <si>
    <r>
      <t>4. Select "</t>
    </r>
    <r>
      <rPr>
        <b/>
        <sz val="12"/>
        <rFont val="Arial"/>
        <family val="2"/>
      </rPr>
      <t>Security</t>
    </r>
    <r>
      <rPr>
        <sz val="12"/>
        <rFont val="Arial"/>
        <family val="2"/>
      </rPr>
      <t>"</t>
    </r>
  </si>
  <si>
    <r>
      <t>5. Select "</t>
    </r>
    <r>
      <rPr>
        <b/>
        <sz val="12"/>
        <rFont val="Arial"/>
        <family val="2"/>
      </rPr>
      <t>Security level</t>
    </r>
    <r>
      <rPr>
        <sz val="12"/>
        <rFont val="Arial"/>
        <family val="2"/>
      </rPr>
      <t>"</t>
    </r>
  </si>
  <si>
    <r>
      <t>6. Select "</t>
    </r>
    <r>
      <rPr>
        <b/>
        <sz val="12"/>
        <rFont val="Arial"/>
        <family val="2"/>
      </rPr>
      <t>Medium</t>
    </r>
    <r>
      <rPr>
        <sz val="12"/>
        <rFont val="Arial"/>
        <family val="2"/>
      </rPr>
      <t>"</t>
    </r>
  </si>
  <si>
    <r>
      <t xml:space="preserve">7. Open the </t>
    </r>
    <r>
      <rPr>
        <b/>
        <sz val="12"/>
        <rFont val="Arial"/>
        <family val="2"/>
      </rPr>
      <t>CurTiPot</t>
    </r>
    <r>
      <rPr>
        <sz val="12"/>
        <rFont val="Arial"/>
        <family val="2"/>
      </rPr>
      <t xml:space="preserve"> file and </t>
    </r>
    <r>
      <rPr>
        <b/>
        <sz val="12"/>
        <rFont val="Arial"/>
        <family val="2"/>
      </rPr>
      <t>enable</t>
    </r>
    <r>
      <rPr>
        <sz val="12"/>
        <rFont val="Arial"/>
        <family val="2"/>
      </rPr>
      <t xml:space="preserve"> the content</t>
    </r>
  </si>
  <si>
    <r>
      <t>7. Click on "</t>
    </r>
    <r>
      <rPr>
        <b/>
        <sz val="12"/>
        <rFont val="Arial"/>
        <family val="2"/>
      </rPr>
      <t>Disable macros with notification</t>
    </r>
    <r>
      <rPr>
        <sz val="12"/>
        <rFont val="Arial"/>
        <family val="2"/>
      </rPr>
      <t>"</t>
    </r>
  </si>
  <si>
    <r>
      <t xml:space="preserve">9. Open the </t>
    </r>
    <r>
      <rPr>
        <b/>
        <sz val="12"/>
        <rFont val="Arial"/>
        <family val="2"/>
      </rPr>
      <t>CurTiPot</t>
    </r>
    <r>
      <rPr>
        <sz val="12"/>
        <rFont val="Arial"/>
        <family val="2"/>
      </rPr>
      <t xml:space="preserve"> file</t>
    </r>
  </si>
  <si>
    <r>
      <t>10. When the "</t>
    </r>
    <r>
      <rPr>
        <b/>
        <sz val="12"/>
        <rFont val="Arial"/>
        <family val="2"/>
      </rPr>
      <t>Security warning</t>
    </r>
    <r>
      <rPr>
        <sz val="12"/>
        <rFont val="Arial"/>
        <family val="2"/>
      </rPr>
      <t xml:space="preserve">" shows up, click on it to </t>
    </r>
    <r>
      <rPr>
        <b/>
        <sz val="12"/>
        <rFont val="Arial"/>
        <family val="2"/>
      </rPr>
      <t>enable</t>
    </r>
    <r>
      <rPr>
        <sz val="12"/>
        <rFont val="Arial"/>
        <family val="2"/>
      </rPr>
      <t xml:space="preserve"> content</t>
    </r>
  </si>
  <si>
    <t>Besides enabled macros, the Regression module also requires the Solver,</t>
  </si>
  <si>
    <t>an Add-In supplement provided by Microsoft with the Office package</t>
  </si>
  <si>
    <t>If not already installed, follow the instructions (may change a bit, for different Excel versions)</t>
  </si>
  <si>
    <r>
      <t xml:space="preserve">2. Click on the </t>
    </r>
    <r>
      <rPr>
        <b/>
        <sz val="11"/>
        <rFont val="Arial"/>
        <family val="2"/>
      </rPr>
      <t>File</t>
    </r>
    <r>
      <rPr>
        <sz val="11"/>
        <rFont val="Arial"/>
        <family val="2"/>
      </rPr>
      <t xml:space="preserve"> tab (or the Office button, in Windows XP)(top left corner)</t>
    </r>
  </si>
  <si>
    <r>
      <t>3. Click on "</t>
    </r>
    <r>
      <rPr>
        <b/>
        <sz val="11"/>
        <rFont val="Arial"/>
        <family val="2"/>
      </rPr>
      <t>Options</t>
    </r>
    <r>
      <rPr>
        <sz val="11"/>
        <rFont val="Arial"/>
        <family val="2"/>
      </rPr>
      <t>" (bottom left)</t>
    </r>
  </si>
  <si>
    <r>
      <t>4. Click on "</t>
    </r>
    <r>
      <rPr>
        <b/>
        <sz val="11"/>
        <rFont val="Arial"/>
        <family val="2"/>
      </rPr>
      <t>Add-ins</t>
    </r>
    <r>
      <rPr>
        <sz val="11"/>
        <rFont val="Arial"/>
        <family val="2"/>
      </rPr>
      <t>" (bottom left)</t>
    </r>
  </si>
  <si>
    <r>
      <t>5. Click on "</t>
    </r>
    <r>
      <rPr>
        <b/>
        <sz val="11"/>
        <rFont val="Arial"/>
        <family val="2"/>
      </rPr>
      <t>Solver</t>
    </r>
    <r>
      <rPr>
        <sz val="11"/>
        <rFont val="Arial"/>
        <family val="2"/>
      </rPr>
      <t>" in the Add-Ins list</t>
    </r>
  </si>
  <si>
    <r>
      <t xml:space="preserve">7. Check </t>
    </r>
    <r>
      <rPr>
        <b/>
        <sz val="11"/>
        <rFont val="Arial"/>
        <family val="2"/>
      </rPr>
      <t>Solver</t>
    </r>
    <r>
      <rPr>
        <sz val="11"/>
        <rFont val="Arial"/>
        <family val="2"/>
      </rPr>
      <t xml:space="preserve"> add-in in the pop-on box </t>
    </r>
  </si>
  <si>
    <r>
      <t xml:space="preserve">9. Open the </t>
    </r>
    <r>
      <rPr>
        <b/>
        <sz val="11"/>
        <rFont val="Arial"/>
        <family val="2"/>
      </rPr>
      <t>CurTiPot</t>
    </r>
    <r>
      <rPr>
        <sz val="11"/>
        <rFont val="Arial"/>
        <family val="2"/>
      </rPr>
      <t xml:space="preserve"> file and click on the </t>
    </r>
    <r>
      <rPr>
        <b/>
        <sz val="11"/>
        <rFont val="Arial"/>
        <family val="2"/>
      </rPr>
      <t>Regression</t>
    </r>
    <r>
      <rPr>
        <sz val="11"/>
        <rFont val="Arial"/>
        <family val="2"/>
      </rPr>
      <t xml:space="preserve"> lower tab</t>
    </r>
  </si>
  <si>
    <r>
      <t xml:space="preserve">To learn from the authors' of Excel </t>
    </r>
    <r>
      <rPr>
        <b/>
        <sz val="11"/>
        <rFont val="Arial"/>
        <family val="2"/>
      </rPr>
      <t>Solver</t>
    </r>
    <r>
      <rPr>
        <sz val="11"/>
        <rFont val="Arial"/>
        <family val="2"/>
      </rPr>
      <t xml:space="preserve"> about the </t>
    </r>
    <r>
      <rPr>
        <b/>
        <sz val="11"/>
        <rFont val="Arial"/>
        <family val="2"/>
      </rPr>
      <t>design, uses and limitations</t>
    </r>
  </si>
  <si>
    <r>
      <t xml:space="preserve">8. Click </t>
    </r>
    <r>
      <rPr>
        <b/>
        <sz val="12"/>
        <rFont val="Arial"/>
        <family val="2"/>
      </rPr>
      <t>OK</t>
    </r>
    <r>
      <rPr>
        <sz val="12"/>
        <rFont val="Arial"/>
        <family val="2"/>
      </rPr>
      <t>; follow steps 1 to 8 only once on each computer</t>
    </r>
  </si>
  <si>
    <r>
      <t>4. Click on "</t>
    </r>
    <r>
      <rPr>
        <b/>
        <sz val="11"/>
        <rFont val="Arial"/>
        <family val="2"/>
      </rPr>
      <t>Trust Center</t>
    </r>
    <r>
      <rPr>
        <sz val="11"/>
        <rFont val="Arial"/>
        <family val="2"/>
      </rPr>
      <t>" (bottom left)</t>
    </r>
  </si>
  <si>
    <r>
      <t>7. Click on "</t>
    </r>
    <r>
      <rPr>
        <b/>
        <sz val="11"/>
        <rFont val="Arial"/>
        <family val="2"/>
      </rPr>
      <t>Disable macros with notification</t>
    </r>
    <r>
      <rPr>
        <sz val="11"/>
        <rFont val="Arial"/>
        <family val="2"/>
      </rPr>
      <t>"</t>
    </r>
  </si>
  <si>
    <r>
      <t xml:space="preserve">8. Click </t>
    </r>
    <r>
      <rPr>
        <b/>
        <sz val="11"/>
        <rFont val="Arial"/>
        <family val="2"/>
      </rPr>
      <t>OK</t>
    </r>
    <r>
      <rPr>
        <sz val="11"/>
        <rFont val="Arial"/>
        <family val="2"/>
      </rPr>
      <t>; follow steps 1 to 8 only once on each computer</t>
    </r>
  </si>
  <si>
    <r>
      <t xml:space="preserve">9. Open the </t>
    </r>
    <r>
      <rPr>
        <b/>
        <sz val="11"/>
        <rFont val="Arial"/>
        <family val="2"/>
      </rPr>
      <t>CurTiPot</t>
    </r>
    <r>
      <rPr>
        <sz val="11"/>
        <rFont val="Arial"/>
        <family val="2"/>
      </rPr>
      <t xml:space="preserve"> file</t>
    </r>
  </si>
  <si>
    <r>
      <t>10. When the "</t>
    </r>
    <r>
      <rPr>
        <b/>
        <sz val="11"/>
        <rFont val="Arial"/>
        <family val="2"/>
      </rPr>
      <t>Security warning</t>
    </r>
    <r>
      <rPr>
        <sz val="11"/>
        <rFont val="Arial"/>
        <family val="2"/>
      </rPr>
      <t xml:space="preserve">" shows up, click on it to </t>
    </r>
    <r>
      <rPr>
        <b/>
        <sz val="11"/>
        <rFont val="Arial"/>
        <family val="2"/>
      </rPr>
      <t>enable</t>
    </r>
    <r>
      <rPr>
        <sz val="11"/>
        <rFont val="Arial"/>
        <family val="2"/>
      </rPr>
      <t xml:space="preserve"> content</t>
    </r>
  </si>
  <si>
    <r>
      <t>2. Click on the "</t>
    </r>
    <r>
      <rPr>
        <b/>
        <sz val="11"/>
        <rFont val="Arial"/>
        <family val="2"/>
      </rPr>
      <t>Tools</t>
    </r>
    <r>
      <rPr>
        <sz val="11"/>
        <rFont val="Arial"/>
        <family val="2"/>
      </rPr>
      <t>" tab</t>
    </r>
  </si>
  <si>
    <r>
      <t>3. Select "</t>
    </r>
    <r>
      <rPr>
        <b/>
        <sz val="11"/>
        <rFont val="Arial"/>
        <family val="2"/>
      </rPr>
      <t>Macro</t>
    </r>
    <r>
      <rPr>
        <sz val="11"/>
        <rFont val="Arial"/>
        <family val="2"/>
      </rPr>
      <t>"</t>
    </r>
  </si>
  <si>
    <r>
      <t>4. Select "</t>
    </r>
    <r>
      <rPr>
        <b/>
        <sz val="11"/>
        <rFont val="Arial"/>
        <family val="2"/>
      </rPr>
      <t>Security</t>
    </r>
    <r>
      <rPr>
        <sz val="11"/>
        <rFont val="Arial"/>
        <family val="2"/>
      </rPr>
      <t>"</t>
    </r>
  </si>
  <si>
    <r>
      <t>5. Select "</t>
    </r>
    <r>
      <rPr>
        <b/>
        <sz val="11"/>
        <rFont val="Arial"/>
        <family val="2"/>
      </rPr>
      <t>Security level</t>
    </r>
    <r>
      <rPr>
        <sz val="11"/>
        <rFont val="Arial"/>
        <family val="2"/>
      </rPr>
      <t>"</t>
    </r>
  </si>
  <si>
    <r>
      <t>6. Select "</t>
    </r>
    <r>
      <rPr>
        <b/>
        <sz val="11"/>
        <rFont val="Arial"/>
        <family val="2"/>
      </rPr>
      <t>Medium</t>
    </r>
    <r>
      <rPr>
        <sz val="11"/>
        <rFont val="Arial"/>
        <family val="2"/>
      </rPr>
      <t>"</t>
    </r>
  </si>
  <si>
    <r>
      <t xml:space="preserve">7. Open the </t>
    </r>
    <r>
      <rPr>
        <b/>
        <sz val="11"/>
        <rFont val="Arial"/>
        <family val="2"/>
      </rPr>
      <t>CurTiPot</t>
    </r>
    <r>
      <rPr>
        <sz val="11"/>
        <rFont val="Arial"/>
        <family val="2"/>
      </rPr>
      <t xml:space="preserve"> file and </t>
    </r>
    <r>
      <rPr>
        <b/>
        <sz val="11"/>
        <rFont val="Arial"/>
        <family val="2"/>
      </rPr>
      <t>enable</t>
    </r>
    <r>
      <rPr>
        <sz val="11"/>
        <rFont val="Arial"/>
        <family val="2"/>
      </rPr>
      <t xml:space="preserve"> the content</t>
    </r>
  </si>
  <si>
    <r>
      <t xml:space="preserve">To read about the name, origins and customers of </t>
    </r>
    <r>
      <rPr>
        <sz val="12"/>
        <rFont val="Bookman Old Style"/>
        <family val="1"/>
      </rPr>
      <t>CurTiPot</t>
    </r>
    <r>
      <rPr>
        <sz val="12"/>
        <rFont val="Arial"/>
        <family val="2"/>
      </rPr>
      <t xml:space="preserve"> hold the mouse on the red marked cell Q34.</t>
    </r>
  </si>
  <si>
    <t>CurTiPot has reached over one hundred countries and was used and cited in over fifty papers and thesis: http://scholar.google.com/scholar?hl=en-USR&amp;as_sdt=0,5&amp;q=curtipot</t>
  </si>
  <si>
    <t>http://scholar.google.com.br/citations?user=qXFK1_YAAAAJ&amp;hl=pt-BR</t>
  </si>
  <si>
    <t>a nice beach where I took some pictures; search Google for: guaeca panoramio gutz</t>
  </si>
  <si>
    <t>CurTiPot was written almost during weekends and holidays, in São Paulo and, sometimes, in Guaeca</t>
  </si>
  <si>
    <t>Click C22</t>
  </si>
  <si>
    <t>to update AT --&gt;</t>
  </si>
  <si>
    <r>
      <t xml:space="preserve">•  </t>
    </r>
    <r>
      <rPr>
        <b/>
        <sz val="13"/>
        <rFont val="Arial"/>
        <family val="2"/>
      </rPr>
      <t>Database</t>
    </r>
    <r>
      <rPr>
        <sz val="13"/>
        <rFont val="Arial"/>
        <family val="2"/>
      </rPr>
      <t xml:space="preserve"> with equilibrium constants (pK</t>
    </r>
    <r>
      <rPr>
        <vertAlign val="subscript"/>
        <sz val="14"/>
        <rFont val="Arial"/>
        <family val="2"/>
      </rPr>
      <t>a</t>
    </r>
    <r>
      <rPr>
        <sz val="13"/>
        <rFont val="Arial"/>
        <family val="2"/>
      </rPr>
      <t xml:space="preserve">) of 250 acid-base systems including amino acids and some indicators (expandable by the user) </t>
    </r>
  </si>
  <si>
    <r>
      <t>5. Click on "</t>
    </r>
    <r>
      <rPr>
        <b/>
        <sz val="12"/>
        <rFont val="Arial"/>
        <family val="2"/>
      </rPr>
      <t>Trust Center Settings</t>
    </r>
    <r>
      <rPr>
        <sz val="12"/>
        <rFont val="Arial"/>
        <family val="2"/>
      </rPr>
      <t>" (bottom right)</t>
    </r>
  </si>
  <si>
    <r>
      <t>6. Click on "</t>
    </r>
    <r>
      <rPr>
        <b/>
        <sz val="12"/>
        <rFont val="Arial"/>
        <family val="2"/>
      </rPr>
      <t>Macro Settings</t>
    </r>
    <r>
      <rPr>
        <sz val="12"/>
        <rFont val="Arial"/>
        <family val="2"/>
      </rPr>
      <t>"</t>
    </r>
  </si>
  <si>
    <r>
      <t>5. Click on "</t>
    </r>
    <r>
      <rPr>
        <b/>
        <sz val="11"/>
        <rFont val="Arial"/>
        <family val="2"/>
      </rPr>
      <t>Trust Center Settings</t>
    </r>
    <r>
      <rPr>
        <sz val="11"/>
        <rFont val="Arial"/>
        <family val="2"/>
      </rPr>
      <t>" (bottom right)</t>
    </r>
  </si>
  <si>
    <r>
      <t>6. Click on "</t>
    </r>
    <r>
      <rPr>
        <b/>
        <sz val="11"/>
        <rFont val="Arial"/>
        <family val="2"/>
      </rPr>
      <t>Macro Settings</t>
    </r>
    <r>
      <rPr>
        <sz val="11"/>
        <rFont val="Arial"/>
        <family val="2"/>
      </rPr>
      <t>"</t>
    </r>
  </si>
  <si>
    <t xml:space="preserve">     Sample and titrant (standard) composition (concentrations in mol/L)</t>
  </si>
  <si>
    <r>
      <t xml:space="preserve">   Overall apparent constants </t>
    </r>
    <r>
      <rPr>
        <sz val="11"/>
        <rFont val="Arial"/>
        <family val="2"/>
      </rPr>
      <t xml:space="preserve">recalculated for applied initial </t>
    </r>
    <r>
      <rPr>
        <sz val="11"/>
        <rFont val="Bookman Old Style"/>
        <family val="1"/>
      </rPr>
      <t>I</t>
    </r>
    <r>
      <rPr>
        <sz val="11"/>
        <rFont val="Arial"/>
        <family val="2"/>
      </rPr>
      <t xml:space="preserve"> =</t>
    </r>
  </si>
  <si>
    <r>
      <t>SS</t>
    </r>
    <r>
      <rPr>
        <sz val="10"/>
        <rFont val="Arial"/>
        <family val="2"/>
      </rPr>
      <t>[H] max. free H</t>
    </r>
    <r>
      <rPr>
        <vertAlign val="superscript"/>
        <sz val="11"/>
        <rFont val="Arial"/>
        <family val="2"/>
      </rPr>
      <t>+</t>
    </r>
    <r>
      <rPr>
        <sz val="10"/>
        <rFont val="Arial"/>
        <family val="2"/>
      </rPr>
      <t xml:space="preserve"> </t>
    </r>
  </si>
  <si>
    <r>
      <t>6. Click on "</t>
    </r>
    <r>
      <rPr>
        <b/>
        <sz val="11"/>
        <rFont val="Arial"/>
        <family val="2"/>
      </rPr>
      <t>Go</t>
    </r>
    <r>
      <rPr>
        <sz val="11"/>
        <rFont val="Arial"/>
        <family val="2"/>
      </rPr>
      <t>" near the bottom of the page</t>
    </r>
  </si>
  <si>
    <t>To modify the axis of a plot od copy a figure, see instructions in cells  P443, 44 and 45 of Evaluation</t>
  </si>
  <si>
    <t xml:space="preserve">Retained formed curves  </t>
  </si>
  <si>
    <t>Molar fraction of each species as a function of pH</t>
  </si>
  <si>
    <t>logarithm of molar fraction of each species as a function of pH</t>
  </si>
  <si>
    <t xml:space="preserve">Volume of titrand (sample pipetted into cell)  </t>
  </si>
  <si>
    <t>Dissociation constants of  inorganic and organic compounds (compilation with 33 pages)</t>
  </si>
  <si>
    <t>Primary standard buffer solutions pH at various temperatures</t>
  </si>
  <si>
    <t>Acid or Base</t>
  </si>
  <si>
    <r>
      <rPr>
        <u/>
        <sz val="11"/>
        <rFont val="Arial"/>
        <family val="2"/>
      </rPr>
      <t>Window for Mac:</t>
    </r>
    <r>
      <rPr>
        <sz val="11"/>
        <rFont val="Arial"/>
        <family val="2"/>
      </rPr>
      <t xml:space="preserve">  skip step </t>
    </r>
    <r>
      <rPr>
        <b/>
        <sz val="11"/>
        <rFont val="Arial"/>
        <family val="2"/>
      </rPr>
      <t>2</t>
    </r>
    <r>
      <rPr>
        <sz val="11"/>
        <rFont val="Arial"/>
        <family val="2"/>
      </rPr>
      <t xml:space="preserve">, click </t>
    </r>
    <r>
      <rPr>
        <b/>
        <sz val="11"/>
        <rFont val="Arial"/>
        <family val="2"/>
      </rPr>
      <t>"Tools</t>
    </r>
    <r>
      <rPr>
        <sz val="11"/>
        <rFont val="Arial"/>
        <family val="2"/>
      </rPr>
      <t>"</t>
    </r>
  </si>
  <si>
    <r>
      <rPr>
        <u/>
        <sz val="11"/>
        <rFont val="Arial"/>
        <family val="2"/>
      </rPr>
      <t>Window for Mac:</t>
    </r>
    <r>
      <rPr>
        <sz val="11"/>
        <rFont val="Arial"/>
        <family val="2"/>
      </rPr>
      <t xml:space="preserve">  check the Solver box; skip 6 na 7</t>
    </r>
  </si>
  <si>
    <r>
      <t xml:space="preserve">10. Click on the upper </t>
    </r>
    <r>
      <rPr>
        <b/>
        <sz val="11"/>
        <rFont val="Arial"/>
        <family val="2"/>
      </rPr>
      <t>Data</t>
    </r>
    <r>
      <rPr>
        <sz val="11"/>
        <rFont val="Arial"/>
        <family val="2"/>
      </rPr>
      <t xml:space="preserve"> tab and click on </t>
    </r>
    <r>
      <rPr>
        <b/>
        <sz val="11"/>
        <rFont val="Arial"/>
        <family val="2"/>
      </rPr>
      <t>Solver</t>
    </r>
    <r>
      <rPr>
        <sz val="11"/>
        <rFont val="Arial"/>
        <family val="2"/>
      </rPr>
      <t xml:space="preserve"> in the </t>
    </r>
    <r>
      <rPr>
        <b/>
        <sz val="11"/>
        <rFont val="Arial"/>
        <family val="2"/>
      </rPr>
      <t>Analysis</t>
    </r>
    <r>
      <rPr>
        <sz val="11"/>
        <rFont val="Arial"/>
        <family val="2"/>
      </rPr>
      <t xml:space="preserve"> group (at the right)</t>
    </r>
  </si>
  <si>
    <t>Research interests, CV, publications, see: http://www.iq.usp.br/gutz and</t>
  </si>
  <si>
    <r>
      <rPr>
        <b/>
        <sz val="12"/>
        <rFont val="Arial"/>
        <family val="2"/>
      </rPr>
      <t>No</t>
    </r>
    <r>
      <rPr>
        <sz val="12"/>
        <rFont val="Arial"/>
        <family val="2"/>
      </rPr>
      <t xml:space="preserve"> installation is needed. Download the latest release of </t>
    </r>
    <r>
      <rPr>
        <sz val="12"/>
        <rFont val="Bookman Old Style"/>
        <family val="1"/>
      </rPr>
      <t>CurTiPot</t>
    </r>
    <r>
      <rPr>
        <sz val="12"/>
        <rFont val="Arial"/>
        <family val="2"/>
      </rPr>
      <t xml:space="preserve"> from www.iq.usp.br/gutz/Curtipot_.html and open the file with Microsoft Excel® </t>
    </r>
  </si>
  <si>
    <t xml:space="preserve">No Isoelectrc Point in the pH range of </t>
  </si>
  <si>
    <t>Titrant(s)</t>
  </si>
  <si>
    <t>recalc. for</t>
  </si>
  <si>
    <r>
      <rPr>
        <sz val="12"/>
        <rFont val="Symbol"/>
        <family val="1"/>
        <charset val="2"/>
      </rPr>
      <t xml:space="preserve">g </t>
    </r>
    <r>
      <rPr>
        <sz val="11"/>
        <rFont val="Arial"/>
        <family val="2"/>
      </rPr>
      <t>H</t>
    </r>
    <r>
      <rPr>
        <vertAlign val="superscript"/>
        <sz val="12"/>
        <rFont val="Arial"/>
        <family val="2"/>
      </rPr>
      <t>+</t>
    </r>
    <r>
      <rPr>
        <sz val="12"/>
        <rFont val="Arial"/>
        <family val="2"/>
      </rPr>
      <t>=</t>
    </r>
  </si>
  <si>
    <t xml:space="preserve"> Remark: this virtual titrator calculates "pH" values disregarding ion-ion interactions (pH calculations are available in the Simulation or pH_calc modules).</t>
  </si>
  <si>
    <t>People from over 200 universities and 100 companies dowloaded CurTiPot</t>
  </si>
  <si>
    <t>Version 3.1 was the first release translated to English, launched on the internet in May 1st, 2006.</t>
  </si>
  <si>
    <t>Version  4.2.3. March 2016 - Indicator colors are loaded in Titration (function missing in v. 4.2.2)</t>
  </si>
  <si>
    <t>Version  4.2.2, September 2015 - Cells to fill with concentrations of bases protoneted to neutrality are now underlined in green.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</si>
</sst>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 #,##0.00_);_(* \(#,##0.00\);_(* &quot;-&quot;??_);_(@_)"/>
    <numFmt numFmtId="165" formatCode="0.0000"/>
    <numFmt numFmtId="166" formatCode="0.000"/>
    <numFmt numFmtId="167" formatCode="0.000E+00"/>
    <numFmt numFmtId="168" formatCode="0.000000"/>
    <numFmt numFmtId="169" formatCode="0.0"/>
    <numFmt numFmtId="170" formatCode="0.00000"/>
    <numFmt numFmtId="171" formatCode="0.0000E+00"/>
    <numFmt numFmtId="172" formatCode="0.000000E+00"/>
  </numFmts>
  <fonts count="187">
    <font>
      <sz val="10"/>
      <name val="Arial"/>
    </font>
    <font>
      <sz val="11"/>
      <color theme="1"/>
      <name val="Calibri"/>
      <family val="2"/>
      <scheme val="minor"/>
    </font>
    <font>
      <sz val="10"/>
      <name val="Arial"/>
      <family val="2"/>
    </font>
    <font>
      <b/>
      <sz val="10"/>
      <name val="Arial"/>
      <family val="2"/>
    </font>
    <font>
      <sz val="10"/>
      <name val="Symbol"/>
      <family val="1"/>
      <charset val="2"/>
    </font>
    <font>
      <sz val="10"/>
      <name val="Arial"/>
      <family val="2"/>
    </font>
    <font>
      <sz val="10"/>
      <color indexed="10"/>
      <name val="Arial"/>
      <family val="2"/>
    </font>
    <font>
      <b/>
      <sz val="10"/>
      <color indexed="43"/>
      <name val="Arial"/>
      <family val="2"/>
    </font>
    <font>
      <u/>
      <sz val="10"/>
      <color indexed="12"/>
      <name val="Arial"/>
      <family val="2"/>
    </font>
    <font>
      <b/>
      <sz val="10"/>
      <color indexed="10"/>
      <name val="Arial"/>
      <family val="2"/>
    </font>
    <font>
      <b/>
      <sz val="8"/>
      <color indexed="43"/>
      <name val="Arial"/>
      <family val="2"/>
    </font>
    <font>
      <b/>
      <sz val="12"/>
      <color indexed="23"/>
      <name val="Arial"/>
      <family val="2"/>
    </font>
    <font>
      <sz val="10"/>
      <color indexed="10"/>
      <name val="Arial"/>
      <family val="2"/>
    </font>
    <font>
      <b/>
      <sz val="11"/>
      <name val="Arial"/>
      <family val="2"/>
    </font>
    <font>
      <b/>
      <sz val="14"/>
      <name val="Arial"/>
      <family val="2"/>
    </font>
    <font>
      <vertAlign val="subscript"/>
      <sz val="10"/>
      <name val="Arial"/>
      <family val="2"/>
    </font>
    <font>
      <vertAlign val="subscript"/>
      <sz val="11"/>
      <name val="Arial"/>
      <family val="2"/>
    </font>
    <font>
      <b/>
      <sz val="12"/>
      <name val="Arial"/>
      <family val="2"/>
    </font>
    <font>
      <sz val="11"/>
      <name val="Arial"/>
      <family val="2"/>
    </font>
    <font>
      <sz val="8"/>
      <color indexed="81"/>
      <name val="Tahoma"/>
      <family val="2"/>
    </font>
    <font>
      <b/>
      <sz val="8"/>
      <color indexed="81"/>
      <name val="Tahoma"/>
      <family val="2"/>
    </font>
    <font>
      <vertAlign val="subscript"/>
      <sz val="10"/>
      <color indexed="81"/>
      <name val="Tahoma"/>
      <family val="2"/>
    </font>
    <font>
      <vertAlign val="superscript"/>
      <sz val="10"/>
      <color indexed="81"/>
      <name val="Tahoma"/>
      <family val="2"/>
    </font>
    <font>
      <sz val="10"/>
      <color indexed="81"/>
      <name val="Tahoma"/>
      <family val="2"/>
    </font>
    <font>
      <sz val="12"/>
      <name val="Arial"/>
      <family val="2"/>
    </font>
    <font>
      <sz val="10"/>
      <color indexed="17"/>
      <name val="Arial"/>
      <family val="2"/>
    </font>
    <font>
      <sz val="10"/>
      <color indexed="60"/>
      <name val="Arial"/>
      <family val="2"/>
    </font>
    <font>
      <sz val="10"/>
      <color indexed="12"/>
      <name val="Arial"/>
      <family val="2"/>
    </font>
    <font>
      <sz val="10"/>
      <color indexed="14"/>
      <name val="Arial"/>
      <family val="2"/>
    </font>
    <font>
      <sz val="10"/>
      <color indexed="53"/>
      <name val="Arial"/>
      <family val="2"/>
    </font>
    <font>
      <sz val="10"/>
      <color indexed="8"/>
      <name val="Arial"/>
      <family val="2"/>
    </font>
    <font>
      <sz val="14"/>
      <name val="Arial"/>
      <family val="2"/>
    </font>
    <font>
      <sz val="12"/>
      <name val="Arial"/>
      <family val="2"/>
    </font>
    <font>
      <sz val="10"/>
      <color indexed="13"/>
      <name val="Arial Black"/>
      <family val="2"/>
    </font>
    <font>
      <vertAlign val="superscript"/>
      <sz val="12"/>
      <name val="Arial"/>
      <family val="2"/>
    </font>
    <font>
      <sz val="16"/>
      <name val="Arial"/>
      <family val="2"/>
    </font>
    <font>
      <b/>
      <sz val="14"/>
      <color indexed="13"/>
      <name val="Arial"/>
      <family val="2"/>
    </font>
    <font>
      <sz val="10"/>
      <color indexed="13"/>
      <name val="Arial"/>
      <family val="2"/>
    </font>
    <font>
      <b/>
      <sz val="11"/>
      <color indexed="43"/>
      <name val="Arial"/>
      <family val="2"/>
    </font>
    <font>
      <sz val="10"/>
      <color indexed="81"/>
      <name val="Symbol"/>
      <family val="1"/>
      <charset val="2"/>
    </font>
    <font>
      <b/>
      <sz val="10"/>
      <color indexed="81"/>
      <name val="Tahoma"/>
      <family val="2"/>
    </font>
    <font>
      <vertAlign val="superscript"/>
      <sz val="10"/>
      <name val="Arial"/>
      <family val="2"/>
    </font>
    <font>
      <vertAlign val="subscript"/>
      <sz val="13"/>
      <name val="Arial"/>
      <family val="2"/>
    </font>
    <font>
      <b/>
      <sz val="13"/>
      <name val="Arial"/>
      <family val="2"/>
    </font>
    <font>
      <sz val="13"/>
      <name val="Arial"/>
      <family val="2"/>
    </font>
    <font>
      <b/>
      <vertAlign val="subscript"/>
      <sz val="12"/>
      <name val="Arial"/>
      <family val="2"/>
    </font>
    <font>
      <sz val="10"/>
      <color indexed="23"/>
      <name val="Arial"/>
      <family val="2"/>
    </font>
    <font>
      <b/>
      <sz val="10"/>
      <color indexed="23"/>
      <name val="Arial"/>
      <family val="2"/>
    </font>
    <font>
      <b/>
      <sz val="14"/>
      <color indexed="43"/>
      <name val="Arial"/>
      <family val="2"/>
    </font>
    <font>
      <b/>
      <sz val="10"/>
      <color indexed="43"/>
      <name val="Arial"/>
      <family val="2"/>
    </font>
    <font>
      <sz val="10"/>
      <color indexed="23"/>
      <name val="Arial"/>
      <family val="2"/>
    </font>
    <font>
      <sz val="10"/>
      <name val="Frutiger-Roman"/>
    </font>
    <font>
      <sz val="11"/>
      <name val="Arial"/>
      <family val="2"/>
    </font>
    <font>
      <sz val="12"/>
      <name val="Symbol"/>
      <family val="1"/>
      <charset val="2"/>
    </font>
    <font>
      <vertAlign val="subscript"/>
      <sz val="12"/>
      <name val="Arial"/>
      <family val="2"/>
    </font>
    <font>
      <vertAlign val="subscript"/>
      <sz val="13"/>
      <name val="Symbol"/>
      <family val="1"/>
      <charset val="2"/>
    </font>
    <font>
      <sz val="8"/>
      <name val="Arial"/>
      <family val="2"/>
    </font>
    <font>
      <vertAlign val="superscript"/>
      <sz val="10"/>
      <color indexed="8"/>
      <name val="Arial"/>
      <family val="2"/>
    </font>
    <font>
      <sz val="10"/>
      <name val="Courier New"/>
      <family val="3"/>
    </font>
    <font>
      <sz val="11"/>
      <name val="Symbol"/>
      <family val="1"/>
      <charset val="2"/>
    </font>
    <font>
      <sz val="14"/>
      <name val="Symbol"/>
      <family val="1"/>
      <charset val="2"/>
    </font>
    <font>
      <vertAlign val="subscript"/>
      <sz val="12"/>
      <color indexed="81"/>
      <name val="Tahoma"/>
      <family val="2"/>
    </font>
    <font>
      <sz val="12"/>
      <color indexed="81"/>
      <name val="Tahoma"/>
      <family val="2"/>
    </font>
    <font>
      <i/>
      <sz val="10"/>
      <color indexed="81"/>
      <name val="Tahoma"/>
      <family val="2"/>
    </font>
    <font>
      <sz val="14"/>
      <color indexed="81"/>
      <name val="Symbol"/>
      <family val="1"/>
      <charset val="2"/>
    </font>
    <font>
      <vertAlign val="superscript"/>
      <sz val="12"/>
      <color indexed="81"/>
      <name val="Tahoma"/>
      <family val="2"/>
    </font>
    <font>
      <sz val="10"/>
      <color indexed="12"/>
      <name val="Tahoma"/>
      <family val="2"/>
    </font>
    <font>
      <sz val="14"/>
      <color indexed="43"/>
      <name val="Arial"/>
      <family val="2"/>
    </font>
    <font>
      <sz val="11"/>
      <color indexed="13"/>
      <name val="Arial"/>
      <family val="2"/>
    </font>
    <font>
      <sz val="11"/>
      <color indexed="26"/>
      <name val="Arial"/>
      <family val="2"/>
    </font>
    <font>
      <b/>
      <sz val="11"/>
      <color indexed="26"/>
      <name val="Arial"/>
      <family val="2"/>
    </font>
    <font>
      <sz val="10"/>
      <color indexed="43"/>
      <name val="Arial"/>
      <family val="2"/>
    </font>
    <font>
      <b/>
      <sz val="13"/>
      <color indexed="81"/>
      <name val="Tahoma"/>
      <family val="2"/>
    </font>
    <font>
      <sz val="13"/>
      <color indexed="81"/>
      <name val="Tahoma"/>
      <family val="2"/>
    </font>
    <font>
      <sz val="10"/>
      <color indexed="10"/>
      <name val="Arial"/>
      <family val="2"/>
    </font>
    <font>
      <sz val="10"/>
      <color indexed="8"/>
      <name val="Arial"/>
      <family val="2"/>
    </font>
    <font>
      <sz val="10"/>
      <color indexed="23"/>
      <name val="Arial"/>
      <family val="2"/>
    </font>
    <font>
      <sz val="8"/>
      <name val="Arial"/>
      <family val="2"/>
    </font>
    <font>
      <sz val="12"/>
      <name val="Arial"/>
      <family val="2"/>
    </font>
    <font>
      <b/>
      <vertAlign val="subscript"/>
      <sz val="12"/>
      <color indexed="43"/>
      <name val="Arial"/>
      <family val="2"/>
    </font>
    <font>
      <sz val="10"/>
      <color indexed="23"/>
      <name val="Arial"/>
      <family val="2"/>
    </font>
    <font>
      <sz val="11"/>
      <name val="Arial"/>
      <family val="2"/>
    </font>
    <font>
      <b/>
      <sz val="11"/>
      <color indexed="62"/>
      <name val="Arial"/>
      <family val="2"/>
    </font>
    <font>
      <sz val="10"/>
      <color indexed="10"/>
      <name val="Arial"/>
      <family val="2"/>
    </font>
    <font>
      <b/>
      <sz val="10"/>
      <color indexed="10"/>
      <name val="Arial"/>
      <family val="2"/>
    </font>
    <font>
      <b/>
      <sz val="10"/>
      <name val="Arial"/>
      <family val="2"/>
    </font>
    <font>
      <vertAlign val="subscript"/>
      <sz val="8"/>
      <color indexed="81"/>
      <name val="Tahoma"/>
      <family val="2"/>
    </font>
    <font>
      <b/>
      <sz val="10"/>
      <color indexed="23"/>
      <name val="Arial"/>
      <family val="2"/>
    </font>
    <font>
      <sz val="12"/>
      <name val="Arial"/>
      <family val="2"/>
    </font>
    <font>
      <sz val="11"/>
      <color indexed="10"/>
      <name val="Arial"/>
      <family val="2"/>
    </font>
    <font>
      <b/>
      <sz val="11"/>
      <name val="Symbol"/>
      <family val="1"/>
      <charset val="2"/>
    </font>
    <font>
      <b/>
      <sz val="18"/>
      <name val="Bookman Old Style"/>
      <family val="1"/>
    </font>
    <font>
      <u/>
      <sz val="16"/>
      <color indexed="12"/>
      <name val="Arial"/>
      <family val="2"/>
    </font>
    <font>
      <u/>
      <sz val="14"/>
      <color indexed="12"/>
      <name val="Arial"/>
      <family val="2"/>
    </font>
    <font>
      <sz val="14"/>
      <name val="Arial"/>
      <family val="2"/>
    </font>
    <font>
      <b/>
      <sz val="12"/>
      <color indexed="81"/>
      <name val="Tahoma"/>
      <family val="2"/>
    </font>
    <font>
      <sz val="14"/>
      <color indexed="81"/>
      <name val="Tahoma"/>
      <family val="2"/>
    </font>
    <font>
      <i/>
      <vertAlign val="subscript"/>
      <sz val="12"/>
      <name val="Arial"/>
      <family val="2"/>
    </font>
    <font>
      <b/>
      <vertAlign val="superscript"/>
      <sz val="11"/>
      <name val="Arial"/>
      <family val="2"/>
    </font>
    <font>
      <sz val="10"/>
      <color indexed="8"/>
      <name val="Arial"/>
      <family val="2"/>
    </font>
    <font>
      <sz val="10"/>
      <color indexed="17"/>
      <name val="Arial"/>
      <family val="2"/>
    </font>
    <font>
      <sz val="10"/>
      <color indexed="60"/>
      <name val="Arial"/>
      <family val="2"/>
    </font>
    <font>
      <sz val="10"/>
      <color indexed="12"/>
      <name val="Arial"/>
      <family val="2"/>
    </font>
    <font>
      <sz val="10"/>
      <color indexed="14"/>
      <name val="Arial"/>
      <family val="2"/>
    </font>
    <font>
      <sz val="10"/>
      <color indexed="53"/>
      <name val="Arial"/>
      <family val="2"/>
    </font>
    <font>
      <sz val="11"/>
      <color indexed="81"/>
      <name val="Tahoma"/>
      <family val="2"/>
    </font>
    <font>
      <b/>
      <u/>
      <sz val="14"/>
      <color indexed="43"/>
      <name val="Arial"/>
      <family val="2"/>
    </font>
    <font>
      <vertAlign val="subscript"/>
      <sz val="14"/>
      <name val="Arial"/>
      <family val="2"/>
    </font>
    <font>
      <vertAlign val="subscript"/>
      <sz val="12"/>
      <color indexed="81"/>
      <name val="Symbol"/>
      <family val="1"/>
      <charset val="2"/>
    </font>
    <font>
      <sz val="12"/>
      <color indexed="81"/>
      <name val="Symbol"/>
      <family val="1"/>
      <charset val="2"/>
    </font>
    <font>
      <sz val="10"/>
      <name val="Bookman Old Style"/>
      <family val="1"/>
    </font>
    <font>
      <b/>
      <sz val="10"/>
      <name val="Bookman Old Style"/>
      <family val="1"/>
    </font>
    <font>
      <sz val="12"/>
      <name val="Bookman Old Style"/>
      <family val="1"/>
    </font>
    <font>
      <sz val="11"/>
      <name val="Bookman Old Style"/>
      <family val="1"/>
    </font>
    <font>
      <sz val="10"/>
      <color indexed="10"/>
      <name val="Arial"/>
      <family val="2"/>
    </font>
    <font>
      <u/>
      <sz val="10"/>
      <color indexed="81"/>
      <name val="Tahoma"/>
      <family val="2"/>
    </font>
    <font>
      <sz val="10"/>
      <name val="Arial"/>
      <family val="2"/>
    </font>
    <font>
      <sz val="10"/>
      <color indexed="81"/>
      <name val="Bookman Old Style"/>
      <family val="1"/>
    </font>
    <font>
      <b/>
      <sz val="12"/>
      <color indexed="81"/>
      <name val="Bookman Old Style"/>
      <family val="1"/>
    </font>
    <font>
      <strike/>
      <sz val="10"/>
      <color indexed="81"/>
      <name val="Tahoma"/>
      <family val="2"/>
    </font>
    <font>
      <vertAlign val="superscript"/>
      <sz val="11"/>
      <name val="Arial"/>
      <family val="2"/>
    </font>
    <font>
      <vertAlign val="subscript"/>
      <sz val="15"/>
      <name val="Arial"/>
      <family val="2"/>
    </font>
    <font>
      <b/>
      <sz val="16"/>
      <name val="Arial"/>
      <family val="2"/>
    </font>
    <font>
      <b/>
      <sz val="18"/>
      <name val="Arial"/>
      <family val="2"/>
    </font>
    <font>
      <b/>
      <vertAlign val="subscript"/>
      <sz val="14"/>
      <name val="Arial"/>
      <family val="2"/>
    </font>
    <font>
      <vertAlign val="subscript"/>
      <sz val="14"/>
      <color indexed="81"/>
      <name val="Tahoma"/>
      <family val="2"/>
    </font>
    <font>
      <i/>
      <sz val="10"/>
      <name val="Arial"/>
      <family val="2"/>
    </font>
    <font>
      <b/>
      <vertAlign val="subscript"/>
      <sz val="12"/>
      <color indexed="81"/>
      <name val="Tahoma"/>
      <family val="2"/>
    </font>
    <font>
      <sz val="12"/>
      <color rgb="FFC00000"/>
      <name val="Arial"/>
      <family val="2"/>
    </font>
    <font>
      <b/>
      <sz val="10"/>
      <color rgb="FFFF0000"/>
      <name val="Arial"/>
      <family val="2"/>
    </font>
    <font>
      <sz val="10"/>
      <color rgb="FFFF0000"/>
      <name val="Arial"/>
      <family val="2"/>
    </font>
    <font>
      <b/>
      <sz val="9"/>
      <color indexed="81"/>
      <name val="Tahoma"/>
      <family val="2"/>
    </font>
    <font>
      <sz val="9"/>
      <color indexed="81"/>
      <name val="Tahoma"/>
      <family val="2"/>
    </font>
    <font>
      <sz val="10"/>
      <color rgb="FF09007E"/>
      <name val="Arial"/>
      <family val="2"/>
    </font>
    <font>
      <b/>
      <sz val="11"/>
      <color rgb="FF09007E"/>
      <name val="Arial"/>
      <family val="2"/>
    </font>
    <font>
      <sz val="11"/>
      <color rgb="FF09007E"/>
      <name val="Arial"/>
      <family val="2"/>
    </font>
    <font>
      <b/>
      <sz val="10"/>
      <color rgb="FF09007E"/>
      <name val="Arial"/>
      <family val="2"/>
    </font>
    <font>
      <vertAlign val="subscript"/>
      <sz val="12"/>
      <color rgb="FF09007E"/>
      <name val="Arial"/>
      <family val="2"/>
    </font>
    <font>
      <sz val="10"/>
      <color rgb="FF09007E"/>
      <name val="Bookman Old Style"/>
      <family val="1"/>
    </font>
    <font>
      <sz val="10"/>
      <color rgb="FF09007E"/>
      <name val="Symbol"/>
      <family val="1"/>
      <charset val="2"/>
    </font>
    <font>
      <sz val="8"/>
      <color rgb="FF000000"/>
      <name val="Tahoma"/>
      <family val="2"/>
    </font>
    <font>
      <b/>
      <sz val="10"/>
      <color theme="9" tint="-0.499984740745262"/>
      <name val="Arial"/>
      <family val="2"/>
    </font>
    <font>
      <b/>
      <sz val="1"/>
      <color rgb="FF003399"/>
      <name val="Arial"/>
      <family val="2"/>
    </font>
    <font>
      <sz val="9"/>
      <name val="Arial"/>
      <family val="2"/>
    </font>
    <font>
      <sz val="10"/>
      <color rgb="FFE5F5FF"/>
      <name val="Arial"/>
      <family val="2"/>
    </font>
    <font>
      <sz val="10"/>
      <color rgb="FFCCECFF"/>
      <name val="Arial"/>
      <family val="2"/>
    </font>
    <font>
      <sz val="1"/>
      <color theme="0" tint="-0.249977111117893"/>
      <name val="Arial"/>
      <family val="2"/>
    </font>
    <font>
      <sz val="10"/>
      <color theme="9" tint="-0.499984740745262"/>
      <name val="Arial"/>
      <family val="2"/>
    </font>
    <font>
      <sz val="4"/>
      <color theme="9" tint="-0.499984740745262"/>
      <name val="Arial"/>
      <family val="2"/>
    </font>
    <font>
      <b/>
      <sz val="9"/>
      <color rgb="FF09007E"/>
      <name val="Arial"/>
      <family val="2"/>
    </font>
    <font>
      <vertAlign val="subscript"/>
      <sz val="10"/>
      <color theme="9" tint="-0.499984740745262"/>
      <name val="Arial"/>
      <family val="2"/>
    </font>
    <font>
      <sz val="10"/>
      <color theme="9" tint="-0.499984740745262"/>
      <name val="Symbol"/>
      <family val="1"/>
      <charset val="2"/>
    </font>
    <font>
      <vertAlign val="subscript"/>
      <sz val="12"/>
      <color theme="9" tint="-0.499984740745262"/>
      <name val="Arial"/>
      <family val="2"/>
    </font>
    <font>
      <sz val="11"/>
      <color theme="9" tint="-0.499984740745262"/>
      <name val="Arial"/>
      <family val="2"/>
    </font>
    <font>
      <sz val="10"/>
      <color theme="2"/>
      <name val="Arial"/>
      <family val="2"/>
    </font>
    <font>
      <sz val="10"/>
      <color theme="3"/>
      <name val="Arial"/>
      <family val="2"/>
    </font>
    <font>
      <sz val="11"/>
      <color theme="3"/>
      <name val="Arial"/>
      <family val="2"/>
    </font>
    <font>
      <vertAlign val="subscript"/>
      <sz val="11"/>
      <color theme="3"/>
      <name val="Arial"/>
      <family val="2"/>
    </font>
    <font>
      <sz val="10"/>
      <color theme="3"/>
      <name val="Symbol"/>
      <family val="1"/>
      <charset val="2"/>
    </font>
    <font>
      <vertAlign val="subscript"/>
      <sz val="12"/>
      <color theme="3"/>
      <name val="Arial"/>
      <family val="2"/>
    </font>
    <font>
      <b/>
      <sz val="10"/>
      <color theme="3"/>
      <name val="Arial"/>
      <family val="2"/>
    </font>
    <font>
      <b/>
      <sz val="11"/>
      <color theme="3"/>
      <name val="Arial"/>
      <family val="2"/>
    </font>
    <font>
      <b/>
      <sz val="11"/>
      <color theme="9" tint="-0.499984740745262"/>
      <name val="Arial"/>
      <family val="2"/>
    </font>
    <font>
      <vertAlign val="subscript"/>
      <sz val="10"/>
      <color theme="3"/>
      <name val="Arial"/>
      <family val="2"/>
    </font>
    <font>
      <b/>
      <sz val="10"/>
      <color theme="3"/>
      <name val="Symbol"/>
      <family val="1"/>
      <charset val="2"/>
    </font>
    <font>
      <b/>
      <vertAlign val="subscript"/>
      <sz val="12"/>
      <color theme="3"/>
      <name val="Arial"/>
      <family val="2"/>
    </font>
    <font>
      <sz val="9"/>
      <color rgb="FF09007E"/>
      <name val="Arial"/>
      <family val="2"/>
    </font>
    <font>
      <b/>
      <sz val="11"/>
      <color rgb="FFFFFFCC"/>
      <name val="Arial"/>
      <family val="2"/>
    </font>
    <font>
      <vertAlign val="subscript"/>
      <sz val="11"/>
      <color indexed="81"/>
      <name val="Tahoma"/>
      <family val="2"/>
    </font>
    <font>
      <sz val="11"/>
      <color indexed="56"/>
      <name val="Arial"/>
      <family val="2"/>
    </font>
    <font>
      <sz val="10"/>
      <color indexed="56"/>
      <name val="Arial"/>
      <family val="2"/>
    </font>
    <font>
      <sz val="10"/>
      <color theme="0" tint="-0.249977111117893"/>
      <name val="Arial"/>
      <family val="2"/>
    </font>
    <font>
      <sz val="10"/>
      <color theme="0" tint="-0.34998626667073579"/>
      <name val="Arial"/>
      <family val="2"/>
    </font>
    <font>
      <sz val="10"/>
      <color theme="0" tint="-0.499984740745262"/>
      <name val="Arial"/>
      <family val="2"/>
    </font>
    <font>
      <vertAlign val="superscript"/>
      <sz val="11"/>
      <color indexed="81"/>
      <name val="Tahoma"/>
      <family val="2"/>
    </font>
    <font>
      <sz val="12"/>
      <name val="Book Antiqua"/>
      <family val="1"/>
    </font>
    <font>
      <b/>
      <vertAlign val="subscript"/>
      <sz val="10"/>
      <name val="Arial"/>
      <family val="2"/>
    </font>
    <font>
      <b/>
      <u/>
      <sz val="10"/>
      <color indexed="81"/>
      <name val="Tahoma"/>
      <family val="2"/>
    </font>
    <font>
      <sz val="10"/>
      <color indexed="81"/>
      <name val="Calibri"/>
      <family val="2"/>
    </font>
    <font>
      <b/>
      <sz val="12"/>
      <color indexed="43"/>
      <name val="Symbol"/>
      <family val="1"/>
      <charset val="2"/>
    </font>
    <font>
      <sz val="10"/>
      <name val="Calibri"/>
      <family val="2"/>
    </font>
    <font>
      <sz val="11"/>
      <color rgb="FFFF0000"/>
      <name val="Arial"/>
      <family val="2"/>
    </font>
    <font>
      <b/>
      <u/>
      <sz val="12"/>
      <name val="Arial"/>
      <family val="2"/>
    </font>
    <font>
      <b/>
      <u/>
      <sz val="11"/>
      <name val="Arial"/>
      <family val="2"/>
    </font>
    <font>
      <u/>
      <sz val="12"/>
      <color indexed="81"/>
      <name val="Tahoma"/>
      <family val="2"/>
    </font>
    <font>
      <sz val="12"/>
      <color indexed="81"/>
      <name val="Bookman Old Style"/>
      <family val="1"/>
    </font>
    <font>
      <u/>
      <sz val="11"/>
      <name val="Arial"/>
      <family val="2"/>
    </font>
  </fonts>
  <fills count="42">
    <fill>
      <patternFill patternType="none"/>
    </fill>
    <fill>
      <patternFill patternType="gray125"/>
    </fill>
    <fill>
      <patternFill patternType="solid">
        <fgColor indexed="41"/>
        <bgColor indexed="64"/>
      </patternFill>
    </fill>
    <fill>
      <patternFill patternType="solid">
        <fgColor indexed="47"/>
        <bgColor indexed="64"/>
      </patternFill>
    </fill>
    <fill>
      <patternFill patternType="solid">
        <fgColor indexed="9"/>
        <bgColor indexed="64"/>
      </patternFill>
    </fill>
    <fill>
      <patternFill patternType="solid">
        <fgColor indexed="26"/>
        <bgColor indexed="64"/>
      </patternFill>
    </fill>
    <fill>
      <patternFill patternType="solid">
        <fgColor indexed="44"/>
        <bgColor indexed="64"/>
      </patternFill>
    </fill>
    <fill>
      <patternFill patternType="solid">
        <fgColor indexed="27"/>
        <bgColor indexed="64"/>
      </patternFill>
    </fill>
    <fill>
      <patternFill patternType="solid">
        <fgColor indexed="32"/>
        <bgColor indexed="64"/>
      </patternFill>
    </fill>
    <fill>
      <patternFill patternType="solid">
        <fgColor indexed="12"/>
        <bgColor indexed="64"/>
      </patternFill>
    </fill>
    <fill>
      <patternFill patternType="solid">
        <fgColor indexed="27"/>
        <bgColor indexed="27"/>
      </patternFill>
    </fill>
    <fill>
      <patternFill patternType="solid">
        <fgColor rgb="FFFF0000"/>
        <bgColor indexed="64"/>
      </patternFill>
    </fill>
    <fill>
      <patternFill patternType="solid">
        <fgColor theme="1"/>
        <bgColor indexed="64"/>
      </patternFill>
    </fill>
    <fill>
      <patternFill patternType="solid">
        <fgColor rgb="FF008000"/>
        <bgColor indexed="64"/>
      </patternFill>
    </fill>
    <fill>
      <patternFill patternType="solid">
        <fgColor rgb="FF800000"/>
        <bgColor indexed="64"/>
      </patternFill>
    </fill>
    <fill>
      <patternFill patternType="solid">
        <fgColor rgb="FF0000FF"/>
        <bgColor indexed="64"/>
      </patternFill>
    </fill>
    <fill>
      <patternFill patternType="solid">
        <fgColor rgb="FFFF00FF"/>
        <bgColor indexed="64"/>
      </patternFill>
    </fill>
    <fill>
      <patternFill patternType="solid">
        <fgColor rgb="FF008080"/>
        <bgColor indexed="64"/>
      </patternFill>
    </fill>
    <fill>
      <patternFill patternType="solid">
        <fgColor theme="0"/>
        <bgColor indexed="64"/>
      </patternFill>
    </fill>
    <fill>
      <patternFill patternType="solid">
        <fgColor rgb="FFF9FCDE"/>
        <bgColor indexed="64"/>
      </patternFill>
    </fill>
    <fill>
      <gradientFill degree="180">
        <stop position="0">
          <color theme="0"/>
        </stop>
        <stop position="1">
          <color theme="2" tint="-9.8025452436902985E-2"/>
        </stop>
      </gradientFill>
    </fill>
    <fill>
      <gradientFill type="path" left="0.5" right="0.5" top="0.5" bottom="0.5">
        <stop position="0">
          <color theme="0"/>
        </stop>
        <stop position="1">
          <color theme="2" tint="-0.25098422193060094"/>
        </stop>
      </gradientFill>
    </fill>
    <fill>
      <gradientFill type="path" left="1" right="1" top="1" bottom="1">
        <stop position="0">
          <color theme="0"/>
        </stop>
        <stop position="1">
          <color theme="2" tint="-9.8025452436902985E-2"/>
        </stop>
      </gradientFill>
    </fill>
    <fill>
      <gradientFill degree="270">
        <stop position="0">
          <color theme="0"/>
        </stop>
        <stop position="1">
          <color theme="2" tint="-9.8025452436902985E-2"/>
        </stop>
      </gradientFill>
    </fill>
    <fill>
      <gradientFill type="path" top="1" bottom="1">
        <stop position="0">
          <color theme="0"/>
        </stop>
        <stop position="1">
          <color theme="2" tint="-9.8025452436902985E-2"/>
        </stop>
      </gradientFill>
    </fill>
    <fill>
      <gradientFill>
        <stop position="0">
          <color theme="0"/>
        </stop>
        <stop position="1">
          <color theme="2" tint="-9.8025452436902985E-2"/>
        </stop>
      </gradientFill>
    </fill>
    <fill>
      <gradientFill type="path" left="1" right="1">
        <stop position="0">
          <color theme="0"/>
        </stop>
        <stop position="1">
          <color theme="2" tint="-9.8025452436902985E-2"/>
        </stop>
      </gradientFill>
    </fill>
    <fill>
      <gradientFill degree="90">
        <stop position="0">
          <color theme="0"/>
        </stop>
        <stop position="1">
          <color theme="2" tint="-9.8025452436902985E-2"/>
        </stop>
      </gradientFill>
    </fill>
    <fill>
      <gradientFill type="path">
        <stop position="0">
          <color theme="0"/>
        </stop>
        <stop position="1">
          <color theme="2" tint="-9.8025452436902985E-2"/>
        </stop>
      </gradientFill>
    </fill>
    <fill>
      <gradientFill degree="180">
        <stop position="0">
          <color theme="0"/>
        </stop>
        <stop position="1">
          <color theme="0" tint="-0.1490218817712943"/>
        </stop>
      </gradientFill>
    </fill>
    <fill>
      <gradientFill>
        <stop position="0">
          <color theme="0"/>
        </stop>
        <stop position="1">
          <color theme="0" tint="-0.1490218817712943"/>
        </stop>
      </gradientFill>
    </fill>
    <fill>
      <gradientFill degree="180">
        <stop position="0">
          <color theme="0"/>
        </stop>
        <stop position="1">
          <color theme="0" tint="-0.25098422193060094"/>
        </stop>
      </gradientFill>
    </fill>
    <fill>
      <gradientFill>
        <stop position="0">
          <color theme="0"/>
        </stop>
        <stop position="1">
          <color theme="0" tint="-0.25098422193060094"/>
        </stop>
      </gradientFill>
    </fill>
    <fill>
      <gradientFill degree="90">
        <stop position="0">
          <color theme="0"/>
        </stop>
        <stop position="0.5">
          <color theme="2" tint="-9.8025452436902985E-2"/>
        </stop>
        <stop position="1">
          <color theme="0"/>
        </stop>
      </gradientFill>
    </fill>
    <fill>
      <patternFill patternType="solid">
        <fgColor rgb="FFFF3F3F"/>
        <bgColor indexed="64"/>
      </patternFill>
    </fill>
    <fill>
      <patternFill patternType="solid">
        <fgColor rgb="FFFFBD4E"/>
        <bgColor indexed="64"/>
      </patternFill>
    </fill>
    <fill>
      <patternFill patternType="solid">
        <fgColor rgb="FFFFFF00"/>
        <bgColor indexed="64"/>
      </patternFill>
    </fill>
    <fill>
      <patternFill patternType="solid">
        <fgColor rgb="FF35CC00"/>
        <bgColor indexed="64"/>
      </patternFill>
    </fill>
    <fill>
      <patternFill patternType="solid">
        <fgColor rgb="FF3399FF"/>
        <bgColor indexed="64"/>
      </patternFill>
    </fill>
    <fill>
      <patternFill patternType="solid">
        <fgColor rgb="FFFCC2F9"/>
        <bgColor indexed="64"/>
      </patternFill>
    </fill>
    <fill>
      <patternFill patternType="solid">
        <fgColor rgb="FFFA8AF4"/>
        <bgColor indexed="64"/>
      </patternFill>
    </fill>
    <fill>
      <patternFill patternType="solid">
        <fgColor rgb="FFF1F4F5"/>
        <bgColor indexed="64"/>
      </patternFill>
    </fill>
  </fills>
  <borders count="321">
    <border>
      <left/>
      <right/>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ck">
        <color indexed="62"/>
      </top>
      <bottom/>
      <diagonal/>
    </border>
    <border>
      <left style="thick">
        <color indexed="62"/>
      </left>
      <right/>
      <top/>
      <bottom/>
      <diagonal/>
    </border>
    <border>
      <left/>
      <right style="thick">
        <color indexed="62"/>
      </right>
      <top/>
      <bottom/>
      <diagonal/>
    </border>
    <border>
      <left style="thick">
        <color indexed="62"/>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thick">
        <color indexed="62"/>
      </left>
      <right style="hair">
        <color indexed="64"/>
      </right>
      <top style="thin">
        <color indexed="64"/>
      </top>
      <bottom style="hair">
        <color indexed="64"/>
      </bottom>
      <diagonal/>
    </border>
    <border>
      <left style="thick">
        <color indexed="62"/>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right style="thin">
        <color indexed="64"/>
      </right>
      <top/>
      <bottom/>
      <diagonal/>
    </border>
    <border>
      <left/>
      <right style="hair">
        <color indexed="64"/>
      </right>
      <top style="hair">
        <color indexed="64"/>
      </top>
      <bottom style="thin">
        <color indexed="64"/>
      </bottom>
      <diagonal/>
    </border>
    <border>
      <left style="hair">
        <color indexed="64"/>
      </left>
      <right style="thick">
        <color indexed="62"/>
      </right>
      <top style="hair">
        <color indexed="64"/>
      </top>
      <bottom/>
      <diagonal/>
    </border>
    <border>
      <left/>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ck">
        <color indexed="62"/>
      </right>
      <top/>
      <bottom/>
      <diagonal/>
    </border>
    <border>
      <left style="thick">
        <color indexed="62"/>
      </left>
      <right style="hair">
        <color indexed="64"/>
      </right>
      <top style="thin">
        <color indexed="64"/>
      </top>
      <bottom/>
      <diagonal/>
    </border>
    <border>
      <left/>
      <right/>
      <top style="hair">
        <color indexed="64"/>
      </top>
      <bottom/>
      <diagonal/>
    </border>
    <border>
      <left/>
      <right/>
      <top style="hair">
        <color indexed="64"/>
      </top>
      <bottom style="thick">
        <color indexed="62"/>
      </bottom>
      <diagonal/>
    </border>
    <border>
      <left/>
      <right/>
      <top/>
      <bottom style="thick">
        <color indexed="62"/>
      </bottom>
      <diagonal/>
    </border>
    <border>
      <left style="hair">
        <color indexed="64"/>
      </left>
      <right style="thick">
        <color indexed="62"/>
      </right>
      <top style="thin">
        <color indexed="64"/>
      </top>
      <bottom/>
      <diagonal/>
    </border>
    <border>
      <left style="thick">
        <color indexed="62"/>
      </left>
      <right/>
      <top style="thick">
        <color indexed="62"/>
      </top>
      <bottom style="thin">
        <color indexed="64"/>
      </bottom>
      <diagonal/>
    </border>
    <border>
      <left/>
      <right/>
      <top style="thin">
        <color indexed="64"/>
      </top>
      <bottom style="thin">
        <color indexed="64"/>
      </bottom>
      <diagonal/>
    </border>
    <border>
      <left style="thick">
        <color indexed="62"/>
      </left>
      <right style="hair">
        <color indexed="64"/>
      </right>
      <top style="hair">
        <color indexed="64"/>
      </top>
      <bottom style="thick">
        <color indexed="62"/>
      </bottom>
      <diagonal/>
    </border>
    <border>
      <left style="hair">
        <color indexed="64"/>
      </left>
      <right style="thick">
        <color indexed="62"/>
      </right>
      <top/>
      <bottom style="thick">
        <color indexed="62"/>
      </bottom>
      <diagonal/>
    </border>
    <border>
      <left style="hair">
        <color indexed="64"/>
      </left>
      <right style="thick">
        <color indexed="62"/>
      </right>
      <top style="hair">
        <color indexed="64"/>
      </top>
      <bottom style="thick">
        <color indexed="62"/>
      </bottom>
      <diagonal/>
    </border>
    <border>
      <left style="thick">
        <color indexed="64"/>
      </left>
      <right/>
      <top/>
      <bottom/>
      <diagonal/>
    </border>
    <border>
      <left/>
      <right/>
      <top style="thick">
        <color indexed="62"/>
      </top>
      <bottom style="thin">
        <color indexed="64"/>
      </bottom>
      <diagonal/>
    </border>
    <border>
      <left/>
      <right/>
      <top style="thick">
        <color indexed="62"/>
      </top>
      <bottom/>
      <diagonal/>
    </border>
    <border>
      <left/>
      <right style="thick">
        <color indexed="62"/>
      </right>
      <top style="thick">
        <color indexed="62"/>
      </top>
      <bottom style="thin">
        <color indexed="64"/>
      </bottom>
      <diagonal/>
    </border>
    <border>
      <left style="hair">
        <color indexed="64"/>
      </left>
      <right/>
      <top style="hair">
        <color indexed="64"/>
      </top>
      <bottom style="thin">
        <color indexed="64"/>
      </bottom>
      <diagonal/>
    </border>
    <border>
      <left/>
      <right style="thin">
        <color indexed="64"/>
      </right>
      <top style="thin">
        <color indexed="64"/>
      </top>
      <bottom style="thick">
        <color indexed="62"/>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hair">
        <color indexed="64"/>
      </left>
      <right/>
      <top style="hair">
        <color indexed="64"/>
      </top>
      <bottom/>
      <diagonal/>
    </border>
    <border>
      <left/>
      <right style="thin">
        <color indexed="64"/>
      </right>
      <top style="hair">
        <color indexed="64"/>
      </top>
      <bottom/>
      <diagonal/>
    </border>
    <border>
      <left style="thin">
        <color indexed="64"/>
      </left>
      <right style="hair">
        <color indexed="64"/>
      </right>
      <top style="thin">
        <color indexed="64"/>
      </top>
      <bottom style="hair">
        <color indexed="64"/>
      </bottom>
      <diagonal/>
    </border>
    <border>
      <left style="hair">
        <color indexed="64"/>
      </left>
      <right style="thick">
        <color indexed="62"/>
      </right>
      <top style="thin">
        <color indexed="64"/>
      </top>
      <bottom style="hair">
        <color indexed="64"/>
      </bottom>
      <diagonal/>
    </border>
    <border>
      <left style="hair">
        <color indexed="64"/>
      </left>
      <right/>
      <top/>
      <bottom/>
      <diagonal/>
    </border>
    <border>
      <left/>
      <right/>
      <top style="hair">
        <color indexed="64"/>
      </top>
      <bottom style="hair">
        <color indexed="64"/>
      </bottom>
      <diagonal/>
    </border>
    <border>
      <left style="hair">
        <color indexed="64"/>
      </left>
      <right/>
      <top/>
      <bottom style="thick">
        <color indexed="62"/>
      </bottom>
      <diagonal/>
    </border>
    <border>
      <left style="hair">
        <color indexed="64"/>
      </left>
      <right/>
      <top/>
      <bottom style="hair">
        <color indexed="64"/>
      </bottom>
      <diagonal/>
    </border>
    <border>
      <left style="thick">
        <color indexed="62"/>
      </left>
      <right style="hair">
        <color indexed="64"/>
      </right>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ck">
        <color indexed="62"/>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ck">
        <color indexed="62"/>
      </left>
      <right/>
      <top style="thick">
        <color indexed="62"/>
      </top>
      <bottom/>
      <diagonal/>
    </border>
    <border>
      <left style="hair">
        <color indexed="64"/>
      </left>
      <right style="thin">
        <color indexed="64"/>
      </right>
      <top style="hair">
        <color indexed="64"/>
      </top>
      <bottom style="thin">
        <color indexed="64"/>
      </bottom>
      <diagonal/>
    </border>
    <border>
      <left/>
      <right style="thick">
        <color indexed="62"/>
      </right>
      <top/>
      <bottom style="thin">
        <color indexed="64"/>
      </bottom>
      <diagonal/>
    </border>
    <border>
      <left style="thick">
        <color indexed="62"/>
      </left>
      <right/>
      <top/>
      <bottom style="thin">
        <color indexed="64"/>
      </bottom>
      <diagonal/>
    </border>
    <border>
      <left/>
      <right style="thick">
        <color indexed="62"/>
      </right>
      <top style="thin">
        <color indexed="64"/>
      </top>
      <bottom style="thin">
        <color indexed="64"/>
      </bottom>
      <diagonal/>
    </border>
    <border>
      <left style="thick">
        <color indexed="62"/>
      </left>
      <right/>
      <top style="thin">
        <color indexed="64"/>
      </top>
      <bottom style="thick">
        <color indexed="62"/>
      </bottom>
      <diagonal/>
    </border>
    <border>
      <left style="thick">
        <color indexed="62"/>
      </left>
      <right style="hair">
        <color indexed="64"/>
      </right>
      <top style="thin">
        <color indexed="64"/>
      </top>
      <bottom style="thick">
        <color indexed="62"/>
      </bottom>
      <diagonal/>
    </border>
    <border>
      <left style="thin">
        <color indexed="64"/>
      </left>
      <right/>
      <top style="thin">
        <color indexed="64"/>
      </top>
      <bottom style="thin">
        <color indexed="64"/>
      </bottom>
      <diagonal/>
    </border>
    <border>
      <left style="thin">
        <color indexed="64"/>
      </left>
      <right/>
      <top style="hair">
        <color indexed="64"/>
      </top>
      <bottom/>
      <diagonal/>
    </border>
    <border>
      <left style="hair">
        <color indexed="64"/>
      </left>
      <right style="hair">
        <color indexed="64"/>
      </right>
      <top style="thin">
        <color indexed="64"/>
      </top>
      <bottom style="thin">
        <color indexed="64"/>
      </bottom>
      <diagonal/>
    </border>
    <border>
      <left style="thick">
        <color indexed="62"/>
      </left>
      <right/>
      <top style="hair">
        <color indexed="64"/>
      </top>
      <bottom style="thick">
        <color indexed="62"/>
      </bottom>
      <diagonal/>
    </border>
    <border>
      <left/>
      <right style="hair">
        <color indexed="64"/>
      </right>
      <top style="hair">
        <color indexed="64"/>
      </top>
      <bottom style="thick">
        <color indexed="62"/>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thick">
        <color indexed="62"/>
      </right>
      <top/>
      <bottom style="thick">
        <color indexed="62"/>
      </bottom>
      <diagonal/>
    </border>
    <border>
      <left style="hair">
        <color indexed="64"/>
      </left>
      <right/>
      <top style="hair">
        <color indexed="64"/>
      </top>
      <bottom style="hair">
        <color indexed="64"/>
      </bottom>
      <diagonal/>
    </border>
    <border>
      <left style="thin">
        <color indexed="64"/>
      </left>
      <right style="thick">
        <color indexed="62"/>
      </right>
      <top style="thin">
        <color indexed="64"/>
      </top>
      <bottom style="thick">
        <color indexed="62"/>
      </bottom>
      <diagonal/>
    </border>
    <border>
      <left/>
      <right style="thick">
        <color indexed="32"/>
      </right>
      <top/>
      <bottom/>
      <diagonal/>
    </border>
    <border>
      <left style="thick">
        <color indexed="32"/>
      </left>
      <right/>
      <top/>
      <bottom/>
      <diagonal/>
    </border>
    <border>
      <left style="thick">
        <color indexed="32"/>
      </left>
      <right/>
      <top/>
      <bottom style="thick">
        <color indexed="32"/>
      </bottom>
      <diagonal/>
    </border>
    <border>
      <left/>
      <right/>
      <top/>
      <bottom style="thick">
        <color indexed="32"/>
      </bottom>
      <diagonal/>
    </border>
    <border>
      <left/>
      <right style="thick">
        <color indexed="32"/>
      </right>
      <top/>
      <bottom style="thick">
        <color indexed="32"/>
      </bottom>
      <diagonal/>
    </border>
    <border>
      <left style="hair">
        <color indexed="64"/>
      </left>
      <right style="thin">
        <color indexed="62"/>
      </right>
      <top/>
      <bottom style="thick">
        <color indexed="62"/>
      </bottom>
      <diagonal/>
    </border>
    <border>
      <left style="thin">
        <color indexed="62"/>
      </left>
      <right style="hair">
        <color indexed="64"/>
      </right>
      <top style="hair">
        <color indexed="64"/>
      </top>
      <bottom style="thick">
        <color indexed="62"/>
      </bottom>
      <diagonal/>
    </border>
    <border>
      <left style="thick">
        <color indexed="32"/>
      </left>
      <right style="hair">
        <color indexed="64"/>
      </right>
      <top style="thin">
        <color indexed="64"/>
      </top>
      <bottom style="hair">
        <color indexed="64"/>
      </bottom>
      <diagonal/>
    </border>
    <border>
      <left style="thick">
        <color indexed="32"/>
      </left>
      <right style="hair">
        <color indexed="64"/>
      </right>
      <top style="hair">
        <color indexed="64"/>
      </top>
      <bottom style="hair">
        <color indexed="64"/>
      </bottom>
      <diagonal/>
    </border>
    <border>
      <left style="thick">
        <color indexed="32"/>
      </left>
      <right style="hair">
        <color indexed="64"/>
      </right>
      <top style="hair">
        <color indexed="64"/>
      </top>
      <bottom/>
      <diagonal/>
    </border>
    <border>
      <left style="thick">
        <color indexed="32"/>
      </left>
      <right style="hair">
        <color indexed="64"/>
      </right>
      <top style="thick">
        <color indexed="62"/>
      </top>
      <bottom style="thin">
        <color indexed="64"/>
      </bottom>
      <diagonal/>
    </border>
    <border>
      <left style="thick">
        <color indexed="32"/>
      </left>
      <right style="hair">
        <color indexed="64"/>
      </right>
      <top style="hair">
        <color indexed="64"/>
      </top>
      <bottom style="thick">
        <color indexed="62"/>
      </bottom>
      <diagonal/>
    </border>
    <border>
      <left style="hair">
        <color indexed="64"/>
      </left>
      <right style="thin">
        <color indexed="62"/>
      </right>
      <top style="hair">
        <color indexed="62"/>
      </top>
      <bottom/>
      <diagonal/>
    </border>
    <border>
      <left style="thick">
        <color indexed="62"/>
      </left>
      <right style="hair">
        <color indexed="64"/>
      </right>
      <top style="hair">
        <color indexed="64"/>
      </top>
      <bottom/>
      <diagonal/>
    </border>
    <border>
      <left style="hair">
        <color indexed="64"/>
      </left>
      <right style="thick">
        <color indexed="62"/>
      </right>
      <top style="thin">
        <color indexed="64"/>
      </top>
      <bottom style="thin">
        <color indexed="64"/>
      </bottom>
      <diagonal/>
    </border>
    <border>
      <left style="thick">
        <color indexed="62"/>
      </left>
      <right/>
      <top style="thin">
        <color indexed="64"/>
      </top>
      <bottom style="thin">
        <color indexed="64"/>
      </bottom>
      <diagonal/>
    </border>
    <border>
      <left style="thin">
        <color indexed="8"/>
      </left>
      <right/>
      <top/>
      <bottom style="thin">
        <color indexed="64"/>
      </bottom>
      <diagonal/>
    </border>
    <border>
      <left style="thick">
        <color indexed="62"/>
      </left>
      <right/>
      <top/>
      <bottom style="thick">
        <color indexed="62"/>
      </bottom>
      <diagonal/>
    </border>
    <border>
      <left style="thin">
        <color indexed="64"/>
      </left>
      <right style="hair">
        <color indexed="64"/>
      </right>
      <top style="hair">
        <color indexed="64"/>
      </top>
      <bottom style="hair">
        <color indexed="64"/>
      </bottom>
      <diagonal/>
    </border>
    <border>
      <left style="hair">
        <color indexed="64"/>
      </left>
      <right/>
      <top style="thin">
        <color indexed="64"/>
      </top>
      <bottom style="hair">
        <color indexed="64"/>
      </bottom>
      <diagonal/>
    </border>
    <border>
      <left/>
      <right style="thick">
        <color indexed="62"/>
      </right>
      <top style="hair">
        <color indexed="64"/>
      </top>
      <bottom/>
      <diagonal/>
    </border>
    <border>
      <left/>
      <right style="hair">
        <color indexed="64"/>
      </right>
      <top style="hair">
        <color indexed="64"/>
      </top>
      <bottom/>
      <diagonal/>
    </border>
    <border>
      <left style="thin">
        <color indexed="64"/>
      </left>
      <right style="thin">
        <color indexed="64"/>
      </right>
      <top style="thin">
        <color indexed="64"/>
      </top>
      <bottom style="thin">
        <color indexed="64"/>
      </bottom>
      <diagonal/>
    </border>
    <border>
      <left style="hair">
        <color indexed="62"/>
      </left>
      <right/>
      <top/>
      <bottom/>
      <diagonal/>
    </border>
    <border>
      <left style="hair">
        <color indexed="62"/>
      </left>
      <right style="thin">
        <color indexed="64"/>
      </right>
      <top/>
      <bottom/>
      <diagonal/>
    </border>
    <border>
      <left style="thin">
        <color indexed="64"/>
      </left>
      <right style="hair">
        <color indexed="64"/>
      </right>
      <top style="hair">
        <color indexed="64"/>
      </top>
      <bottom/>
      <diagonal/>
    </border>
    <border>
      <left style="thin">
        <color indexed="64"/>
      </left>
      <right style="hair">
        <color indexed="64"/>
      </right>
      <top/>
      <bottom style="hair">
        <color indexed="64"/>
      </bottom>
      <diagonal/>
    </border>
    <border>
      <left style="thin">
        <color indexed="64"/>
      </left>
      <right style="thick">
        <color indexed="62"/>
      </right>
      <top/>
      <bottom/>
      <diagonal/>
    </border>
    <border>
      <left/>
      <right style="thin">
        <color indexed="64"/>
      </right>
      <top/>
      <bottom style="thick">
        <color indexed="62"/>
      </bottom>
      <diagonal/>
    </border>
    <border>
      <left style="thin">
        <color indexed="64"/>
      </left>
      <right/>
      <top/>
      <bottom/>
      <diagonal/>
    </border>
    <border>
      <left style="hair">
        <color indexed="64"/>
      </left>
      <right style="thick">
        <color indexed="62"/>
      </right>
      <top/>
      <bottom style="hair">
        <color indexed="64"/>
      </bottom>
      <diagonal/>
    </border>
    <border>
      <left/>
      <right style="thick">
        <color indexed="62"/>
      </right>
      <top style="thick">
        <color indexed="62"/>
      </top>
      <bottom/>
      <diagonal/>
    </border>
    <border>
      <left style="thick">
        <color indexed="62"/>
      </left>
      <right/>
      <top style="hair">
        <color indexed="64"/>
      </top>
      <bottom style="hair">
        <color indexed="64"/>
      </bottom>
      <diagonal/>
    </border>
    <border>
      <left style="medium">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style="thick">
        <color indexed="62"/>
      </bottom>
      <diagonal/>
    </border>
    <border>
      <left style="thick">
        <color indexed="62"/>
      </left>
      <right/>
      <top/>
      <bottom style="hair">
        <color indexed="64"/>
      </bottom>
      <diagonal/>
    </border>
    <border>
      <left/>
      <right style="hair">
        <color indexed="64"/>
      </right>
      <top/>
      <bottom style="hair">
        <color indexed="64"/>
      </bottom>
      <diagonal/>
    </border>
    <border>
      <left style="thin">
        <color indexed="62"/>
      </left>
      <right style="hair">
        <color indexed="64"/>
      </right>
      <top/>
      <bottom style="hair">
        <color indexed="64"/>
      </bottom>
      <diagonal/>
    </border>
    <border>
      <left style="thick">
        <color indexed="62"/>
      </left>
      <right/>
      <top/>
      <bottom style="thin">
        <color indexed="62"/>
      </bottom>
      <diagonal/>
    </border>
    <border>
      <left/>
      <right/>
      <top/>
      <bottom style="thin">
        <color indexed="62"/>
      </bottom>
      <diagonal/>
    </border>
    <border>
      <left/>
      <right style="thin">
        <color indexed="62"/>
      </right>
      <top/>
      <bottom style="thin">
        <color indexed="62"/>
      </bottom>
      <diagonal/>
    </border>
    <border>
      <left style="thin">
        <color indexed="62"/>
      </left>
      <right/>
      <top/>
      <bottom style="thin">
        <color indexed="62"/>
      </bottom>
      <diagonal/>
    </border>
    <border>
      <left style="thin">
        <color indexed="8"/>
      </left>
      <right/>
      <top/>
      <bottom/>
      <diagonal/>
    </border>
    <border>
      <left/>
      <right style="thick">
        <color indexed="62"/>
      </right>
      <top style="thin">
        <color indexed="64"/>
      </top>
      <bottom style="thick">
        <color indexed="62"/>
      </bottom>
      <diagonal/>
    </border>
    <border>
      <left/>
      <right/>
      <top/>
      <bottom style="hair">
        <color indexed="64"/>
      </bottom>
      <diagonal/>
    </border>
    <border>
      <left style="hair">
        <color indexed="64"/>
      </left>
      <right/>
      <top style="thick">
        <color indexed="62"/>
      </top>
      <bottom/>
      <diagonal/>
    </border>
    <border>
      <left style="thin">
        <color indexed="64"/>
      </left>
      <right style="thick">
        <color indexed="62"/>
      </right>
      <top/>
      <bottom style="hair">
        <color indexed="64"/>
      </bottom>
      <diagonal/>
    </border>
    <border>
      <left style="thin">
        <color indexed="64"/>
      </left>
      <right style="thick">
        <color indexed="62"/>
      </right>
      <top style="thick">
        <color indexed="62"/>
      </top>
      <bottom/>
      <diagonal/>
    </border>
    <border>
      <left/>
      <right style="thick">
        <color indexed="62"/>
      </right>
      <top style="thin">
        <color indexed="64"/>
      </top>
      <bottom/>
      <diagonal/>
    </border>
    <border>
      <left style="thick">
        <color indexed="62"/>
      </left>
      <right/>
      <top style="thick">
        <color indexed="62"/>
      </top>
      <bottom style="hair">
        <color indexed="64"/>
      </bottom>
      <diagonal/>
    </border>
    <border>
      <left style="thick">
        <color indexed="62"/>
      </left>
      <right style="hair">
        <color indexed="62"/>
      </right>
      <top/>
      <bottom style="thick">
        <color indexed="62"/>
      </bottom>
      <diagonal/>
    </border>
    <border>
      <left/>
      <right style="thick">
        <color indexed="62"/>
      </right>
      <top/>
      <bottom style="hair">
        <color indexed="64"/>
      </bottom>
      <diagonal/>
    </border>
    <border>
      <left style="thick">
        <color indexed="62"/>
      </left>
      <right style="hair">
        <color indexed="64"/>
      </right>
      <top/>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style="hair">
        <color indexed="64"/>
      </left>
      <right style="hair">
        <color indexed="64"/>
      </right>
      <top/>
      <bottom/>
      <diagonal/>
    </border>
    <border>
      <left style="hair">
        <color indexed="64"/>
      </left>
      <right/>
      <top style="thick">
        <color indexed="62"/>
      </top>
      <bottom style="thin">
        <color indexed="64"/>
      </bottom>
      <diagonal/>
    </border>
    <border>
      <left style="thin">
        <color indexed="64"/>
      </left>
      <right style="thin">
        <color indexed="64"/>
      </right>
      <top style="thick">
        <color indexed="62"/>
      </top>
      <bottom style="thin">
        <color indexed="64"/>
      </bottom>
      <diagonal/>
    </border>
    <border>
      <left style="hair">
        <color indexed="62"/>
      </left>
      <right style="hair">
        <color indexed="64"/>
      </right>
      <top/>
      <bottom style="thick">
        <color indexed="62"/>
      </bottom>
      <diagonal/>
    </border>
    <border>
      <left style="hair">
        <color indexed="62"/>
      </left>
      <right style="hair">
        <color indexed="64"/>
      </right>
      <top style="thick">
        <color indexed="62"/>
      </top>
      <bottom/>
      <diagonal/>
    </border>
    <border>
      <left style="hair">
        <color indexed="64"/>
      </left>
      <right style="thin">
        <color indexed="64"/>
      </right>
      <top/>
      <bottom style="thick">
        <color indexed="62"/>
      </bottom>
      <diagonal/>
    </border>
    <border>
      <left style="thin">
        <color indexed="64"/>
      </left>
      <right/>
      <top style="thick">
        <color indexed="62"/>
      </top>
      <bottom style="thin">
        <color indexed="64"/>
      </bottom>
      <diagonal/>
    </border>
    <border>
      <left style="thick">
        <color indexed="62"/>
      </left>
      <right style="thin">
        <color indexed="64"/>
      </right>
      <top style="thick">
        <color indexed="62"/>
      </top>
      <bottom style="hair">
        <color indexed="64"/>
      </bottom>
      <diagonal/>
    </border>
    <border>
      <left style="thin">
        <color indexed="64"/>
      </left>
      <right style="thick">
        <color indexed="62"/>
      </right>
      <top style="thick">
        <color indexed="62"/>
      </top>
      <bottom style="hair">
        <color indexed="64"/>
      </bottom>
      <diagonal/>
    </border>
    <border>
      <left style="thick">
        <color indexed="62"/>
      </left>
      <right style="thin">
        <color indexed="64"/>
      </right>
      <top style="hair">
        <color indexed="64"/>
      </top>
      <bottom style="thick">
        <color indexed="62"/>
      </bottom>
      <diagonal/>
    </border>
    <border>
      <left/>
      <right style="thin">
        <color indexed="64"/>
      </right>
      <top style="thick">
        <color indexed="62"/>
      </top>
      <bottom/>
      <diagonal/>
    </border>
    <border>
      <left style="thin">
        <color indexed="64"/>
      </left>
      <right/>
      <top/>
      <bottom style="hair">
        <color indexed="64"/>
      </bottom>
      <diagonal/>
    </border>
    <border>
      <left style="dotted">
        <color indexed="9"/>
      </left>
      <right style="hair">
        <color indexed="64"/>
      </right>
      <top style="thin">
        <color indexed="64"/>
      </top>
      <bottom style="thin">
        <color indexed="64"/>
      </bottom>
      <diagonal/>
    </border>
    <border>
      <left style="hair">
        <color indexed="64"/>
      </left>
      <right style="dotted">
        <color indexed="9"/>
      </right>
      <top style="thin">
        <color indexed="64"/>
      </top>
      <bottom style="thin">
        <color indexed="64"/>
      </bottom>
      <diagonal/>
    </border>
    <border>
      <left style="dotted">
        <color indexed="9"/>
      </left>
      <right style="dotted">
        <color indexed="9"/>
      </right>
      <top style="thin">
        <color indexed="64"/>
      </top>
      <bottom style="thin">
        <color indexed="64"/>
      </bottom>
      <diagonal/>
    </border>
    <border>
      <left style="hair">
        <color indexed="64"/>
      </left>
      <right style="hair">
        <color indexed="64"/>
      </right>
      <top/>
      <bottom style="thick">
        <color indexed="62"/>
      </bottom>
      <diagonal/>
    </border>
    <border>
      <left style="thick">
        <color indexed="62"/>
      </left>
      <right style="hair">
        <color indexed="64"/>
      </right>
      <top/>
      <bottom style="thick">
        <color indexed="62"/>
      </bottom>
      <diagonal/>
    </border>
    <border>
      <left/>
      <right style="hair">
        <color indexed="62"/>
      </right>
      <top/>
      <bottom/>
      <diagonal/>
    </border>
    <border>
      <left style="hair">
        <color indexed="64"/>
      </left>
      <right style="thick">
        <color indexed="62"/>
      </right>
      <top style="hair">
        <color indexed="64"/>
      </top>
      <bottom style="hair">
        <color indexed="64"/>
      </bottom>
      <diagonal/>
    </border>
    <border>
      <left style="thick">
        <color indexed="62"/>
      </left>
      <right style="hair">
        <color indexed="64"/>
      </right>
      <top style="hair">
        <color indexed="64"/>
      </top>
      <bottom style="thin">
        <color indexed="64"/>
      </bottom>
      <diagonal/>
    </border>
    <border>
      <left style="thin">
        <color indexed="64"/>
      </left>
      <right style="thick">
        <color indexed="62"/>
      </right>
      <top style="thin">
        <color indexed="64"/>
      </top>
      <bottom style="hair">
        <color indexed="64"/>
      </bottom>
      <diagonal/>
    </border>
    <border>
      <left style="thick">
        <color indexed="62"/>
      </left>
      <right style="hair">
        <color indexed="64"/>
      </right>
      <top style="hair">
        <color indexed="62"/>
      </top>
      <bottom style="hair">
        <color indexed="62"/>
      </bottom>
      <diagonal/>
    </border>
    <border>
      <left style="hair">
        <color indexed="64"/>
      </left>
      <right/>
      <top style="hair">
        <color indexed="62"/>
      </top>
      <bottom style="hair">
        <color indexed="62"/>
      </bottom>
      <diagonal/>
    </border>
    <border>
      <left style="thin">
        <color indexed="64"/>
      </left>
      <right style="hair">
        <color indexed="64"/>
      </right>
      <top style="hair">
        <color indexed="64"/>
      </top>
      <bottom style="thin">
        <color indexed="64"/>
      </bottom>
      <diagonal/>
    </border>
    <border>
      <left/>
      <right style="hair">
        <color indexed="64"/>
      </right>
      <top/>
      <bottom/>
      <diagonal/>
    </border>
    <border>
      <left style="hair">
        <color indexed="64"/>
      </left>
      <right style="hair">
        <color indexed="64"/>
      </right>
      <top style="hair">
        <color indexed="64"/>
      </top>
      <bottom style="thick">
        <color indexed="62"/>
      </bottom>
      <diagonal/>
    </border>
    <border>
      <left style="thick">
        <color indexed="62"/>
      </left>
      <right/>
      <top style="thick">
        <color indexed="62"/>
      </top>
      <bottom style="thick">
        <color indexed="62"/>
      </bottom>
      <diagonal/>
    </border>
    <border>
      <left/>
      <right/>
      <top style="thick">
        <color indexed="62"/>
      </top>
      <bottom style="thick">
        <color indexed="62"/>
      </bottom>
      <diagonal/>
    </border>
    <border>
      <left/>
      <right style="thick">
        <color indexed="62"/>
      </right>
      <top style="thick">
        <color indexed="62"/>
      </top>
      <bottom style="thick">
        <color indexed="62"/>
      </bottom>
      <diagonal/>
    </border>
    <border>
      <left style="hair">
        <color indexed="64"/>
      </left>
      <right/>
      <top style="hair">
        <color indexed="64"/>
      </top>
      <bottom style="thick">
        <color indexed="62"/>
      </bottom>
      <diagonal/>
    </border>
    <border>
      <left style="thick">
        <color indexed="64"/>
      </left>
      <right/>
      <top style="thick">
        <color indexed="62"/>
      </top>
      <bottom/>
      <diagonal/>
    </border>
    <border>
      <left style="thin">
        <color theme="1"/>
      </left>
      <right/>
      <top style="thin">
        <color indexed="64"/>
      </top>
      <bottom style="thin">
        <color indexed="64"/>
      </bottom>
      <diagonal/>
    </border>
    <border>
      <left/>
      <right style="thin">
        <color indexed="62"/>
      </right>
      <top/>
      <bottom/>
      <diagonal/>
    </border>
    <border>
      <left/>
      <right style="thin">
        <color indexed="62"/>
      </right>
      <top style="thin">
        <color indexed="62"/>
      </top>
      <bottom/>
      <diagonal/>
    </border>
    <border>
      <left style="thin">
        <color indexed="62"/>
      </left>
      <right/>
      <top style="thin">
        <color indexed="62"/>
      </top>
      <bottom/>
      <diagonal/>
    </border>
    <border>
      <left/>
      <right style="hair">
        <color indexed="64"/>
      </right>
      <top style="thin">
        <color indexed="62"/>
      </top>
      <bottom/>
      <diagonal/>
    </border>
    <border>
      <left style="thin">
        <color auto="1"/>
      </left>
      <right style="hair">
        <color indexed="64"/>
      </right>
      <top style="thin">
        <color indexed="62"/>
      </top>
      <bottom style="thin">
        <color indexed="62"/>
      </bottom>
      <diagonal/>
    </border>
    <border>
      <left style="thin">
        <color indexed="62"/>
      </left>
      <right/>
      <top style="thin">
        <color indexed="64"/>
      </top>
      <bottom style="thin">
        <color indexed="64"/>
      </bottom>
      <diagonal/>
    </border>
    <border>
      <left style="thin">
        <color indexed="62"/>
      </left>
      <right/>
      <top style="hair">
        <color indexed="64"/>
      </top>
      <bottom style="thick">
        <color indexed="62"/>
      </bottom>
      <diagonal/>
    </border>
    <border>
      <left/>
      <right style="thin">
        <color indexed="62"/>
      </right>
      <top style="thin">
        <color indexed="62"/>
      </top>
      <bottom style="thick">
        <color indexed="62"/>
      </bottom>
      <diagonal/>
    </border>
    <border>
      <left style="thin">
        <color indexed="62"/>
      </left>
      <right/>
      <top style="thin">
        <color indexed="62"/>
      </top>
      <bottom style="thin">
        <color indexed="62"/>
      </bottom>
      <diagonal/>
    </border>
    <border>
      <left/>
      <right/>
      <top style="thin">
        <color indexed="62"/>
      </top>
      <bottom style="thin">
        <color indexed="62"/>
      </bottom>
      <diagonal/>
    </border>
    <border>
      <left/>
      <right style="thin">
        <color indexed="62"/>
      </right>
      <top style="thin">
        <color indexed="62"/>
      </top>
      <bottom style="thin">
        <color indexed="62"/>
      </bottom>
      <diagonal/>
    </border>
    <border>
      <left style="thick">
        <color indexed="62"/>
      </left>
      <right style="thin">
        <color auto="1"/>
      </right>
      <top style="thin">
        <color auto="1"/>
      </top>
      <bottom style="thin">
        <color indexed="64"/>
      </bottom>
      <diagonal/>
    </border>
    <border>
      <left/>
      <right style="hair">
        <color indexed="64"/>
      </right>
      <top style="thin">
        <color indexed="62"/>
      </top>
      <bottom style="thin">
        <color auto="1"/>
      </bottom>
      <diagonal/>
    </border>
    <border>
      <left style="hair">
        <color indexed="64"/>
      </left>
      <right style="hair">
        <color indexed="64"/>
      </right>
      <top style="thin">
        <color indexed="62"/>
      </top>
      <bottom style="thin">
        <color auto="1"/>
      </bottom>
      <diagonal/>
    </border>
    <border>
      <left style="hair">
        <color indexed="64"/>
      </left>
      <right style="thin">
        <color indexed="62"/>
      </right>
      <top style="thin">
        <color indexed="62"/>
      </top>
      <bottom style="thin">
        <color auto="1"/>
      </bottom>
      <diagonal/>
    </border>
    <border>
      <left/>
      <right style="thin">
        <color indexed="62"/>
      </right>
      <top/>
      <bottom style="thick">
        <color indexed="62"/>
      </bottom>
      <diagonal/>
    </border>
    <border>
      <left/>
      <right style="thin">
        <color indexed="62"/>
      </right>
      <top style="thick">
        <color indexed="62"/>
      </top>
      <bottom/>
      <diagonal/>
    </border>
    <border>
      <left/>
      <right style="thin">
        <color indexed="62"/>
      </right>
      <top/>
      <bottom style="thin">
        <color indexed="64"/>
      </bottom>
      <diagonal/>
    </border>
    <border>
      <left style="hair">
        <color auto="1"/>
      </left>
      <right style="hair">
        <color auto="1"/>
      </right>
      <top style="thin">
        <color auto="1"/>
      </top>
      <bottom/>
      <diagonal/>
    </border>
    <border>
      <left style="thin">
        <color theme="1"/>
      </left>
      <right/>
      <top style="thin">
        <color theme="1"/>
      </top>
      <bottom/>
      <diagonal/>
    </border>
    <border>
      <left/>
      <right/>
      <top style="thin">
        <color theme="1"/>
      </top>
      <bottom/>
      <diagonal/>
    </border>
    <border>
      <left style="thin">
        <color indexed="64"/>
      </left>
      <right style="thin">
        <color indexed="62"/>
      </right>
      <top style="thin">
        <color theme="1"/>
      </top>
      <bottom/>
      <diagonal/>
    </border>
    <border>
      <left/>
      <right style="hair">
        <color indexed="64"/>
      </right>
      <top style="thin">
        <color auto="1"/>
      </top>
      <bottom style="thin">
        <color indexed="64"/>
      </bottom>
      <diagonal/>
    </border>
    <border>
      <left style="thin">
        <color indexed="64"/>
      </left>
      <right style="thin">
        <color indexed="62"/>
      </right>
      <top/>
      <bottom style="thin">
        <color indexed="64"/>
      </bottom>
      <diagonal/>
    </border>
    <border>
      <left/>
      <right/>
      <top style="thin">
        <color auto="1"/>
      </top>
      <bottom/>
      <diagonal/>
    </border>
    <border>
      <left/>
      <right style="thin">
        <color indexed="62"/>
      </right>
      <top style="thin">
        <color indexed="64"/>
      </top>
      <bottom/>
      <diagonal/>
    </border>
    <border>
      <left style="thick">
        <color rgb="FF25418F"/>
      </left>
      <right/>
      <top style="thick">
        <color rgb="FF25418F"/>
      </top>
      <bottom style="thin">
        <color indexed="64"/>
      </bottom>
      <diagonal/>
    </border>
    <border>
      <left/>
      <right style="thick">
        <color rgb="FF25418F"/>
      </right>
      <top style="thick">
        <color rgb="FF25418F"/>
      </top>
      <bottom style="thin">
        <color indexed="64"/>
      </bottom>
      <diagonal/>
    </border>
    <border>
      <left style="thin">
        <color auto="1"/>
      </left>
      <right style="thin">
        <color auto="1"/>
      </right>
      <top style="thin">
        <color auto="1"/>
      </top>
      <bottom style="thin">
        <color auto="1"/>
      </bottom>
      <diagonal/>
    </border>
    <border>
      <left/>
      <right style="medium">
        <color auto="1"/>
      </right>
      <top/>
      <bottom style="medium">
        <color auto="1"/>
      </bottom>
      <diagonal/>
    </border>
    <border>
      <left style="thick">
        <color indexed="64"/>
      </left>
      <right/>
      <top style="thin">
        <color theme="0" tint="-0.34998626667073579"/>
      </top>
      <bottom/>
      <diagonal/>
    </border>
    <border>
      <left/>
      <right style="thick">
        <color auto="1"/>
      </right>
      <top style="thin">
        <color theme="0" tint="-0.34998626667073579"/>
      </top>
      <bottom/>
      <diagonal/>
    </border>
    <border>
      <left style="thick">
        <color rgb="FF25418F"/>
      </left>
      <right style="hair">
        <color auto="1"/>
      </right>
      <top style="thin">
        <color indexed="64"/>
      </top>
      <bottom/>
      <diagonal/>
    </border>
    <border>
      <left/>
      <right style="thick">
        <color rgb="FF25418F"/>
      </right>
      <top/>
      <bottom/>
      <diagonal/>
    </border>
    <border>
      <left/>
      <right style="thick">
        <color auto="1"/>
      </right>
      <top/>
      <bottom/>
      <diagonal/>
    </border>
    <border>
      <left style="thick">
        <color rgb="FF25418F"/>
      </left>
      <right style="hair">
        <color rgb="FF25418F"/>
      </right>
      <top style="thin">
        <color auto="1"/>
      </top>
      <bottom style="thin">
        <color indexed="64"/>
      </bottom>
      <diagonal/>
    </border>
    <border>
      <left/>
      <right/>
      <top style="thin">
        <color indexed="64"/>
      </top>
      <bottom style="thin">
        <color indexed="64"/>
      </bottom>
      <diagonal/>
    </border>
    <border>
      <left style="thick">
        <color rgb="FF25418F"/>
      </left>
      <right/>
      <top style="thin">
        <color indexed="64"/>
      </top>
      <bottom style="thin">
        <color rgb="FF25418F"/>
      </bottom>
      <diagonal/>
    </border>
    <border>
      <left style="thick">
        <color rgb="FF25418F"/>
      </left>
      <right/>
      <top style="thin">
        <color rgb="FF25418F"/>
      </top>
      <bottom style="thin">
        <color rgb="FF25418F"/>
      </bottom>
      <diagonal/>
    </border>
    <border>
      <left style="thick">
        <color rgb="FF25418F"/>
      </left>
      <right/>
      <top style="thin">
        <color rgb="FF25418F"/>
      </top>
      <bottom/>
      <diagonal/>
    </border>
    <border>
      <left style="thick">
        <color indexed="62"/>
      </left>
      <right/>
      <top style="medium">
        <color indexed="62"/>
      </top>
      <bottom style="thin">
        <color indexed="64"/>
      </bottom>
      <diagonal/>
    </border>
    <border>
      <left style="thick">
        <color theme="9" tint="-0.499984740745262"/>
      </left>
      <right/>
      <top style="thick">
        <color indexed="64"/>
      </top>
      <bottom/>
      <diagonal/>
    </border>
    <border>
      <left/>
      <right style="thick">
        <color theme="9" tint="-0.499984740745262"/>
      </right>
      <top style="thick">
        <color indexed="64"/>
      </top>
      <bottom/>
      <diagonal/>
    </border>
    <border>
      <left style="thick">
        <color theme="9" tint="-0.499984740745262"/>
      </left>
      <right/>
      <top/>
      <bottom style="thick">
        <color theme="9" tint="-0.499984740745262"/>
      </bottom>
      <diagonal/>
    </border>
    <border>
      <left/>
      <right style="thick">
        <color theme="9" tint="-0.499984740745262"/>
      </right>
      <top/>
      <bottom style="thick">
        <color theme="9" tint="-0.499984740745262"/>
      </bottom>
      <diagonal/>
    </border>
    <border>
      <left/>
      <right/>
      <top style="thin">
        <color indexed="64"/>
      </top>
      <bottom style="thick">
        <color indexed="62"/>
      </bottom>
      <diagonal/>
    </border>
    <border>
      <left style="hair">
        <color indexed="64"/>
      </left>
      <right style="thin">
        <color indexed="64"/>
      </right>
      <top/>
      <bottom style="thin">
        <color indexed="64"/>
      </bottom>
      <diagonal/>
    </border>
    <border>
      <left style="thick">
        <color indexed="62"/>
      </left>
      <right/>
      <top style="thin">
        <color auto="1"/>
      </top>
      <bottom/>
      <diagonal/>
    </border>
    <border>
      <left style="hair">
        <color indexed="64"/>
      </left>
      <right style="hair">
        <color indexed="64"/>
      </right>
      <top style="thin">
        <color indexed="64"/>
      </top>
      <bottom style="thick">
        <color indexed="62"/>
      </bottom>
      <diagonal/>
    </border>
    <border>
      <left style="hair">
        <color theme="1"/>
      </left>
      <right/>
      <top style="thick">
        <color indexed="62"/>
      </top>
      <bottom style="thin">
        <color indexed="64"/>
      </bottom>
      <diagonal/>
    </border>
    <border>
      <left/>
      <right style="thick">
        <color indexed="62"/>
      </right>
      <top style="thin">
        <color indexed="64"/>
      </top>
      <bottom style="thin">
        <color indexed="64"/>
      </bottom>
      <diagonal/>
    </border>
    <border>
      <left style="hair">
        <color indexed="64"/>
      </left>
      <right style="thick">
        <color indexed="62"/>
      </right>
      <top style="thin">
        <color indexed="64"/>
      </top>
      <bottom/>
      <diagonal/>
    </border>
    <border>
      <left style="hair">
        <color auto="1"/>
      </left>
      <right/>
      <top style="thin">
        <color indexed="64"/>
      </top>
      <bottom style="thin">
        <color indexed="64"/>
      </bottom>
      <diagonal/>
    </border>
    <border>
      <left style="thin">
        <color indexed="64"/>
      </left>
      <right/>
      <top style="thin">
        <color indexed="64"/>
      </top>
      <bottom style="thin">
        <color indexed="64"/>
      </bottom>
      <diagonal/>
    </border>
    <border>
      <left style="thin">
        <color auto="1"/>
      </left>
      <right/>
      <top style="thin">
        <color indexed="64"/>
      </top>
      <bottom style="thick">
        <color indexed="62"/>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ck">
        <color indexed="62"/>
      </left>
      <right/>
      <top style="thin">
        <color auto="1"/>
      </top>
      <bottom style="thin">
        <color indexed="64"/>
      </bottom>
      <diagonal/>
    </border>
    <border>
      <left style="hair">
        <color indexed="64"/>
      </left>
      <right style="thick">
        <color indexed="62"/>
      </right>
      <top style="thin">
        <color indexed="64"/>
      </top>
      <bottom style="thin">
        <color indexed="64"/>
      </bottom>
      <diagonal/>
    </border>
    <border>
      <left/>
      <right style="hair">
        <color indexed="64"/>
      </right>
      <top/>
      <bottom style="thick">
        <color indexed="62"/>
      </bottom>
      <diagonal/>
    </border>
    <border>
      <left style="thin">
        <color auto="1"/>
      </left>
      <right style="hair">
        <color auto="1"/>
      </right>
      <top style="thin">
        <color indexed="64"/>
      </top>
      <bottom style="thin">
        <color indexed="64"/>
      </bottom>
      <diagonal/>
    </border>
    <border>
      <left style="hair">
        <color auto="1"/>
      </left>
      <right style="hair">
        <color auto="1"/>
      </right>
      <top style="thin">
        <color auto="1"/>
      </top>
      <bottom style="thin">
        <color auto="1"/>
      </bottom>
      <diagonal/>
    </border>
    <border>
      <left style="hair">
        <color indexed="64"/>
      </left>
      <right/>
      <top style="thin">
        <color indexed="64"/>
      </top>
      <bottom style="thick">
        <color indexed="62"/>
      </bottom>
      <diagonal/>
    </border>
    <border>
      <left style="thick">
        <color indexed="62"/>
      </left>
      <right style="hair">
        <color indexed="64"/>
      </right>
      <top style="thick">
        <color indexed="62"/>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right style="hair">
        <color indexed="64"/>
      </right>
      <top/>
      <bottom style="thin">
        <color indexed="64"/>
      </bottom>
      <diagonal/>
    </border>
    <border>
      <left style="thick">
        <color indexed="62"/>
      </left>
      <right style="hair">
        <color indexed="64"/>
      </right>
      <top style="thin">
        <color auto="1"/>
      </top>
      <bottom style="thin">
        <color indexed="64"/>
      </bottom>
      <diagonal/>
    </border>
    <border>
      <left style="thin">
        <color indexed="64"/>
      </left>
      <right style="hair">
        <color indexed="64"/>
      </right>
      <top/>
      <bottom style="thick">
        <color indexed="62"/>
      </bottom>
      <diagonal/>
    </border>
    <border>
      <left style="medium">
        <color auto="1"/>
      </left>
      <right/>
      <top/>
      <bottom style="medium">
        <color auto="1"/>
      </bottom>
      <diagonal/>
    </border>
    <border>
      <left style="medium">
        <color indexed="64"/>
      </left>
      <right/>
      <top style="medium">
        <color indexed="64"/>
      </top>
      <bottom/>
      <diagonal/>
    </border>
    <border>
      <left/>
      <right style="medium">
        <color indexed="64"/>
      </right>
      <top style="medium">
        <color indexed="64"/>
      </top>
      <bottom/>
      <diagonal/>
    </border>
    <border>
      <left/>
      <right style="thick">
        <color rgb="FF25418F"/>
      </right>
      <top style="thin">
        <color indexed="64"/>
      </top>
      <bottom style="thin">
        <color indexed="64"/>
      </bottom>
      <diagonal/>
    </border>
    <border>
      <left style="hair">
        <color rgb="FF25418F"/>
      </left>
      <right style="thick">
        <color rgb="FF25418F"/>
      </right>
      <top style="thin">
        <color indexed="64"/>
      </top>
      <bottom style="thin">
        <color rgb="FF25418F"/>
      </bottom>
      <diagonal/>
    </border>
    <border>
      <left style="hair">
        <color rgb="FF25418F"/>
      </left>
      <right style="thick">
        <color rgb="FF25418F"/>
      </right>
      <top style="thin">
        <color rgb="FF25418F"/>
      </top>
      <bottom style="thin">
        <color rgb="FF25418F"/>
      </bottom>
      <diagonal/>
    </border>
    <border>
      <left style="hair">
        <color rgb="FF25418F"/>
      </left>
      <right style="thick">
        <color rgb="FF25418F"/>
      </right>
      <top style="thin">
        <color rgb="FF25418F"/>
      </top>
      <bottom/>
      <diagonal/>
    </border>
    <border>
      <left/>
      <right style="thick">
        <color rgb="FF25418F"/>
      </right>
      <top style="medium">
        <color indexed="62"/>
      </top>
      <bottom style="thin">
        <color indexed="64"/>
      </bottom>
      <diagonal/>
    </border>
    <border>
      <left style="hair">
        <color indexed="64"/>
      </left>
      <right style="thick">
        <color rgb="FF25418F"/>
      </right>
      <top style="thin">
        <color indexed="64"/>
      </top>
      <bottom style="hair">
        <color indexed="64"/>
      </bottom>
      <diagonal/>
    </border>
    <border>
      <left/>
      <right style="thick">
        <color rgb="FF25418F"/>
      </right>
      <top/>
      <bottom style="thick">
        <color indexed="62"/>
      </bottom>
      <diagonal/>
    </border>
    <border>
      <left style="medium">
        <color indexed="64"/>
      </left>
      <right/>
      <top style="thin">
        <color theme="0" tint="-0.34998626667073579"/>
      </top>
      <bottom/>
      <diagonal/>
    </border>
    <border>
      <left/>
      <right style="medium">
        <color indexed="64"/>
      </right>
      <top style="thin">
        <color theme="0" tint="-0.34998626667073579"/>
      </top>
      <bottom/>
      <diagonal/>
    </border>
    <border>
      <left style="double">
        <color auto="1"/>
      </left>
      <right/>
      <top style="double">
        <color auto="1"/>
      </top>
      <bottom/>
      <diagonal/>
    </border>
    <border>
      <left style="medium">
        <color auto="1"/>
      </left>
      <right style="medium">
        <color auto="1"/>
      </right>
      <top style="double">
        <color auto="1"/>
      </top>
      <bottom/>
      <diagonal/>
    </border>
    <border>
      <left style="medium">
        <color auto="1"/>
      </left>
      <right style="double">
        <color auto="1"/>
      </right>
      <top style="double">
        <color auto="1"/>
      </top>
      <bottom style="medium">
        <color auto="1"/>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right/>
      <top style="double">
        <color auto="1"/>
      </top>
      <bottom/>
      <diagonal/>
    </border>
    <border>
      <left/>
      <right style="double">
        <color auto="1"/>
      </right>
      <top style="double">
        <color auto="1"/>
      </top>
      <bottom/>
      <diagonal/>
    </border>
    <border>
      <left style="hair">
        <color indexed="64"/>
      </left>
      <right style="thin">
        <color indexed="64"/>
      </right>
      <top style="thick">
        <color indexed="62"/>
      </top>
      <bottom style="thin">
        <color indexed="64"/>
      </bottom>
      <diagonal/>
    </border>
    <border>
      <left style="hair">
        <color indexed="64"/>
      </left>
      <right style="hair">
        <color indexed="64"/>
      </right>
      <top style="thick">
        <color indexed="62"/>
      </top>
      <bottom style="thin">
        <color indexed="64"/>
      </bottom>
      <diagonal/>
    </border>
    <border>
      <left style="thick">
        <color indexed="62"/>
      </left>
      <right style="hair">
        <color indexed="64"/>
      </right>
      <top style="thin">
        <color indexed="64"/>
      </top>
      <bottom/>
      <diagonal/>
    </border>
    <border>
      <left/>
      <right style="thick">
        <color indexed="43"/>
      </right>
      <top/>
      <bottom style="thin">
        <color rgb="FFFFFFCC"/>
      </bottom>
      <diagonal/>
    </border>
    <border>
      <left/>
      <right style="thick">
        <color theme="3"/>
      </right>
      <top/>
      <bottom style="thin">
        <color rgb="FFFFFFCC"/>
      </bottom>
      <diagonal/>
    </border>
    <border>
      <left style="hair">
        <color indexed="64"/>
      </left>
      <right/>
      <top style="thin">
        <color rgb="FFFFFFCC"/>
      </top>
      <bottom/>
      <diagonal/>
    </border>
    <border>
      <left/>
      <right/>
      <top style="thin">
        <color rgb="FFFFFFCC"/>
      </top>
      <bottom/>
      <diagonal/>
    </border>
    <border>
      <left/>
      <right style="thick">
        <color theme="3"/>
      </right>
      <top style="thin">
        <color rgb="FFFFFFCC"/>
      </top>
      <bottom/>
      <diagonal/>
    </border>
    <border>
      <left style="hair">
        <color indexed="62"/>
      </left>
      <right/>
      <top/>
      <bottom style="thin">
        <color rgb="FFFFFFCC"/>
      </bottom>
      <diagonal/>
    </border>
    <border>
      <left style="hair">
        <color indexed="62"/>
      </left>
      <right/>
      <top style="thin">
        <color rgb="FFFFFFCC"/>
      </top>
      <bottom/>
      <diagonal/>
    </border>
    <border>
      <left style="hair">
        <color indexed="64"/>
      </left>
      <right style="thin">
        <color indexed="64"/>
      </right>
      <top/>
      <bottom style="hair">
        <color indexed="64"/>
      </bottom>
      <diagonal/>
    </border>
    <border>
      <left style="hair">
        <color indexed="64"/>
      </left>
      <right style="thick">
        <color indexed="62"/>
      </right>
      <top style="thick">
        <color indexed="18"/>
      </top>
      <bottom style="thin">
        <color indexed="64"/>
      </bottom>
      <diagonal/>
    </border>
    <border>
      <left style="thin">
        <color auto="1"/>
      </left>
      <right style="hair">
        <color auto="1"/>
      </right>
      <top style="thin">
        <color indexed="64"/>
      </top>
      <bottom/>
      <diagonal/>
    </border>
    <border>
      <left style="hair">
        <color indexed="64"/>
      </left>
      <right/>
      <top style="thick">
        <color indexed="62"/>
      </top>
      <bottom style="thick">
        <color theme="3"/>
      </bottom>
      <diagonal/>
    </border>
    <border>
      <left/>
      <right/>
      <top style="thick">
        <color indexed="62"/>
      </top>
      <bottom style="thick">
        <color theme="3"/>
      </bottom>
      <diagonal/>
    </border>
    <border>
      <left/>
      <right style="thick">
        <color indexed="62"/>
      </right>
      <top style="thick">
        <color indexed="62"/>
      </top>
      <bottom style="thick">
        <color theme="3"/>
      </bottom>
      <diagonal/>
    </border>
    <border>
      <left style="thick">
        <color theme="3"/>
      </left>
      <right/>
      <top style="thick">
        <color indexed="62"/>
      </top>
      <bottom style="thick">
        <color theme="3"/>
      </bottom>
      <diagonal/>
    </border>
    <border>
      <left style="thick">
        <color indexed="62"/>
      </left>
      <right style="hair">
        <color auto="1"/>
      </right>
      <top style="thick">
        <color indexed="62"/>
      </top>
      <bottom style="thick">
        <color indexed="62"/>
      </bottom>
      <diagonal/>
    </border>
    <border>
      <left style="hair">
        <color auto="1"/>
      </left>
      <right/>
      <top style="thick">
        <color indexed="62"/>
      </top>
      <bottom style="thick">
        <color indexed="62"/>
      </bottom>
      <diagonal/>
    </border>
    <border>
      <left style="hair">
        <color indexed="64"/>
      </left>
      <right style="hair">
        <color indexed="64"/>
      </right>
      <top style="hair">
        <color indexed="62"/>
      </top>
      <bottom style="hair">
        <color indexed="64"/>
      </bottom>
      <diagonal/>
    </border>
    <border>
      <left style="hair">
        <color auto="1"/>
      </left>
      <right style="thick">
        <color indexed="62"/>
      </right>
      <top style="hair">
        <color indexed="62"/>
      </top>
      <bottom style="hair">
        <color auto="1"/>
      </bottom>
      <diagonal/>
    </border>
    <border>
      <left style="hair">
        <color indexed="64"/>
      </left>
      <right/>
      <top style="hair">
        <color auto="1"/>
      </top>
      <bottom style="thick">
        <color indexed="62"/>
      </bottom>
      <diagonal/>
    </border>
    <border>
      <left style="thin">
        <color indexed="64"/>
      </left>
      <right style="hair">
        <color indexed="64"/>
      </right>
      <top style="hair">
        <color indexed="64"/>
      </top>
      <bottom style="thick">
        <color indexed="62"/>
      </bottom>
      <diagonal/>
    </border>
    <border>
      <left style="hair">
        <color indexed="64"/>
      </left>
      <right style="thick">
        <color theme="3"/>
      </right>
      <top/>
      <bottom/>
      <diagonal/>
    </border>
    <border>
      <left style="hair">
        <color indexed="64"/>
      </left>
      <right style="thick">
        <color theme="3"/>
      </right>
      <top/>
      <bottom style="thin">
        <color indexed="64"/>
      </bottom>
      <diagonal/>
    </border>
    <border>
      <left style="thick">
        <color indexed="62"/>
      </left>
      <right style="hair">
        <color indexed="64"/>
      </right>
      <top style="hair">
        <color indexed="64"/>
      </top>
      <bottom/>
      <diagonal/>
    </border>
    <border>
      <left style="hair">
        <color indexed="64"/>
      </left>
      <right style="thick">
        <color indexed="62"/>
      </right>
      <top/>
      <bottom style="hair">
        <color indexed="62"/>
      </bottom>
      <diagonal/>
    </border>
    <border>
      <left style="thin">
        <color indexed="64"/>
      </left>
      <right style="thin">
        <color indexed="64"/>
      </right>
      <top style="thin">
        <color indexed="64"/>
      </top>
      <bottom/>
      <diagonal/>
    </border>
    <border>
      <left/>
      <right style="thick">
        <color indexed="62"/>
      </right>
      <top style="hair">
        <color indexed="64"/>
      </top>
      <bottom/>
      <diagonal/>
    </border>
    <border>
      <left style="thin">
        <color indexed="64"/>
      </left>
      <right/>
      <top style="hair">
        <color indexed="64"/>
      </top>
      <bottom/>
      <diagonal/>
    </border>
    <border>
      <left/>
      <right/>
      <top style="hair">
        <color indexed="64"/>
      </top>
      <bottom/>
      <diagonal/>
    </border>
    <border>
      <left style="hair">
        <color indexed="64"/>
      </left>
      <right style="thin">
        <color indexed="64"/>
      </right>
      <top/>
      <bottom/>
      <diagonal/>
    </border>
    <border>
      <left style="thick">
        <color indexed="62"/>
      </left>
      <right/>
      <top style="thin">
        <color indexed="64"/>
      </top>
      <bottom style="hair">
        <color indexed="64"/>
      </bottom>
      <diagonal/>
    </border>
    <border>
      <left style="thin">
        <color indexed="64"/>
      </left>
      <right style="thick">
        <color indexed="62"/>
      </right>
      <top style="thin">
        <color indexed="64"/>
      </top>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diagonal/>
    </border>
    <border>
      <left/>
      <right style="thick">
        <color indexed="62"/>
      </right>
      <top style="thin">
        <color auto="1"/>
      </top>
      <bottom/>
      <diagonal/>
    </border>
    <border>
      <left/>
      <right style="thin">
        <color indexed="64"/>
      </right>
      <top style="thin">
        <color indexed="64"/>
      </top>
      <bottom style="hair">
        <color indexed="64"/>
      </bottom>
      <diagonal/>
    </border>
    <border>
      <left style="thin">
        <color indexed="64"/>
      </left>
      <right style="thick">
        <color indexed="62"/>
      </right>
      <top/>
      <bottom style="thin">
        <color indexed="64"/>
      </bottom>
      <diagonal/>
    </border>
    <border>
      <left/>
      <right style="hair">
        <color indexed="64"/>
      </right>
      <top style="thin">
        <color indexed="64"/>
      </top>
      <bottom style="thick">
        <color indexed="62"/>
      </bottom>
      <diagonal/>
    </border>
    <border>
      <left style="hair">
        <color indexed="62"/>
      </left>
      <right style="hair">
        <color indexed="64"/>
      </right>
      <top/>
      <bottom style="hair">
        <color auto="1"/>
      </bottom>
      <diagonal/>
    </border>
    <border>
      <left style="hair">
        <color indexed="64"/>
      </left>
      <right style="thin">
        <color indexed="64"/>
      </right>
      <top style="thin">
        <color indexed="62"/>
      </top>
      <bottom style="hair">
        <color indexed="64"/>
      </bottom>
      <diagonal/>
    </border>
    <border>
      <left style="thin">
        <color indexed="64"/>
      </left>
      <right/>
      <top style="thin">
        <color indexed="64"/>
      </top>
      <bottom/>
      <diagonal/>
    </border>
    <border>
      <left style="thin">
        <color indexed="64"/>
      </left>
      <right style="thin">
        <color indexed="64"/>
      </right>
      <top style="thin">
        <color indexed="62"/>
      </top>
      <bottom style="hair">
        <color indexed="64"/>
      </bottom>
      <diagonal/>
    </border>
    <border>
      <left style="thin">
        <color indexed="64"/>
      </left>
      <right style="thin">
        <color indexed="64"/>
      </right>
      <top style="hair">
        <color indexed="64"/>
      </top>
      <bottom style="thin">
        <color indexed="64"/>
      </bottom>
      <diagonal/>
    </border>
    <border>
      <left/>
      <right style="thick">
        <color indexed="62"/>
      </right>
      <top style="thin">
        <color indexed="64"/>
      </top>
      <bottom/>
      <diagonal/>
    </border>
    <border>
      <left/>
      <right/>
      <top/>
      <bottom style="thin">
        <color auto="1"/>
      </bottom>
      <diagonal/>
    </border>
    <border>
      <left/>
      <right style="thick">
        <color indexed="62"/>
      </right>
      <top/>
      <bottom style="thin">
        <color auto="1"/>
      </bottom>
      <diagonal/>
    </border>
    <border>
      <left style="thin">
        <color indexed="64"/>
      </left>
      <right style="thin">
        <color indexed="64"/>
      </right>
      <top style="thin">
        <color indexed="64"/>
      </top>
      <bottom style="thick">
        <color indexed="62"/>
      </bottom>
      <diagonal/>
    </border>
    <border>
      <left style="hair">
        <color indexed="64"/>
      </left>
      <right style="thin">
        <color indexed="64"/>
      </right>
      <top style="thin">
        <color auto="1"/>
      </top>
      <bottom style="thick">
        <color indexed="62"/>
      </bottom>
      <diagonal/>
    </border>
    <border>
      <left style="hair">
        <color indexed="64"/>
      </left>
      <right style="thick">
        <color indexed="62"/>
      </right>
      <top style="thin">
        <color auto="1"/>
      </top>
      <bottom style="thick">
        <color indexed="62"/>
      </bottom>
      <diagonal/>
    </border>
    <border>
      <left style="hair">
        <color indexed="64"/>
      </left>
      <right/>
      <top style="hair">
        <color indexed="64"/>
      </top>
      <bottom/>
      <diagonal/>
    </border>
    <border>
      <left style="thick">
        <color indexed="62"/>
      </left>
      <right style="hair">
        <color indexed="64"/>
      </right>
      <top style="hair">
        <color indexed="64"/>
      </top>
      <bottom style="thick">
        <color indexed="62"/>
      </bottom>
      <diagonal/>
    </border>
    <border>
      <left/>
      <right/>
      <top style="hair">
        <color indexed="64"/>
      </top>
      <bottom style="thick">
        <color indexed="62"/>
      </bottom>
      <diagonal/>
    </border>
    <border>
      <left/>
      <right style="thin">
        <color indexed="64"/>
      </right>
      <top style="hair">
        <color indexed="64"/>
      </top>
      <bottom style="thick">
        <color indexed="62"/>
      </bottom>
      <diagonal/>
    </border>
    <border>
      <left style="thin">
        <color indexed="64"/>
      </left>
      <right style="hair">
        <color indexed="64"/>
      </right>
      <top style="thin">
        <color indexed="64"/>
      </top>
      <bottom style="thick">
        <color indexed="62"/>
      </bottom>
      <diagonal/>
    </border>
    <border>
      <left/>
      <right style="thin">
        <color indexed="64"/>
      </right>
      <top/>
      <bottom style="thin">
        <color indexed="64"/>
      </bottom>
      <diagonal/>
    </border>
    <border>
      <left/>
      <right style="thick">
        <color indexed="62"/>
      </right>
      <top style="thin">
        <color indexed="64"/>
      </top>
      <bottom style="hair">
        <color indexed="64"/>
      </bottom>
      <diagonal/>
    </border>
    <border>
      <left style="hair">
        <color indexed="64"/>
      </left>
      <right/>
      <top/>
      <bottom style="medium">
        <color rgb="FF00B050"/>
      </bottom>
      <diagonal/>
    </border>
    <border>
      <left/>
      <right/>
      <top/>
      <bottom style="medium">
        <color rgb="FF00B050"/>
      </bottom>
      <diagonal/>
    </border>
    <border>
      <left/>
      <right/>
      <top style="thin">
        <color indexed="64"/>
      </top>
      <bottom style="medium">
        <color rgb="FF00B050"/>
      </bottom>
      <diagonal/>
    </border>
    <border>
      <left/>
      <right style="thin">
        <color indexed="64"/>
      </right>
      <top/>
      <bottom style="medium">
        <color rgb="FF00B050"/>
      </bottom>
      <diagonal/>
    </border>
    <border>
      <left style="medium">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3">
    <xf numFmtId="0" fontId="0" fillId="0" borderId="0"/>
    <xf numFmtId="0" fontId="8" fillId="0" borderId="0" applyNumberFormat="0" applyFill="0" applyBorder="0" applyAlignment="0" applyProtection="0">
      <alignment vertical="top"/>
      <protection locked="0"/>
    </xf>
    <xf numFmtId="164" fontId="2" fillId="0" borderId="0" applyFont="0" applyFill="0" applyBorder="0" applyAlignment="0" applyProtection="0"/>
  </cellStyleXfs>
  <cellXfs count="1368">
    <xf numFmtId="0" fontId="0" fillId="0" borderId="0" xfId="0"/>
    <xf numFmtId="0" fontId="0" fillId="0" borderId="0" xfId="0" applyAlignment="1">
      <alignment horizontal="center"/>
    </xf>
    <xf numFmtId="0" fontId="0" fillId="2" borderId="0" xfId="0" applyFill="1" applyAlignment="1">
      <alignment horizontal="center"/>
    </xf>
    <xf numFmtId="165" fontId="0" fillId="0" borderId="0" xfId="0" applyNumberFormat="1" applyAlignment="1">
      <alignment horizontal="center"/>
    </xf>
    <xf numFmtId="0" fontId="3" fillId="0" borderId="0" xfId="0" applyFont="1" applyAlignment="1">
      <alignment horizontal="center"/>
    </xf>
    <xf numFmtId="166" fontId="0" fillId="0" borderId="0" xfId="0" applyNumberFormat="1"/>
    <xf numFmtId="166" fontId="0" fillId="0" borderId="0" xfId="0" applyNumberFormat="1" applyFill="1"/>
    <xf numFmtId="0" fontId="0" fillId="3" borderId="1" xfId="0" applyFill="1" applyBorder="1" applyAlignment="1">
      <alignment horizontal="center"/>
    </xf>
    <xf numFmtId="0" fontId="0" fillId="0" borderId="0" xfId="0" applyFill="1"/>
    <xf numFmtId="11" fontId="0" fillId="2" borderId="0" xfId="0" applyNumberFormat="1" applyFill="1"/>
    <xf numFmtId="0" fontId="0" fillId="0" borderId="0" xfId="0" applyNumberFormat="1"/>
    <xf numFmtId="0" fontId="0" fillId="4" borderId="0" xfId="0" applyFill="1"/>
    <xf numFmtId="0" fontId="31" fillId="0" borderId="0" xfId="0" applyFont="1"/>
    <xf numFmtId="0" fontId="32" fillId="0" borderId="0" xfId="0" applyFont="1"/>
    <xf numFmtId="0" fontId="33" fillId="0" borderId="0" xfId="0" applyFont="1" applyFill="1"/>
    <xf numFmtId="0" fontId="0" fillId="0" borderId="0" xfId="0" applyAlignment="1">
      <alignment vertical="center"/>
    </xf>
    <xf numFmtId="0" fontId="0" fillId="5" borderId="0" xfId="0" applyFill="1" applyAlignment="1">
      <alignment horizontal="center"/>
    </xf>
    <xf numFmtId="0" fontId="0" fillId="5" borderId="0" xfId="0" applyFill="1"/>
    <xf numFmtId="0" fontId="0" fillId="5" borderId="0" xfId="0" applyFill="1" applyBorder="1"/>
    <xf numFmtId="166" fontId="0" fillId="5" borderId="0" xfId="0" applyNumberFormat="1" applyFill="1" applyAlignment="1">
      <alignment horizontal="center"/>
    </xf>
    <xf numFmtId="0" fontId="0" fillId="3" borderId="0" xfId="0" applyFill="1" applyBorder="1" applyAlignment="1">
      <alignment horizontal="center"/>
    </xf>
    <xf numFmtId="0" fontId="0" fillId="3" borderId="2" xfId="0" applyFill="1" applyBorder="1" applyAlignment="1">
      <alignment horizontal="center"/>
    </xf>
    <xf numFmtId="0" fontId="24" fillId="0" borderId="0" xfId="0" applyFont="1" applyFill="1"/>
    <xf numFmtId="11" fontId="0" fillId="5" borderId="0" xfId="0" applyNumberFormat="1" applyFill="1" applyBorder="1" applyAlignment="1" applyProtection="1">
      <alignment vertical="center"/>
      <protection hidden="1"/>
    </xf>
    <xf numFmtId="0" fontId="2" fillId="5" borderId="0" xfId="0" applyNumberFormat="1" applyFont="1" applyFill="1" applyBorder="1" applyAlignment="1">
      <alignment horizontal="center" vertical="center"/>
    </xf>
    <xf numFmtId="0" fontId="2" fillId="0" borderId="0" xfId="0" applyFont="1"/>
    <xf numFmtId="0" fontId="3" fillId="6" borderId="3" xfId="0" applyFont="1" applyFill="1" applyBorder="1" applyAlignment="1" applyProtection="1">
      <alignment horizontal="left" vertical="center"/>
      <protection hidden="1"/>
    </xf>
    <xf numFmtId="0" fontId="0" fillId="2" borderId="0" xfId="0" applyFill="1"/>
    <xf numFmtId="0" fontId="13" fillId="6" borderId="4" xfId="0" applyFont="1" applyFill="1" applyBorder="1" applyAlignment="1">
      <alignment vertical="center"/>
    </xf>
    <xf numFmtId="0" fontId="13" fillId="6" borderId="0" xfId="0" applyFont="1" applyFill="1" applyBorder="1" applyAlignment="1">
      <alignment vertical="center"/>
    </xf>
    <xf numFmtId="0" fontId="0" fillId="2" borderId="0" xfId="0" applyFill="1" applyAlignment="1">
      <alignment vertical="center"/>
    </xf>
    <xf numFmtId="0" fontId="3" fillId="6" borderId="6"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0" fillId="3" borderId="8" xfId="0" applyFill="1" applyBorder="1" applyAlignment="1">
      <alignment horizontal="centerContinuous" vertical="center"/>
    </xf>
    <xf numFmtId="49" fontId="53" fillId="3" borderId="10" xfId="0" applyNumberFormat="1" applyFont="1" applyFill="1" applyBorder="1" applyAlignment="1">
      <alignment horizontal="center"/>
    </xf>
    <xf numFmtId="11" fontId="0" fillId="5" borderId="5" xfId="0" applyNumberFormat="1" applyFill="1" applyBorder="1" applyAlignment="1" applyProtection="1">
      <alignment vertical="center"/>
      <protection hidden="1"/>
    </xf>
    <xf numFmtId="49" fontId="53" fillId="3" borderId="11" xfId="0" applyNumberFormat="1" applyFont="1" applyFill="1" applyBorder="1" applyAlignment="1">
      <alignment horizontal="center"/>
    </xf>
    <xf numFmtId="49" fontId="53" fillId="3" borderId="13" xfId="0" applyNumberFormat="1" applyFont="1" applyFill="1" applyBorder="1" applyAlignment="1">
      <alignment horizontal="center"/>
    </xf>
    <xf numFmtId="11" fontId="0" fillId="5" borderId="2" xfId="0" applyNumberFormat="1" applyFill="1" applyBorder="1" applyAlignment="1" applyProtection="1">
      <alignment vertical="center"/>
      <protection hidden="1"/>
    </xf>
    <xf numFmtId="167" fontId="2" fillId="5" borderId="14" xfId="0" applyNumberFormat="1" applyFont="1" applyFill="1" applyBorder="1" applyAlignment="1">
      <alignment horizontal="center" vertical="center"/>
    </xf>
    <xf numFmtId="49" fontId="0" fillId="0" borderId="15" xfId="0" applyNumberFormat="1" applyFill="1" applyBorder="1" applyAlignment="1">
      <alignment horizontal="center" vertical="top" wrapText="1"/>
    </xf>
    <xf numFmtId="49" fontId="0" fillId="0" borderId="16" xfId="0" applyNumberFormat="1" applyFill="1" applyBorder="1" applyAlignment="1">
      <alignment horizontal="center" vertical="top" wrapText="1"/>
    </xf>
    <xf numFmtId="167" fontId="2" fillId="5" borderId="18" xfId="0" applyNumberFormat="1" applyFont="1" applyFill="1" applyBorder="1" applyAlignment="1">
      <alignment horizontal="center" vertical="center"/>
    </xf>
    <xf numFmtId="0" fontId="9" fillId="6" borderId="19" xfId="0" applyFont="1" applyFill="1" applyBorder="1" applyAlignment="1">
      <alignment horizontal="center" vertical="center"/>
    </xf>
    <xf numFmtId="1" fontId="9" fillId="0" borderId="20" xfId="0" applyNumberFormat="1" applyFont="1" applyFill="1" applyBorder="1" applyAlignment="1">
      <alignment horizontal="center" vertical="center"/>
    </xf>
    <xf numFmtId="1" fontId="9" fillId="0" borderId="21" xfId="0" applyNumberFormat="1" applyFont="1" applyFill="1" applyBorder="1" applyAlignment="1">
      <alignment horizontal="center" vertical="center"/>
    </xf>
    <xf numFmtId="0" fontId="0" fillId="3" borderId="19" xfId="0" applyFill="1" applyBorder="1" applyAlignment="1">
      <alignment horizontal="center" vertical="center"/>
    </xf>
    <xf numFmtId="166" fontId="0" fillId="2" borderId="23" xfId="0" applyNumberFormat="1" applyFill="1" applyBorder="1" applyAlignment="1">
      <alignment horizontal="center" vertical="center"/>
    </xf>
    <xf numFmtId="0" fontId="3" fillId="6" borderId="6" xfId="0" applyFont="1" applyFill="1" applyBorder="1" applyAlignment="1">
      <alignment horizontal="center" vertical="center"/>
    </xf>
    <xf numFmtId="0" fontId="3" fillId="6" borderId="24" xfId="0" applyFont="1" applyFill="1" applyBorder="1" applyAlignment="1">
      <alignment horizontal="left" vertical="center"/>
    </xf>
    <xf numFmtId="0" fontId="50" fillId="6" borderId="25" xfId="0" applyFont="1" applyFill="1" applyBorder="1" applyAlignment="1">
      <alignment horizontal="center" vertical="center"/>
    </xf>
    <xf numFmtId="0" fontId="50" fillId="2" borderId="0" xfId="0" applyFont="1" applyFill="1" applyAlignment="1">
      <alignment vertical="center"/>
    </xf>
    <xf numFmtId="0" fontId="0" fillId="3" borderId="26" xfId="0" applyFill="1" applyBorder="1" applyAlignment="1">
      <alignment horizontal="centerContinuous" vertical="center"/>
    </xf>
    <xf numFmtId="0" fontId="2" fillId="5" borderId="27" xfId="0" applyNumberFormat="1" applyFont="1" applyFill="1" applyBorder="1" applyAlignment="1">
      <alignment horizontal="center" vertical="center"/>
    </xf>
    <xf numFmtId="0" fontId="0" fillId="3" borderId="26" xfId="0" applyFill="1" applyBorder="1" applyAlignment="1">
      <alignment horizontal="center" vertical="center"/>
    </xf>
    <xf numFmtId="166" fontId="0" fillId="7" borderId="28" xfId="0" applyNumberFormat="1" applyFill="1" applyBorder="1" applyAlignment="1">
      <alignment horizontal="center" vertical="center"/>
    </xf>
    <xf numFmtId="0" fontId="50" fillId="2" borderId="29" xfId="0" applyFont="1" applyFill="1" applyBorder="1" applyAlignment="1">
      <alignment vertical="center"/>
    </xf>
    <xf numFmtId="0" fontId="50" fillId="2" borderId="0" xfId="0" applyFont="1" applyFill="1" applyBorder="1" applyAlignment="1">
      <alignment vertical="center"/>
    </xf>
    <xf numFmtId="0" fontId="0" fillId="2" borderId="0" xfId="0" applyFill="1" applyBorder="1"/>
    <xf numFmtId="0" fontId="0" fillId="2" borderId="29" xfId="0" applyFill="1" applyBorder="1"/>
    <xf numFmtId="0" fontId="0" fillId="2" borderId="0" xfId="0" applyFill="1" applyBorder="1" applyAlignment="1">
      <alignment horizontal="center"/>
    </xf>
    <xf numFmtId="166" fontId="0" fillId="2" borderId="0" xfId="0" applyNumberFormat="1" applyFill="1"/>
    <xf numFmtId="0" fontId="13" fillId="6" borderId="24" xfId="0" applyFont="1" applyFill="1" applyBorder="1" applyAlignment="1">
      <alignment horizontal="left" vertical="center"/>
    </xf>
    <xf numFmtId="0" fontId="13" fillId="6" borderId="30" xfId="0" applyFont="1" applyFill="1" applyBorder="1" applyAlignment="1">
      <alignment horizontal="left" vertical="center"/>
    </xf>
    <xf numFmtId="0" fontId="17" fillId="6" borderId="30" xfId="0" applyFont="1" applyFill="1" applyBorder="1" applyAlignment="1">
      <alignment horizontal="left" vertical="center"/>
    </xf>
    <xf numFmtId="0" fontId="18" fillId="6" borderId="0" xfId="0" applyFont="1" applyFill="1" applyBorder="1" applyAlignment="1">
      <alignment horizontal="right" vertical="center"/>
    </xf>
    <xf numFmtId="0" fontId="3" fillId="6" borderId="31" xfId="0" applyFont="1" applyFill="1" applyBorder="1" applyAlignment="1" applyProtection="1">
      <alignment horizontal="left" vertical="center"/>
      <protection hidden="1"/>
    </xf>
    <xf numFmtId="0" fontId="0" fillId="6" borderId="31" xfId="0" applyFill="1" applyBorder="1" applyAlignment="1" applyProtection="1">
      <alignment horizontal="center" vertical="center"/>
      <protection hidden="1"/>
    </xf>
    <xf numFmtId="170" fontId="0" fillId="6" borderId="31" xfId="0" applyNumberFormat="1" applyFill="1" applyBorder="1" applyAlignment="1" applyProtection="1">
      <alignment horizontal="left" vertical="center"/>
      <protection hidden="1"/>
    </xf>
    <xf numFmtId="0" fontId="0" fillId="6" borderId="30" xfId="0" applyFill="1" applyBorder="1" applyAlignment="1">
      <alignment vertical="center"/>
    </xf>
    <xf numFmtId="0" fontId="0" fillId="6" borderId="32" xfId="0" applyFill="1" applyBorder="1" applyAlignment="1">
      <alignment vertical="center"/>
    </xf>
    <xf numFmtId="167" fontId="0" fillId="5" borderId="0" xfId="0" applyNumberFormat="1" applyFill="1" applyBorder="1" applyAlignment="1">
      <alignment horizontal="center" vertical="center"/>
    </xf>
    <xf numFmtId="167" fontId="0" fillId="5" borderId="12" xfId="0" applyNumberFormat="1" applyFill="1" applyBorder="1" applyAlignment="1">
      <alignment horizontal="center" vertical="center"/>
    </xf>
    <xf numFmtId="49" fontId="2" fillId="3" borderId="10" xfId="0" applyNumberFormat="1" applyFont="1" applyFill="1" applyBorder="1" applyAlignment="1">
      <alignment horizontal="center"/>
    </xf>
    <xf numFmtId="166" fontId="0" fillId="5" borderId="0" xfId="0" applyNumberFormat="1" applyFill="1" applyBorder="1" applyAlignment="1">
      <alignment horizontal="center" vertical="center"/>
    </xf>
    <xf numFmtId="166" fontId="0" fillId="5" borderId="12" xfId="0" applyNumberFormat="1" applyFill="1" applyBorder="1" applyAlignment="1">
      <alignment horizontal="center" vertical="center"/>
    </xf>
    <xf numFmtId="49" fontId="2" fillId="3" borderId="11" xfId="0" applyNumberFormat="1" applyFont="1" applyFill="1" applyBorder="1" applyAlignment="1">
      <alignment horizontal="center"/>
    </xf>
    <xf numFmtId="166" fontId="0" fillId="5" borderId="2" xfId="0" applyNumberFormat="1" applyFill="1" applyBorder="1" applyAlignment="1">
      <alignment horizontal="center" vertical="center"/>
    </xf>
    <xf numFmtId="11" fontId="0" fillId="5" borderId="34" xfId="0" applyNumberFormat="1" applyFill="1" applyBorder="1" applyAlignment="1">
      <alignment horizontal="center" vertical="center"/>
    </xf>
    <xf numFmtId="166" fontId="2" fillId="6" borderId="25" xfId="0" applyNumberFormat="1" applyFont="1" applyFill="1" applyBorder="1" applyAlignment="1">
      <alignment horizontal="left" vertical="center"/>
    </xf>
    <xf numFmtId="166" fontId="2" fillId="6" borderId="25" xfId="0" applyNumberFormat="1" applyFont="1" applyFill="1" applyBorder="1" applyAlignment="1">
      <alignment horizontal="right" vertical="center"/>
    </xf>
    <xf numFmtId="165" fontId="0" fillId="2" borderId="0" xfId="0" applyNumberFormat="1" applyFill="1"/>
    <xf numFmtId="2" fontId="0" fillId="5" borderId="0" xfId="0" applyNumberFormat="1" applyFill="1" applyBorder="1" applyAlignment="1">
      <alignment horizontal="center" vertical="center"/>
    </xf>
    <xf numFmtId="165" fontId="58" fillId="2" borderId="0" xfId="0" applyNumberFormat="1" applyFont="1" applyFill="1" applyAlignment="1">
      <alignment horizontal="center"/>
    </xf>
    <xf numFmtId="165" fontId="58" fillId="2" borderId="0" xfId="0" applyNumberFormat="1" applyFont="1" applyFill="1"/>
    <xf numFmtId="170" fontId="0" fillId="2" borderId="0" xfId="0" applyNumberFormat="1" applyFill="1"/>
    <xf numFmtId="0" fontId="0" fillId="6" borderId="5" xfId="0" applyFill="1" applyBorder="1" applyAlignment="1">
      <alignment vertical="center"/>
    </xf>
    <xf numFmtId="0" fontId="0" fillId="3" borderId="16" xfId="0" applyNumberFormat="1" applyFill="1" applyBorder="1" applyAlignment="1">
      <alignment horizontal="center" vertical="center" wrapText="1"/>
    </xf>
    <xf numFmtId="0" fontId="0" fillId="6" borderId="0" xfId="0" applyFill="1" applyBorder="1" applyAlignment="1">
      <alignment horizontal="center"/>
    </xf>
    <xf numFmtId="49" fontId="48" fillId="8" borderId="0" xfId="0" applyNumberFormat="1" applyFont="1" applyFill="1" applyBorder="1" applyAlignment="1">
      <alignment horizontal="right" vertical="center"/>
    </xf>
    <xf numFmtId="0" fontId="48" fillId="8" borderId="0" xfId="0" applyFont="1" applyFill="1" applyBorder="1" applyAlignment="1">
      <alignment vertical="center"/>
    </xf>
    <xf numFmtId="0" fontId="49" fillId="8" borderId="0" xfId="0" applyNumberFormat="1" applyFont="1" applyFill="1" applyBorder="1" applyAlignment="1">
      <alignment vertical="center"/>
    </xf>
    <xf numFmtId="0" fontId="0" fillId="6" borderId="35" xfId="0" applyFill="1" applyBorder="1" applyAlignment="1">
      <alignment horizontal="center"/>
    </xf>
    <xf numFmtId="0" fontId="0" fillId="3" borderId="35" xfId="0" applyFill="1" applyBorder="1" applyAlignment="1">
      <alignment horizontal="center"/>
    </xf>
    <xf numFmtId="0" fontId="2" fillId="3" borderId="35" xfId="0" applyFont="1" applyFill="1" applyBorder="1"/>
    <xf numFmtId="0" fontId="2" fillId="3" borderId="36" xfId="0" applyFont="1" applyFill="1" applyBorder="1"/>
    <xf numFmtId="0" fontId="2" fillId="3" borderId="2" xfId="0" applyFont="1" applyFill="1" applyBorder="1" applyAlignment="1">
      <alignment horizontal="left"/>
    </xf>
    <xf numFmtId="0" fontId="2" fillId="3" borderId="2" xfId="0" applyFont="1" applyFill="1" applyBorder="1" applyAlignment="1">
      <alignment horizontal="center"/>
    </xf>
    <xf numFmtId="0" fontId="2" fillId="3" borderId="37" xfId="0" applyFont="1" applyFill="1" applyBorder="1" applyAlignment="1">
      <alignment horizontal="center"/>
    </xf>
    <xf numFmtId="0" fontId="0" fillId="2" borderId="0" xfId="0" applyNumberFormat="1" applyFill="1"/>
    <xf numFmtId="0" fontId="2" fillId="2" borderId="0" xfId="0" applyFont="1" applyFill="1"/>
    <xf numFmtId="0" fontId="0" fillId="3" borderId="25" xfId="0" applyFill="1" applyBorder="1" applyAlignment="1">
      <alignment horizontal="left" vertical="center"/>
    </xf>
    <xf numFmtId="0" fontId="0" fillId="3" borderId="25" xfId="0" applyFill="1" applyBorder="1" applyAlignment="1">
      <alignment horizontal="center" vertical="center"/>
    </xf>
    <xf numFmtId="49" fontId="0" fillId="3" borderId="25" xfId="0" applyNumberFormat="1" applyFill="1" applyBorder="1" applyAlignment="1">
      <alignment horizontal="left" vertical="center"/>
    </xf>
    <xf numFmtId="0" fontId="2" fillId="5" borderId="18" xfId="0" applyNumberFormat="1" applyFont="1" applyFill="1" applyBorder="1" applyAlignment="1">
      <alignment horizontal="center" vertical="center"/>
    </xf>
    <xf numFmtId="0" fontId="0" fillId="6" borderId="1" xfId="0" applyFill="1" applyBorder="1" applyAlignment="1">
      <alignment horizontal="center"/>
    </xf>
    <xf numFmtId="0" fontId="0" fillId="6" borderId="25" xfId="0" applyFill="1" applyBorder="1" applyAlignment="1">
      <alignment horizontal="center"/>
    </xf>
    <xf numFmtId="0" fontId="0" fillId="6" borderId="0" xfId="0" applyFill="1" applyBorder="1" applyAlignment="1" applyProtection="1">
      <alignment horizontal="left" vertical="center"/>
      <protection hidden="1"/>
    </xf>
    <xf numFmtId="1" fontId="6" fillId="5" borderId="16" xfId="0" applyNumberFormat="1" applyFont="1" applyFill="1" applyBorder="1" applyAlignment="1">
      <alignment horizontal="center" vertical="center"/>
    </xf>
    <xf numFmtId="1" fontId="6" fillId="5" borderId="40" xfId="0" applyNumberFormat="1" applyFont="1" applyFill="1" applyBorder="1" applyAlignment="1">
      <alignment horizontal="center" vertical="center"/>
    </xf>
    <xf numFmtId="1" fontId="6" fillId="5" borderId="41" xfId="0" applyNumberFormat="1" applyFont="1" applyFill="1" applyBorder="1" applyAlignment="1">
      <alignment horizontal="center" vertical="center"/>
    </xf>
    <xf numFmtId="167" fontId="0" fillId="5" borderId="38" xfId="0" applyNumberFormat="1" applyFill="1" applyBorder="1" applyAlignment="1" applyProtection="1">
      <alignment horizontal="center" vertical="center"/>
      <protection hidden="1"/>
    </xf>
    <xf numFmtId="167" fontId="0" fillId="5" borderId="39" xfId="0" applyNumberFormat="1" applyFill="1" applyBorder="1" applyAlignment="1" applyProtection="1">
      <alignment horizontal="center" vertical="center"/>
      <protection hidden="1"/>
    </xf>
    <xf numFmtId="49" fontId="53" fillId="3" borderId="43" xfId="0" applyNumberFormat="1" applyFont="1" applyFill="1" applyBorder="1" applyAlignment="1">
      <alignment horizontal="center"/>
    </xf>
    <xf numFmtId="167" fontId="0" fillId="5" borderId="42" xfId="0" applyNumberFormat="1" applyFill="1" applyBorder="1" applyAlignment="1" applyProtection="1">
      <alignment horizontal="center" vertical="center"/>
      <protection hidden="1"/>
    </xf>
    <xf numFmtId="167" fontId="0" fillId="5" borderId="0" xfId="0" applyNumberFormat="1" applyFill="1" applyBorder="1" applyAlignment="1" applyProtection="1">
      <alignment horizontal="center" vertical="center"/>
      <protection hidden="1"/>
    </xf>
    <xf numFmtId="167" fontId="0" fillId="5" borderId="12" xfId="0" applyNumberFormat="1" applyFill="1" applyBorder="1" applyAlignment="1" applyProtection="1">
      <alignment horizontal="center" vertical="center"/>
      <protection hidden="1"/>
    </xf>
    <xf numFmtId="167" fontId="0" fillId="5" borderId="5" xfId="0" applyNumberFormat="1" applyFill="1" applyBorder="1" applyAlignment="1" applyProtection="1">
      <alignment horizontal="center" vertical="center"/>
      <protection hidden="1"/>
    </xf>
    <xf numFmtId="167" fontId="0" fillId="5" borderId="5" xfId="0" applyNumberFormat="1" applyFill="1" applyBorder="1" applyAlignment="1">
      <alignment horizontal="center" vertical="center"/>
    </xf>
    <xf numFmtId="0" fontId="5" fillId="3" borderId="2" xfId="0" applyFont="1" applyFill="1" applyBorder="1" applyAlignment="1">
      <alignment horizontal="center" vertical="center"/>
    </xf>
    <xf numFmtId="0" fontId="5" fillId="3" borderId="52" xfId="0" applyFont="1" applyFill="1" applyBorder="1" applyAlignment="1">
      <alignment horizontal="center" vertical="center"/>
    </xf>
    <xf numFmtId="0" fontId="0" fillId="2" borderId="0" xfId="0" applyFill="1" applyAlignment="1" applyProtection="1">
      <alignment vertical="center"/>
      <protection hidden="1"/>
    </xf>
    <xf numFmtId="0" fontId="3" fillId="6" borderId="57" xfId="0" applyFont="1" applyFill="1" applyBorder="1" applyAlignment="1">
      <alignment horizontal="left" vertical="top"/>
    </xf>
    <xf numFmtId="0" fontId="3" fillId="6" borderId="58" xfId="0" applyFont="1" applyFill="1" applyBorder="1" applyAlignment="1">
      <alignment horizontal="left" vertical="top"/>
    </xf>
    <xf numFmtId="0" fontId="3" fillId="6" borderId="57" xfId="0" applyFont="1" applyFill="1" applyBorder="1" applyAlignment="1">
      <alignment horizontal="center" vertical="top"/>
    </xf>
    <xf numFmtId="0" fontId="0" fillId="3" borderId="61" xfId="0" applyFill="1" applyBorder="1" applyAlignment="1">
      <alignment horizontal="center" vertical="center"/>
    </xf>
    <xf numFmtId="0" fontId="0" fillId="2" borderId="0" xfId="0" applyFill="1" applyAlignment="1"/>
    <xf numFmtId="11" fontId="0" fillId="2" borderId="0" xfId="0" applyNumberFormat="1" applyFill="1" applyBorder="1" applyAlignment="1">
      <alignment horizontal="center"/>
    </xf>
    <xf numFmtId="0" fontId="50" fillId="2" borderId="0" xfId="0" applyFont="1" applyFill="1" applyBorder="1" applyAlignment="1"/>
    <xf numFmtId="0" fontId="50" fillId="2" borderId="0" xfId="0" applyFont="1" applyFill="1" applyBorder="1"/>
    <xf numFmtId="0" fontId="46" fillId="5" borderId="62" xfId="0" applyFont="1" applyFill="1" applyBorder="1"/>
    <xf numFmtId="0" fontId="46" fillId="5" borderId="1" xfId="0" applyFont="1" applyFill="1" applyBorder="1"/>
    <xf numFmtId="0" fontId="3" fillId="3" borderId="35" xfId="0" applyFont="1" applyFill="1" applyBorder="1" applyAlignment="1">
      <alignment horizontal="center"/>
    </xf>
    <xf numFmtId="166" fontId="50" fillId="5" borderId="0" xfId="0" applyNumberFormat="1" applyFont="1" applyFill="1" applyAlignment="1">
      <alignment horizontal="center"/>
    </xf>
    <xf numFmtId="167" fontId="0" fillId="5" borderId="0" xfId="0" applyNumberFormat="1" applyFill="1" applyAlignment="1">
      <alignment horizontal="center"/>
    </xf>
    <xf numFmtId="11" fontId="0" fillId="5" borderId="0" xfId="0" applyNumberFormat="1" applyFill="1" applyAlignment="1">
      <alignment horizontal="center"/>
    </xf>
    <xf numFmtId="165" fontId="0" fillId="5" borderId="0" xfId="0" applyNumberFormat="1" applyFill="1" applyAlignment="1">
      <alignment horizontal="center"/>
    </xf>
    <xf numFmtId="166" fontId="0" fillId="8" borderId="29" xfId="0" applyNumberFormat="1" applyFill="1" applyBorder="1"/>
    <xf numFmtId="0" fontId="0" fillId="3" borderId="0" xfId="0" applyFill="1" applyBorder="1"/>
    <xf numFmtId="167" fontId="0" fillId="2" borderId="0" xfId="0" applyNumberFormat="1" applyFill="1"/>
    <xf numFmtId="166" fontId="0" fillId="2" borderId="0" xfId="0" applyNumberFormat="1" applyFill="1" applyAlignment="1">
      <alignment horizontal="center"/>
    </xf>
    <xf numFmtId="166" fontId="3" fillId="3" borderId="35" xfId="0" applyNumberFormat="1" applyFont="1" applyFill="1" applyBorder="1" applyAlignment="1">
      <alignment horizontal="center"/>
    </xf>
    <xf numFmtId="167" fontId="0" fillId="5" borderId="0" xfId="0" applyNumberFormat="1" applyFill="1"/>
    <xf numFmtId="165" fontId="0" fillId="5" borderId="0" xfId="0" applyNumberFormat="1" applyFill="1"/>
    <xf numFmtId="0" fontId="0" fillId="3" borderId="0" xfId="0" applyFill="1" applyBorder="1" applyAlignment="1">
      <alignment vertical="center"/>
    </xf>
    <xf numFmtId="0" fontId="0" fillId="3" borderId="16" xfId="0" applyFill="1" applyBorder="1" applyAlignment="1">
      <alignment horizontal="center" vertical="justify" wrapText="1"/>
    </xf>
    <xf numFmtId="0" fontId="0" fillId="2" borderId="0" xfId="0" applyFill="1" applyAlignment="1">
      <alignment vertical="justify"/>
    </xf>
    <xf numFmtId="0" fontId="0" fillId="0" borderId="0" xfId="0" applyAlignment="1">
      <alignment vertical="justify"/>
    </xf>
    <xf numFmtId="166" fontId="0" fillId="3" borderId="2" xfId="0" applyNumberFormat="1" applyFill="1" applyBorder="1" applyAlignment="1">
      <alignment horizontal="center" vertical="justify" wrapText="1"/>
    </xf>
    <xf numFmtId="0" fontId="0" fillId="3" borderId="2" xfId="0" applyFill="1" applyBorder="1" applyAlignment="1">
      <alignment horizontal="center" vertical="justify" wrapText="1"/>
    </xf>
    <xf numFmtId="0" fontId="0" fillId="0" borderId="0" xfId="0" applyAlignment="1">
      <alignment horizontal="center" vertical="justify" wrapText="1"/>
    </xf>
    <xf numFmtId="0" fontId="50" fillId="2" borderId="0" xfId="0" applyFont="1" applyFill="1" applyAlignment="1">
      <alignment horizontal="left"/>
    </xf>
    <xf numFmtId="0" fontId="50" fillId="2" borderId="0" xfId="0" applyFont="1" applyFill="1"/>
    <xf numFmtId="0" fontId="11" fillId="2" borderId="0" xfId="0" applyFont="1" applyFill="1" applyAlignment="1">
      <alignment horizontal="center"/>
    </xf>
    <xf numFmtId="165" fontId="0" fillId="2" borderId="0" xfId="0" applyNumberFormat="1" applyFill="1" applyAlignment="1">
      <alignment horizontal="center"/>
    </xf>
    <xf numFmtId="0" fontId="50" fillId="2" borderId="0" xfId="0" applyFont="1" applyFill="1" applyAlignment="1">
      <alignment horizontal="left" vertical="center"/>
    </xf>
    <xf numFmtId="165" fontId="0" fillId="2" borderId="0" xfId="0" applyNumberFormat="1" applyFill="1" applyAlignment="1">
      <alignment horizontal="center" vertical="center"/>
    </xf>
    <xf numFmtId="0" fontId="0" fillId="3" borderId="65" xfId="0" applyFill="1" applyBorder="1" applyAlignment="1">
      <alignment vertical="center"/>
    </xf>
    <xf numFmtId="0" fontId="0" fillId="3" borderId="66" xfId="0" applyFill="1" applyBorder="1" applyAlignment="1">
      <alignment horizontal="right" vertical="center"/>
    </xf>
    <xf numFmtId="0" fontId="3" fillId="3" borderId="7" xfId="0" applyFont="1" applyFill="1" applyBorder="1" applyAlignment="1">
      <alignment horizontal="center" vertical="center"/>
    </xf>
    <xf numFmtId="0" fontId="3" fillId="3" borderId="64" xfId="0" applyFont="1" applyFill="1" applyBorder="1" applyAlignment="1">
      <alignment horizontal="center" vertical="center"/>
    </xf>
    <xf numFmtId="165" fontId="3" fillId="3" borderId="64" xfId="0" applyNumberFormat="1" applyFont="1" applyFill="1" applyBorder="1" applyAlignment="1">
      <alignment horizontal="center" vertical="center"/>
    </xf>
    <xf numFmtId="165" fontId="3" fillId="3" borderId="67" xfId="0" applyNumberFormat="1" applyFont="1" applyFill="1" applyBorder="1" applyAlignment="1">
      <alignment horizontal="center" vertical="center"/>
    </xf>
    <xf numFmtId="0" fontId="46" fillId="2" borderId="0" xfId="0" applyFont="1" applyFill="1"/>
    <xf numFmtId="0" fontId="17" fillId="6" borderId="22" xfId="0" applyFont="1" applyFill="1" applyBorder="1" applyAlignment="1">
      <alignment horizontal="center" vertical="center"/>
    </xf>
    <xf numFmtId="165" fontId="0" fillId="6" borderId="22" xfId="0" applyNumberFormat="1" applyFill="1" applyBorder="1" applyAlignment="1">
      <alignment horizontal="center" vertical="center"/>
    </xf>
    <xf numFmtId="165" fontId="0" fillId="6" borderId="70" xfId="0" applyNumberFormat="1" applyFill="1" applyBorder="1" applyAlignment="1">
      <alignment horizontal="center" vertical="center"/>
    </xf>
    <xf numFmtId="0" fontId="0" fillId="0" borderId="0" xfId="0" applyAlignment="1">
      <alignment horizontal="center" vertical="justify"/>
    </xf>
    <xf numFmtId="0" fontId="46" fillId="2" borderId="0" xfId="0" applyFont="1" applyFill="1" applyBorder="1"/>
    <xf numFmtId="0" fontId="0" fillId="3" borderId="0" xfId="0" applyFill="1"/>
    <xf numFmtId="0" fontId="0" fillId="3" borderId="35" xfId="0" applyFill="1" applyBorder="1"/>
    <xf numFmtId="0" fontId="30" fillId="3" borderId="35" xfId="0" applyFont="1" applyFill="1" applyBorder="1" applyAlignment="1">
      <alignment horizontal="center"/>
    </xf>
    <xf numFmtId="0" fontId="25" fillId="3" borderId="35" xfId="0" applyFont="1" applyFill="1" applyBorder="1" applyAlignment="1">
      <alignment horizontal="center"/>
    </xf>
    <xf numFmtId="0" fontId="26" fillId="3" borderId="35" xfId="0" applyFont="1" applyFill="1" applyBorder="1" applyAlignment="1">
      <alignment horizontal="center"/>
    </xf>
    <xf numFmtId="0" fontId="27" fillId="3" borderId="35" xfId="0" applyFont="1" applyFill="1" applyBorder="1" applyAlignment="1">
      <alignment horizontal="center"/>
    </xf>
    <xf numFmtId="0" fontId="28" fillId="3" borderId="35" xfId="0" applyFont="1" applyFill="1" applyBorder="1" applyAlignment="1">
      <alignment horizontal="center"/>
    </xf>
    <xf numFmtId="0" fontId="29" fillId="3" borderId="35" xfId="0" applyFont="1" applyFill="1" applyBorder="1" applyAlignment="1">
      <alignment horizontal="center"/>
    </xf>
    <xf numFmtId="0" fontId="24" fillId="3" borderId="2" xfId="0" applyFont="1" applyFill="1" applyBorder="1" applyAlignment="1">
      <alignment horizontal="center"/>
    </xf>
    <xf numFmtId="166" fontId="0" fillId="5" borderId="0" xfId="0" applyNumberFormat="1" applyFill="1"/>
    <xf numFmtId="0" fontId="24" fillId="2" borderId="0" xfId="0" applyFont="1" applyFill="1"/>
    <xf numFmtId="0" fontId="46" fillId="2" borderId="73" xfId="0" applyFont="1" applyFill="1" applyBorder="1"/>
    <xf numFmtId="49" fontId="69" fillId="5" borderId="74" xfId="0" applyNumberFormat="1" applyFont="1" applyFill="1" applyBorder="1"/>
    <xf numFmtId="0" fontId="70" fillId="5" borderId="0" xfId="0" applyFont="1" applyFill="1" applyBorder="1"/>
    <xf numFmtId="0" fontId="69" fillId="5" borderId="0" xfId="0" applyFont="1" applyFill="1" applyBorder="1"/>
    <xf numFmtId="0" fontId="47" fillId="2" borderId="0" xfId="0" applyFont="1" applyFill="1" applyBorder="1"/>
    <xf numFmtId="0" fontId="69" fillId="5" borderId="74" xfId="0" applyFont="1" applyFill="1" applyBorder="1"/>
    <xf numFmtId="0" fontId="18" fillId="5" borderId="75" xfId="0" applyFont="1" applyFill="1" applyBorder="1"/>
    <xf numFmtId="0" fontId="18" fillId="5" borderId="76" xfId="0" applyFont="1" applyFill="1" applyBorder="1"/>
    <xf numFmtId="0" fontId="0" fillId="2" borderId="76" xfId="0" applyFill="1" applyBorder="1"/>
    <xf numFmtId="0" fontId="0" fillId="2" borderId="77" xfId="0" applyFill="1" applyBorder="1"/>
    <xf numFmtId="0" fontId="52" fillId="0" borderId="78" xfId="0" applyFont="1" applyFill="1" applyBorder="1" applyAlignment="1">
      <alignment horizontal="center" vertical="center"/>
    </xf>
    <xf numFmtId="0" fontId="0" fillId="3" borderId="79" xfId="0" applyFill="1" applyBorder="1" applyAlignment="1">
      <alignment horizontal="right" vertical="center"/>
    </xf>
    <xf numFmtId="166" fontId="52" fillId="0" borderId="78" xfId="0" applyNumberFormat="1" applyFont="1" applyFill="1" applyBorder="1" applyAlignment="1">
      <alignment horizontal="center" vertical="center"/>
    </xf>
    <xf numFmtId="0" fontId="52" fillId="0" borderId="85" xfId="0" applyFont="1" applyFill="1" applyBorder="1" applyAlignment="1">
      <alignment horizontal="center" vertical="center"/>
    </xf>
    <xf numFmtId="166" fontId="52" fillId="0" borderId="85" xfId="0" applyNumberFormat="1" applyFont="1" applyFill="1" applyBorder="1" applyAlignment="1">
      <alignment horizontal="center" vertical="center"/>
    </xf>
    <xf numFmtId="0" fontId="24" fillId="3" borderId="0" xfId="0" applyFont="1" applyFill="1"/>
    <xf numFmtId="0" fontId="0" fillId="6" borderId="0" xfId="0" applyFill="1"/>
    <xf numFmtId="0" fontId="31" fillId="4" borderId="0" xfId="0" applyFont="1" applyFill="1"/>
    <xf numFmtId="0" fontId="24" fillId="0" borderId="0" xfId="0" applyFont="1"/>
    <xf numFmtId="0" fontId="24" fillId="4" borderId="0" xfId="0" applyFont="1" applyFill="1"/>
    <xf numFmtId="167" fontId="0" fillId="5" borderId="45" xfId="0" applyNumberFormat="1" applyFill="1" applyBorder="1" applyAlignment="1" applyProtection="1">
      <alignment horizontal="center" vertical="center"/>
      <protection hidden="1"/>
    </xf>
    <xf numFmtId="49" fontId="0" fillId="3" borderId="8" xfId="0" applyNumberFormat="1" applyFill="1" applyBorder="1" applyAlignment="1">
      <alignment horizontal="center"/>
    </xf>
    <xf numFmtId="49" fontId="0" fillId="3" borderId="9" xfId="0" applyNumberFormat="1" applyFill="1" applyBorder="1" applyAlignment="1">
      <alignment horizontal="center"/>
    </xf>
    <xf numFmtId="49" fontId="0" fillId="3" borderId="86" xfId="0" applyNumberFormat="1" applyFill="1" applyBorder="1" applyAlignment="1">
      <alignment horizontal="center"/>
    </xf>
    <xf numFmtId="49" fontId="0" fillId="3" borderId="68" xfId="0" applyNumberFormat="1" applyFill="1" applyBorder="1" applyAlignment="1" applyProtection="1">
      <alignment horizontal="center" vertical="center" wrapText="1"/>
      <protection hidden="1"/>
    </xf>
    <xf numFmtId="49" fontId="0" fillId="3" borderId="64" xfId="0" applyNumberFormat="1" applyFill="1" applyBorder="1" applyAlignment="1" applyProtection="1">
      <alignment horizontal="center" vertical="center" wrapText="1"/>
      <protection hidden="1"/>
    </xf>
    <xf numFmtId="49" fontId="0" fillId="3" borderId="87" xfId="0" applyNumberFormat="1" applyFill="1" applyBorder="1" applyAlignment="1" applyProtection="1">
      <alignment horizontal="center" vertical="center" wrapText="1"/>
      <protection hidden="1"/>
    </xf>
    <xf numFmtId="0" fontId="3" fillId="6" borderId="62" xfId="0" applyFont="1" applyFill="1" applyBorder="1" applyAlignment="1">
      <alignment horizontal="center" vertical="center"/>
    </xf>
    <xf numFmtId="0" fontId="0" fillId="6" borderId="25" xfId="0" applyFill="1" applyBorder="1" applyAlignment="1">
      <alignment vertical="center"/>
    </xf>
    <xf numFmtId="0" fontId="3" fillId="6" borderId="25" xfId="0" applyFont="1" applyFill="1" applyBorder="1" applyAlignment="1">
      <alignment horizontal="center" vertical="center"/>
    </xf>
    <xf numFmtId="0" fontId="0" fillId="6" borderId="25" xfId="0" applyFill="1" applyBorder="1" applyAlignment="1">
      <alignment horizontal="center" vertical="center"/>
    </xf>
    <xf numFmtId="0" fontId="50" fillId="6" borderId="25" xfId="0" applyFont="1" applyFill="1" applyBorder="1" applyAlignment="1">
      <alignment horizontal="left" vertical="center"/>
    </xf>
    <xf numFmtId="0" fontId="0" fillId="6" borderId="59" xfId="0" applyFill="1" applyBorder="1" applyAlignment="1">
      <alignment horizontal="center" vertical="center"/>
    </xf>
    <xf numFmtId="1" fontId="0" fillId="3" borderId="60" xfId="0" applyNumberFormat="1" applyFill="1" applyBorder="1" applyAlignment="1">
      <alignment horizontal="center" vertical="center"/>
    </xf>
    <xf numFmtId="167" fontId="0" fillId="5" borderId="20" xfId="0" applyNumberFormat="1" applyFill="1" applyBorder="1" applyAlignment="1">
      <alignment horizontal="center" vertical="center"/>
    </xf>
    <xf numFmtId="0" fontId="5" fillId="3" borderId="0" xfId="0" applyFont="1" applyFill="1"/>
    <xf numFmtId="0" fontId="6" fillId="5" borderId="67" xfId="0" applyFont="1" applyFill="1" applyBorder="1" applyAlignment="1">
      <alignment horizontal="center" vertical="center" wrapText="1"/>
    </xf>
    <xf numFmtId="0" fontId="0" fillId="0" borderId="4" xfId="0" applyBorder="1"/>
    <xf numFmtId="0" fontId="13" fillId="6" borderId="58" xfId="0" applyFont="1" applyFill="1" applyBorder="1" applyAlignment="1">
      <alignment horizontal="left" vertical="center"/>
    </xf>
    <xf numFmtId="0" fontId="13" fillId="6" borderId="2" xfId="0" applyFont="1" applyFill="1" applyBorder="1" applyAlignment="1">
      <alignment vertical="center"/>
    </xf>
    <xf numFmtId="0" fontId="0" fillId="2" borderId="22" xfId="0" applyFill="1" applyBorder="1"/>
    <xf numFmtId="0" fontId="37" fillId="8" borderId="0" xfId="0" applyFont="1" applyFill="1" applyBorder="1" applyAlignment="1">
      <alignment vertical="center"/>
    </xf>
    <xf numFmtId="0" fontId="6" fillId="3" borderId="35" xfId="0" applyFont="1" applyFill="1" applyBorder="1" applyAlignment="1">
      <alignment horizontal="center"/>
    </xf>
    <xf numFmtId="1" fontId="75" fillId="3" borderId="92" xfId="0" applyNumberFormat="1" applyFont="1" applyFill="1" applyBorder="1" applyAlignment="1">
      <alignment horizontal="center" vertical="center" wrapText="1"/>
    </xf>
    <xf numFmtId="49" fontId="0" fillId="3" borderId="26" xfId="0" applyNumberFormat="1" applyFill="1" applyBorder="1" applyAlignment="1">
      <alignment horizontal="center"/>
    </xf>
    <xf numFmtId="167" fontId="0" fillId="5" borderId="93" xfId="0" applyNumberFormat="1" applyFill="1" applyBorder="1" applyAlignment="1" applyProtection="1">
      <alignment horizontal="center" vertical="center"/>
      <protection hidden="1"/>
    </xf>
    <xf numFmtId="0" fontId="0" fillId="6" borderId="0" xfId="0" applyFill="1" applyBorder="1"/>
    <xf numFmtId="0" fontId="3" fillId="6" borderId="0" xfId="0" applyFont="1" applyFill="1" applyBorder="1" applyAlignment="1" applyProtection="1">
      <alignment horizontal="left" vertical="center"/>
      <protection hidden="1"/>
    </xf>
    <xf numFmtId="0" fontId="0" fillId="6" borderId="0" xfId="0" applyFill="1" applyBorder="1" applyAlignment="1" applyProtection="1">
      <alignment horizontal="center" vertical="center"/>
      <protection hidden="1"/>
    </xf>
    <xf numFmtId="0" fontId="0" fillId="6" borderId="5" xfId="0" applyFill="1" applyBorder="1"/>
    <xf numFmtId="1" fontId="75" fillId="3" borderId="2" xfId="0" applyNumberFormat="1" applyFont="1" applyFill="1" applyBorder="1" applyAlignment="1">
      <alignment horizontal="center" vertical="center" wrapText="1"/>
    </xf>
    <xf numFmtId="0" fontId="0" fillId="2" borderId="0" xfId="0" applyFill="1" applyAlignment="1">
      <alignment horizontal="left"/>
    </xf>
    <xf numFmtId="167" fontId="0" fillId="5" borderId="94" xfId="0" applyNumberFormat="1" applyFill="1" applyBorder="1" applyAlignment="1">
      <alignment horizontal="center" vertical="center"/>
    </xf>
    <xf numFmtId="0" fontId="9" fillId="3" borderId="6" xfId="0" applyFont="1" applyFill="1" applyBorder="1" applyAlignment="1">
      <alignment horizontal="center" vertical="center" wrapText="1"/>
    </xf>
    <xf numFmtId="0" fontId="9" fillId="3" borderId="95" xfId="0" applyFont="1" applyFill="1" applyBorder="1" applyAlignment="1">
      <alignment horizontal="center" vertical="center" wrapText="1"/>
    </xf>
    <xf numFmtId="0" fontId="0" fillId="3" borderId="41" xfId="0" applyFill="1" applyBorder="1" applyAlignment="1">
      <alignment horizontal="center" vertical="justify" wrapText="1"/>
    </xf>
    <xf numFmtId="0" fontId="7" fillId="8" borderId="5" xfId="0" applyFont="1" applyFill="1" applyBorder="1" applyAlignment="1">
      <alignment vertical="center"/>
    </xf>
    <xf numFmtId="167" fontId="0" fillId="5" borderId="96" xfId="0" applyNumberFormat="1" applyFill="1" applyBorder="1" applyAlignment="1">
      <alignment horizontal="center" vertical="center"/>
    </xf>
    <xf numFmtId="167" fontId="3" fillId="5" borderId="96" xfId="0" applyNumberFormat="1" applyFont="1" applyFill="1" applyBorder="1" applyAlignment="1">
      <alignment horizontal="center" vertical="center"/>
    </xf>
    <xf numFmtId="167" fontId="0" fillId="5" borderId="97" xfId="0" applyNumberFormat="1" applyFill="1" applyBorder="1" applyAlignment="1">
      <alignment horizontal="center" vertical="center"/>
    </xf>
    <xf numFmtId="166" fontId="0" fillId="5" borderId="98" xfId="0" applyNumberFormat="1" applyFill="1" applyBorder="1" applyAlignment="1">
      <alignment horizontal="center" vertical="center"/>
    </xf>
    <xf numFmtId="166" fontId="0" fillId="5" borderId="99" xfId="0" applyNumberFormat="1" applyFill="1" applyBorder="1" applyAlignment="1">
      <alignment horizontal="center"/>
    </xf>
    <xf numFmtId="0" fontId="75" fillId="3" borderId="92" xfId="0" applyNumberFormat="1" applyFont="1" applyFill="1" applyBorder="1" applyAlignment="1">
      <alignment horizontal="center" vertical="center" wrapText="1"/>
    </xf>
    <xf numFmtId="0" fontId="0" fillId="2" borderId="0" xfId="0" applyFill="1" applyBorder="1" applyAlignment="1">
      <alignment vertical="center"/>
    </xf>
    <xf numFmtId="1" fontId="75" fillId="3" borderId="41" xfId="0" applyNumberFormat="1" applyFont="1" applyFill="1" applyBorder="1" applyAlignment="1">
      <alignment horizontal="center" vertical="center" wrapText="1"/>
    </xf>
    <xf numFmtId="1" fontId="0" fillId="3" borderId="2" xfId="0" applyNumberFormat="1" applyFill="1" applyBorder="1" applyAlignment="1">
      <alignment horizontal="center" vertical="center" wrapText="1"/>
    </xf>
    <xf numFmtId="1" fontId="74" fillId="5" borderId="92" xfId="0" applyNumberFormat="1" applyFont="1" applyFill="1" applyBorder="1" applyAlignment="1">
      <alignment horizontal="center" vertical="center"/>
    </xf>
    <xf numFmtId="166" fontId="0" fillId="5" borderId="42" xfId="2" applyNumberFormat="1" applyFont="1" applyFill="1" applyBorder="1" applyAlignment="1">
      <alignment horizontal="center" vertical="center"/>
    </xf>
    <xf numFmtId="166" fontId="0" fillId="5" borderId="0" xfId="2" applyNumberFormat="1" applyFont="1" applyFill="1" applyBorder="1" applyAlignment="1">
      <alignment horizontal="center" vertical="center"/>
    </xf>
    <xf numFmtId="166" fontId="0" fillId="5" borderId="5" xfId="2" applyNumberFormat="1" applyFont="1" applyFill="1" applyBorder="1" applyAlignment="1">
      <alignment horizontal="center" vertical="center"/>
    </xf>
    <xf numFmtId="166" fontId="0" fillId="5" borderId="22" xfId="2" applyNumberFormat="1" applyFont="1" applyFill="1" applyBorder="1" applyAlignment="1">
      <alignment horizontal="center" vertical="center"/>
    </xf>
    <xf numFmtId="166" fontId="0" fillId="5" borderId="70" xfId="2" applyNumberFormat="1" applyFont="1" applyFill="1" applyBorder="1" applyAlignment="1">
      <alignment horizontal="center" vertical="center"/>
    </xf>
    <xf numFmtId="0" fontId="5" fillId="6" borderId="62" xfId="0" applyFont="1" applyFill="1" applyBorder="1" applyAlignment="1">
      <alignment horizontal="left" vertical="center"/>
    </xf>
    <xf numFmtId="1" fontId="74" fillId="5" borderId="41" xfId="0" applyNumberFormat="1" applyFont="1" applyFill="1" applyBorder="1" applyAlignment="1">
      <alignment horizontal="center" vertical="center"/>
    </xf>
    <xf numFmtId="166" fontId="0" fillId="5" borderId="38" xfId="2" applyNumberFormat="1" applyFont="1" applyFill="1" applyBorder="1" applyAlignment="1">
      <alignment horizontal="center" vertical="center"/>
    </xf>
    <xf numFmtId="0" fontId="0" fillId="3" borderId="2" xfId="0" applyFill="1" applyBorder="1" applyAlignment="1">
      <alignment horizontal="center" vertical="center" wrapText="1"/>
    </xf>
    <xf numFmtId="167" fontId="0" fillId="5" borderId="44" xfId="0" applyNumberFormat="1" applyFill="1" applyBorder="1" applyAlignment="1" applyProtection="1">
      <alignment horizontal="center" vertical="center"/>
      <protection hidden="1"/>
    </xf>
    <xf numFmtId="166" fontId="0" fillId="5" borderId="44" xfId="2" applyNumberFormat="1" applyFont="1" applyFill="1" applyBorder="1" applyAlignment="1">
      <alignment horizontal="center" vertical="center"/>
    </xf>
    <xf numFmtId="0" fontId="81" fillId="0" borderId="0" xfId="0" applyNumberFormat="1" applyFont="1" applyFill="1" applyBorder="1" applyAlignment="1">
      <alignment horizontal="center" vertical="center"/>
    </xf>
    <xf numFmtId="0" fontId="81" fillId="0" borderId="12" xfId="0" applyNumberFormat="1" applyFont="1" applyFill="1" applyBorder="1" applyAlignment="1">
      <alignment horizontal="center" vertical="center"/>
    </xf>
    <xf numFmtId="0" fontId="4" fillId="5" borderId="100" xfId="0" applyFont="1" applyFill="1" applyBorder="1" applyAlignment="1">
      <alignment horizontal="center" vertical="center"/>
    </xf>
    <xf numFmtId="0" fontId="2" fillId="0" borderId="25" xfId="0" applyNumberFormat="1" applyFont="1" applyBorder="1" applyAlignment="1">
      <alignment horizontal="center" vertical="center"/>
    </xf>
    <xf numFmtId="0" fontId="2" fillId="0" borderId="1" xfId="0" applyNumberFormat="1" applyFont="1" applyBorder="1" applyAlignment="1">
      <alignment horizontal="center" vertical="center"/>
    </xf>
    <xf numFmtId="0" fontId="82" fillId="5" borderId="44" xfId="0" applyFont="1" applyFill="1" applyBorder="1" applyAlignment="1">
      <alignment horizontal="center" vertical="center"/>
    </xf>
    <xf numFmtId="0" fontId="83" fillId="5" borderId="22" xfId="0" applyFont="1" applyFill="1" applyBorder="1" applyAlignment="1">
      <alignment horizontal="left" vertical="center"/>
    </xf>
    <xf numFmtId="0" fontId="84" fillId="5" borderId="22" xfId="0" applyFont="1" applyFill="1" applyBorder="1" applyAlignment="1">
      <alignment horizontal="center" vertical="center"/>
    </xf>
    <xf numFmtId="0" fontId="83" fillId="5" borderId="22" xfId="0" applyFont="1" applyFill="1" applyBorder="1" applyAlignment="1">
      <alignment horizontal="center" vertical="center"/>
    </xf>
    <xf numFmtId="0" fontId="85" fillId="5" borderId="22" xfId="0" applyFont="1" applyFill="1" applyBorder="1" applyAlignment="1">
      <alignment vertical="center"/>
    </xf>
    <xf numFmtId="1" fontId="74" fillId="7" borderId="92" xfId="0" applyNumberFormat="1" applyFont="1" applyFill="1" applyBorder="1" applyAlignment="1">
      <alignment horizontal="center" vertical="center"/>
    </xf>
    <xf numFmtId="166" fontId="0" fillId="7" borderId="0" xfId="2" applyNumberFormat="1" applyFont="1" applyFill="1" applyBorder="1" applyAlignment="1">
      <alignment horizontal="center" vertical="center"/>
    </xf>
    <xf numFmtId="166" fontId="0" fillId="7" borderId="39" xfId="2" applyNumberFormat="1" applyFont="1" applyFill="1" applyBorder="1" applyAlignment="1">
      <alignment horizontal="center" vertical="center"/>
    </xf>
    <xf numFmtId="166" fontId="0" fillId="7" borderId="12" xfId="2" applyNumberFormat="1" applyFont="1" applyFill="1" applyBorder="1" applyAlignment="1">
      <alignment horizontal="center" vertical="center"/>
    </xf>
    <xf numFmtId="166" fontId="0" fillId="7" borderId="2" xfId="2" applyNumberFormat="1" applyFont="1" applyFill="1" applyBorder="1" applyAlignment="1">
      <alignment horizontal="center" vertical="center"/>
    </xf>
    <xf numFmtId="166" fontId="0" fillId="7" borderId="37" xfId="2" applyNumberFormat="1" applyFont="1" applyFill="1" applyBorder="1" applyAlignment="1">
      <alignment horizontal="center" vertical="center"/>
    </xf>
    <xf numFmtId="1" fontId="75" fillId="7" borderId="92" xfId="0" applyNumberFormat="1" applyFont="1" applyFill="1" applyBorder="1" applyAlignment="1">
      <alignment horizontal="center" vertical="center" wrapText="1"/>
    </xf>
    <xf numFmtId="166" fontId="0" fillId="7" borderId="44" xfId="2" applyNumberFormat="1" applyFont="1" applyFill="1" applyBorder="1" applyAlignment="1">
      <alignment horizontal="center" vertical="center"/>
    </xf>
    <xf numFmtId="166" fontId="0" fillId="7" borderId="22" xfId="2" applyNumberFormat="1" applyFont="1" applyFill="1" applyBorder="1" applyAlignment="1">
      <alignment horizontal="center" vertical="center"/>
    </xf>
    <xf numFmtId="166" fontId="0" fillId="7" borderId="101" xfId="2" applyNumberFormat="1" applyFont="1" applyFill="1" applyBorder="1" applyAlignment="1">
      <alignment horizontal="center" vertical="center"/>
    </xf>
    <xf numFmtId="0" fontId="0" fillId="7" borderId="63" xfId="0" applyNumberFormat="1" applyFill="1" applyBorder="1" applyAlignment="1">
      <alignment horizontal="center" vertical="center"/>
    </xf>
    <xf numFmtId="166" fontId="0" fillId="7" borderId="20" xfId="0" applyNumberFormat="1" applyFill="1" applyBorder="1" applyAlignment="1">
      <alignment horizontal="center" vertical="center"/>
    </xf>
    <xf numFmtId="0" fontId="0" fillId="7" borderId="68" xfId="0" applyFill="1" applyBorder="1" applyAlignment="1">
      <alignment horizontal="center" vertical="center" wrapText="1"/>
    </xf>
    <xf numFmtId="0" fontId="0" fillId="7" borderId="64" xfId="0" applyFill="1" applyBorder="1" applyAlignment="1">
      <alignment horizontal="center" vertical="center" wrapText="1"/>
    </xf>
    <xf numFmtId="0" fontId="0" fillId="7" borderId="69" xfId="0" applyFill="1" applyBorder="1" applyAlignment="1">
      <alignment horizontal="center" vertical="center" wrapText="1"/>
    </xf>
    <xf numFmtId="0" fontId="9" fillId="7" borderId="40" xfId="0" applyNumberFormat="1" applyFont="1" applyFill="1" applyBorder="1" applyAlignment="1">
      <alignment horizontal="center" vertical="center"/>
    </xf>
    <xf numFmtId="0" fontId="9" fillId="7" borderId="16" xfId="0" applyNumberFormat="1" applyFont="1" applyFill="1" applyBorder="1" applyAlignment="1">
      <alignment horizontal="center" vertical="center"/>
    </xf>
    <xf numFmtId="0" fontId="0" fillId="6" borderId="102" xfId="0" applyFill="1" applyBorder="1" applyAlignment="1" applyProtection="1">
      <alignment horizontal="left" vertical="center"/>
      <protection hidden="1"/>
    </xf>
    <xf numFmtId="0" fontId="0" fillId="6" borderId="5" xfId="0" applyFill="1" applyBorder="1" applyAlignment="1" applyProtection="1">
      <alignment horizontal="center" vertical="center"/>
      <protection hidden="1"/>
    </xf>
    <xf numFmtId="0" fontId="18" fillId="6" borderId="74" xfId="0" applyFont="1" applyFill="1" applyBorder="1" applyAlignment="1">
      <alignment vertical="center"/>
    </xf>
    <xf numFmtId="0" fontId="68" fillId="6" borderId="0" xfId="0" applyFont="1" applyFill="1" applyBorder="1" applyAlignment="1">
      <alignment vertical="center"/>
    </xf>
    <xf numFmtId="0" fontId="18" fillId="6" borderId="0" xfId="0" applyFont="1" applyFill="1" applyBorder="1" applyAlignment="1">
      <alignment vertical="center"/>
    </xf>
    <xf numFmtId="0" fontId="46" fillId="5" borderId="4" xfId="0" applyNumberFormat="1" applyFont="1" applyFill="1" applyBorder="1" applyAlignment="1">
      <alignment horizontal="center"/>
    </xf>
    <xf numFmtId="0" fontId="13" fillId="5" borderId="0" xfId="0" applyNumberFormat="1" applyFont="1" applyFill="1" applyBorder="1" applyAlignment="1">
      <alignment horizontal="center"/>
    </xf>
    <xf numFmtId="0" fontId="46" fillId="5" borderId="5" xfId="0" applyNumberFormat="1" applyFont="1" applyFill="1" applyBorder="1" applyAlignment="1">
      <alignment horizontal="center"/>
    </xf>
    <xf numFmtId="0" fontId="0" fillId="6" borderId="4" xfId="0" applyNumberFormat="1" applyFill="1" applyBorder="1"/>
    <xf numFmtId="0" fontId="0" fillId="6" borderId="0" xfId="0" applyNumberFormat="1" applyFill="1" applyBorder="1"/>
    <xf numFmtId="0" fontId="0" fillId="6" borderId="5" xfId="0" applyNumberFormat="1" applyFill="1" applyBorder="1"/>
    <xf numFmtId="0" fontId="46" fillId="6" borderId="4" xfId="0" applyNumberFormat="1" applyFont="1" applyFill="1" applyBorder="1"/>
    <xf numFmtId="0" fontId="46" fillId="6" borderId="0" xfId="0" applyNumberFormat="1" applyFont="1" applyFill="1" applyBorder="1"/>
    <xf numFmtId="0" fontId="46" fillId="6" borderId="5" xfId="0" applyNumberFormat="1" applyFont="1" applyFill="1" applyBorder="1"/>
    <xf numFmtId="0" fontId="46" fillId="3" borderId="4" xfId="0" applyNumberFormat="1" applyFont="1" applyFill="1" applyBorder="1"/>
    <xf numFmtId="0" fontId="46" fillId="3" borderId="0" xfId="0" applyNumberFormat="1" applyFont="1" applyFill="1" applyBorder="1"/>
    <xf numFmtId="0" fontId="46" fillId="3" borderId="5" xfId="0" applyNumberFormat="1" applyFont="1" applyFill="1" applyBorder="1"/>
    <xf numFmtId="0" fontId="0" fillId="3" borderId="4" xfId="0" applyNumberFormat="1" applyFill="1" applyBorder="1"/>
    <xf numFmtId="0" fontId="18" fillId="3" borderId="0" xfId="0" applyNumberFormat="1" applyFont="1" applyFill="1" applyBorder="1" applyAlignment="1">
      <alignment horizontal="center"/>
    </xf>
    <xf numFmtId="0" fontId="0" fillId="3" borderId="5" xfId="0" applyNumberFormat="1" applyFill="1" applyBorder="1" applyAlignment="1">
      <alignment horizontal="center"/>
    </xf>
    <xf numFmtId="0" fontId="0" fillId="3" borderId="46" xfId="0" applyFill="1" applyBorder="1" applyAlignment="1">
      <alignment horizontal="center" vertical="center"/>
    </xf>
    <xf numFmtId="166" fontId="0" fillId="7" borderId="103" xfId="0" applyNumberFormat="1" applyFill="1" applyBorder="1" applyAlignment="1">
      <alignment horizontal="center" vertical="center"/>
    </xf>
    <xf numFmtId="0" fontId="3" fillId="6" borderId="55" xfId="0" applyFont="1" applyFill="1" applyBorder="1" applyAlignment="1">
      <alignment horizontal="left" vertical="center"/>
    </xf>
    <xf numFmtId="166" fontId="0" fillId="6" borderId="104" xfId="0" applyNumberFormat="1" applyFill="1" applyBorder="1" applyAlignment="1">
      <alignment horizontal="center" vertical="center"/>
    </xf>
    <xf numFmtId="0" fontId="5" fillId="6" borderId="58" xfId="0" applyFont="1" applyFill="1" applyBorder="1" applyAlignment="1">
      <alignment horizontal="left" vertical="center"/>
    </xf>
    <xf numFmtId="166" fontId="0" fillId="6" borderId="57" xfId="0" applyNumberFormat="1" applyFill="1" applyBorder="1" applyAlignment="1">
      <alignment horizontal="center" vertical="center"/>
    </xf>
    <xf numFmtId="0" fontId="87" fillId="5" borderId="62" xfId="0" applyFont="1" applyFill="1" applyBorder="1" applyAlignment="1">
      <alignment horizontal="center" vertical="center"/>
    </xf>
    <xf numFmtId="0" fontId="80" fillId="7" borderId="62" xfId="0" applyFont="1" applyFill="1" applyBorder="1" applyAlignment="1">
      <alignment horizontal="center" vertical="center"/>
    </xf>
    <xf numFmtId="0" fontId="80" fillId="7" borderId="1" xfId="0" applyFont="1" applyFill="1" applyBorder="1" applyAlignment="1">
      <alignment horizontal="center" vertical="center"/>
    </xf>
    <xf numFmtId="0" fontId="5" fillId="6" borderId="25" xfId="0" applyFont="1" applyFill="1" applyBorder="1" applyAlignment="1">
      <alignment horizontal="left" vertical="center"/>
    </xf>
    <xf numFmtId="0" fontId="0" fillId="6" borderId="2" xfId="0" applyFill="1" applyBorder="1" applyAlignment="1" applyProtection="1">
      <alignment horizontal="center" vertical="center"/>
      <protection hidden="1"/>
    </xf>
    <xf numFmtId="0" fontId="3" fillId="6" borderId="2" xfId="0" applyFont="1" applyFill="1" applyBorder="1" applyAlignment="1" applyProtection="1">
      <alignment horizontal="left" vertical="center"/>
      <protection hidden="1"/>
    </xf>
    <xf numFmtId="0" fontId="0" fillId="6" borderId="57" xfId="0" applyFill="1" applyBorder="1" applyAlignment="1" applyProtection="1">
      <alignment horizontal="center"/>
      <protection hidden="1"/>
    </xf>
    <xf numFmtId="0" fontId="0" fillId="7" borderId="67" xfId="0" applyFill="1" applyBorder="1" applyAlignment="1">
      <alignment horizontal="center" vertical="center" wrapText="1"/>
    </xf>
    <xf numFmtId="0" fontId="9" fillId="7" borderId="92" xfId="0" applyNumberFormat="1" applyFont="1" applyFill="1" applyBorder="1" applyAlignment="1">
      <alignment horizontal="center" vertical="center"/>
    </xf>
    <xf numFmtId="0" fontId="0" fillId="7" borderId="20" xfId="0" applyNumberFormat="1" applyFill="1" applyBorder="1" applyAlignment="1">
      <alignment horizontal="center" vertical="center"/>
    </xf>
    <xf numFmtId="0" fontId="0" fillId="6" borderId="4" xfId="0" applyFill="1" applyBorder="1" applyAlignment="1" applyProtection="1">
      <alignment horizontal="left" vertical="center"/>
      <protection hidden="1"/>
    </xf>
    <xf numFmtId="49" fontId="53" fillId="3" borderId="105" xfId="0" applyNumberFormat="1" applyFont="1" applyFill="1" applyBorder="1" applyAlignment="1">
      <alignment horizontal="center"/>
    </xf>
    <xf numFmtId="49" fontId="53" fillId="3" borderId="9" xfId="0" applyNumberFormat="1" applyFont="1" applyFill="1" applyBorder="1" applyAlignment="1">
      <alignment horizontal="center"/>
    </xf>
    <xf numFmtId="49" fontId="53" fillId="3" borderId="26" xfId="0" applyNumberFormat="1" applyFont="1" applyFill="1" applyBorder="1" applyAlignment="1">
      <alignment horizontal="center"/>
    </xf>
    <xf numFmtId="0" fontId="88" fillId="6" borderId="0" xfId="0" applyFont="1" applyFill="1" applyBorder="1" applyAlignment="1" applyProtection="1">
      <alignment horizontal="left" vertical="center"/>
      <protection hidden="1"/>
    </xf>
    <xf numFmtId="0" fontId="87" fillId="3" borderId="25" xfId="0" applyFont="1" applyFill="1" applyBorder="1" applyAlignment="1">
      <alignment horizontal="center" vertical="center"/>
    </xf>
    <xf numFmtId="0" fontId="80" fillId="4" borderId="62" xfId="0" applyFont="1" applyFill="1" applyBorder="1" applyAlignment="1">
      <alignment horizontal="center" vertical="center"/>
    </xf>
    <xf numFmtId="0" fontId="80" fillId="4" borderId="1" xfId="0" applyFont="1" applyFill="1" applyBorder="1" applyAlignment="1">
      <alignment horizontal="center" vertical="center"/>
    </xf>
    <xf numFmtId="0" fontId="80" fillId="5" borderId="2" xfId="0" applyFont="1" applyFill="1" applyBorder="1" applyAlignment="1"/>
    <xf numFmtId="0" fontId="80" fillId="5" borderId="37" xfId="0" applyFont="1" applyFill="1" applyBorder="1"/>
    <xf numFmtId="0" fontId="80" fillId="5" borderId="25" xfId="0" applyFont="1" applyFill="1" applyBorder="1" applyAlignment="1"/>
    <xf numFmtId="0" fontId="80" fillId="5" borderId="36" xfId="0" applyFont="1" applyFill="1" applyBorder="1"/>
    <xf numFmtId="0" fontId="80" fillId="5" borderId="1" xfId="0" applyFont="1" applyFill="1" applyBorder="1"/>
    <xf numFmtId="166" fontId="0" fillId="3" borderId="2" xfId="0" applyNumberFormat="1" applyFill="1" applyBorder="1" applyAlignment="1">
      <alignment horizontal="center" vertical="center" wrapText="1"/>
    </xf>
    <xf numFmtId="166" fontId="3" fillId="3" borderId="2" xfId="0" applyNumberFormat="1" applyFont="1" applyFill="1" applyBorder="1" applyAlignment="1">
      <alignment horizontal="center" vertical="center" wrapText="1"/>
    </xf>
    <xf numFmtId="0" fontId="3" fillId="3" borderId="2" xfId="0" applyFont="1" applyFill="1" applyBorder="1" applyAlignment="1">
      <alignment horizontal="center" vertical="center" wrapText="1"/>
    </xf>
    <xf numFmtId="0" fontId="13" fillId="6" borderId="4" xfId="0" applyFont="1" applyFill="1" applyBorder="1" applyAlignment="1">
      <alignment horizontal="left" vertical="center"/>
    </xf>
    <xf numFmtId="0" fontId="80" fillId="2" borderId="0" xfId="0" applyFont="1" applyFill="1" applyAlignment="1">
      <alignment vertical="center"/>
    </xf>
    <xf numFmtId="0" fontId="0" fillId="3" borderId="16" xfId="0" applyFill="1" applyBorder="1" applyAlignment="1">
      <alignment horizontal="center" vertical="center" wrapText="1"/>
    </xf>
    <xf numFmtId="0" fontId="13" fillId="6" borderId="106" xfId="0" applyFont="1" applyFill="1" applyBorder="1" applyAlignment="1">
      <alignment horizontal="left" vertical="center"/>
    </xf>
    <xf numFmtId="0" fontId="13" fillId="6" borderId="4" xfId="0" applyFont="1" applyFill="1" applyBorder="1" applyAlignment="1" applyProtection="1">
      <alignment horizontal="left" vertical="center"/>
      <protection hidden="1"/>
    </xf>
    <xf numFmtId="0" fontId="92" fillId="2" borderId="0" xfId="1" applyFont="1" applyFill="1" applyAlignment="1" applyProtection="1"/>
    <xf numFmtId="0" fontId="93" fillId="2" borderId="0" xfId="1" applyFont="1" applyFill="1" applyAlignment="1" applyProtection="1"/>
    <xf numFmtId="0" fontId="88" fillId="2" borderId="0" xfId="0" applyFont="1" applyFill="1"/>
    <xf numFmtId="0" fontId="94" fillId="2" borderId="0" xfId="0" applyFont="1" applyFill="1"/>
    <xf numFmtId="0" fontId="88" fillId="5" borderId="0" xfId="0" applyFont="1" applyFill="1"/>
    <xf numFmtId="0" fontId="88" fillId="3" borderId="0" xfId="0" applyFont="1" applyFill="1"/>
    <xf numFmtId="0" fontId="24" fillId="3" borderId="0" xfId="0" applyFont="1" applyFill="1" applyAlignment="1">
      <alignment horizontal="left"/>
    </xf>
    <xf numFmtId="0" fontId="88" fillId="6" borderId="0" xfId="0" applyFont="1" applyFill="1"/>
    <xf numFmtId="49" fontId="17" fillId="4" borderId="0" xfId="0" applyNumberFormat="1" applyFont="1" applyFill="1"/>
    <xf numFmtId="0" fontId="88" fillId="4" borderId="0" xfId="0" applyFont="1" applyFill="1"/>
    <xf numFmtId="0" fontId="3" fillId="6" borderId="95" xfId="0" applyFont="1" applyFill="1" applyBorder="1" applyAlignment="1">
      <alignment horizontal="center" vertical="center" wrapText="1"/>
    </xf>
    <xf numFmtId="49" fontId="48" fillId="8" borderId="0" xfId="0" applyNumberFormat="1" applyFont="1" applyFill="1" applyBorder="1" applyAlignment="1">
      <alignment horizontal="left" vertical="center"/>
    </xf>
    <xf numFmtId="0" fontId="0" fillId="2" borderId="0" xfId="0" applyFill="1" applyBorder="1" applyAlignment="1">
      <alignment horizontal="left"/>
    </xf>
    <xf numFmtId="0" fontId="0" fillId="6" borderId="0" xfId="0" applyFill="1" applyAlignment="1">
      <alignment horizontal="center" vertical="center"/>
    </xf>
    <xf numFmtId="0" fontId="2" fillId="0" borderId="0" xfId="0" applyFont="1" applyAlignment="1">
      <alignment vertical="center"/>
    </xf>
    <xf numFmtId="0" fontId="0" fillId="6" borderId="0" xfId="0" applyFill="1" applyAlignment="1">
      <alignment horizontal="left" vertical="center"/>
    </xf>
    <xf numFmtId="0" fontId="3" fillId="6" borderId="0" xfId="0" applyFont="1" applyFill="1" applyAlignment="1">
      <alignment horizontal="left" vertical="center"/>
    </xf>
    <xf numFmtId="49" fontId="3" fillId="6" borderId="0" xfId="0" applyNumberFormat="1" applyFont="1" applyFill="1" applyBorder="1" applyAlignment="1">
      <alignment horizontal="center" vertical="center"/>
    </xf>
    <xf numFmtId="0" fontId="0" fillId="3" borderId="0" xfId="0" applyFill="1" applyBorder="1" applyAlignment="1">
      <alignment horizontal="center" wrapText="1"/>
    </xf>
    <xf numFmtId="0" fontId="2" fillId="3" borderId="0" xfId="0" applyNumberFormat="1" applyFont="1" applyFill="1" applyBorder="1" applyAlignment="1">
      <alignment horizontal="center"/>
    </xf>
    <xf numFmtId="0" fontId="0" fillId="6" borderId="2" xfId="0" applyFill="1" applyBorder="1" applyAlignment="1">
      <alignment horizontal="center"/>
    </xf>
    <xf numFmtId="49" fontId="0" fillId="6" borderId="2" xfId="0" applyNumberFormat="1" applyFill="1" applyBorder="1" applyAlignment="1">
      <alignment horizontal="left" vertical="center"/>
    </xf>
    <xf numFmtId="0" fontId="0" fillId="7" borderId="0" xfId="0" applyFill="1" applyAlignment="1">
      <alignment horizontal="center"/>
    </xf>
    <xf numFmtId="0" fontId="87" fillId="6" borderId="1" xfId="0" applyFont="1" applyFill="1" applyBorder="1" applyAlignment="1">
      <alignment horizontal="center" vertical="center"/>
    </xf>
    <xf numFmtId="0" fontId="2" fillId="0" borderId="0" xfId="0" applyFont="1" applyFill="1" applyAlignment="1">
      <alignment vertical="center"/>
    </xf>
    <xf numFmtId="0" fontId="0" fillId="0" borderId="0" xfId="0" applyFill="1" applyAlignment="1">
      <alignment vertical="center"/>
    </xf>
    <xf numFmtId="0" fontId="78" fillId="5" borderId="0" xfId="0" applyFont="1" applyFill="1" applyAlignment="1">
      <alignment horizontal="left" vertical="center"/>
    </xf>
    <xf numFmtId="0" fontId="0" fillId="5" borderId="0" xfId="0" applyFill="1" applyAlignment="1">
      <alignment horizontal="center" vertical="center"/>
    </xf>
    <xf numFmtId="0" fontId="0" fillId="5" borderId="0" xfId="0" applyFill="1" applyAlignment="1">
      <alignment horizontal="left"/>
    </xf>
    <xf numFmtId="0" fontId="5" fillId="5" borderId="0" xfId="0" applyFont="1" applyFill="1" applyAlignment="1">
      <alignment horizontal="left"/>
    </xf>
    <xf numFmtId="0" fontId="5" fillId="5" borderId="0" xfId="0" applyFont="1" applyFill="1" applyBorder="1" applyAlignment="1">
      <alignment horizontal="left"/>
    </xf>
    <xf numFmtId="0" fontId="0" fillId="5" borderId="0" xfId="0" applyFill="1" applyBorder="1" applyAlignment="1">
      <alignment horizontal="left"/>
    </xf>
    <xf numFmtId="0" fontId="0" fillId="5" borderId="2" xfId="0" applyFill="1" applyBorder="1" applyAlignment="1">
      <alignment horizontal="left"/>
    </xf>
    <xf numFmtId="0" fontId="0" fillId="5" borderId="2" xfId="0" applyFill="1" applyBorder="1" applyAlignment="1">
      <alignment horizontal="center"/>
    </xf>
    <xf numFmtId="0" fontId="0" fillId="7" borderId="0" xfId="0" applyNumberFormat="1" applyFill="1" applyAlignment="1">
      <alignment horizontal="center"/>
    </xf>
    <xf numFmtId="0" fontId="3" fillId="5" borderId="0" xfId="0" applyFont="1" applyFill="1" applyAlignment="1">
      <alignment horizontal="left" vertical="center"/>
    </xf>
    <xf numFmtId="0" fontId="13" fillId="6" borderId="2" xfId="0" applyFont="1" applyFill="1" applyBorder="1" applyAlignment="1">
      <alignment horizontal="left" vertical="center"/>
    </xf>
    <xf numFmtId="0" fontId="76" fillId="6" borderId="35" xfId="0" applyFont="1" applyFill="1" applyBorder="1" applyAlignment="1">
      <alignment horizontal="center"/>
    </xf>
    <xf numFmtId="0" fontId="46" fillId="6" borderId="49" xfId="0" applyFont="1" applyFill="1" applyBorder="1" applyAlignment="1">
      <alignment horizontal="center"/>
    </xf>
    <xf numFmtId="0" fontId="3" fillId="6" borderId="25" xfId="0" applyFont="1" applyFill="1" applyBorder="1" applyAlignment="1">
      <alignment horizontal="right" vertical="center"/>
    </xf>
    <xf numFmtId="0" fontId="0" fillId="3" borderId="107" xfId="0" applyFill="1" applyBorder="1"/>
    <xf numFmtId="0" fontId="0" fillId="3" borderId="36" xfId="0" applyFill="1" applyBorder="1"/>
    <xf numFmtId="0" fontId="0" fillId="3" borderId="108" xfId="0" applyFill="1" applyBorder="1" applyAlignment="1">
      <alignment horizontal="center"/>
    </xf>
    <xf numFmtId="0" fontId="0" fillId="3" borderId="37" xfId="0" applyFill="1" applyBorder="1" applyAlignment="1">
      <alignment horizontal="center"/>
    </xf>
    <xf numFmtId="0" fontId="48" fillId="8" borderId="0" xfId="0" applyFont="1" applyFill="1" applyAlignment="1">
      <alignment vertical="center"/>
    </xf>
    <xf numFmtId="0" fontId="3" fillId="6" borderId="52" xfId="0" applyFont="1" applyFill="1" applyBorder="1" applyAlignment="1">
      <alignment horizontal="center" vertical="center" wrapText="1"/>
    </xf>
    <xf numFmtId="166" fontId="0" fillId="5" borderId="20" xfId="2" applyNumberFormat="1" applyFont="1" applyFill="1" applyBorder="1" applyAlignment="1">
      <alignment horizontal="center" vertical="center"/>
    </xf>
    <xf numFmtId="166" fontId="0" fillId="5" borderId="93" xfId="2" applyNumberFormat="1" applyFont="1" applyFill="1" applyBorder="1" applyAlignment="1">
      <alignment horizontal="center" vertical="center"/>
    </xf>
    <xf numFmtId="0" fontId="0" fillId="2" borderId="0" xfId="0" applyFill="1" applyBorder="1" applyAlignment="1">
      <alignment horizontal="left" vertical="center"/>
    </xf>
    <xf numFmtId="0" fontId="3" fillId="2" borderId="4" xfId="0" applyFont="1" applyFill="1" applyBorder="1" applyAlignment="1">
      <alignment horizontal="left" vertical="center"/>
    </xf>
    <xf numFmtId="166" fontId="0" fillId="2" borderId="0" xfId="0" applyNumberFormat="1" applyFill="1" applyBorder="1" applyAlignment="1">
      <alignment horizontal="center" vertical="center"/>
    </xf>
    <xf numFmtId="0" fontId="6" fillId="5" borderId="92" xfId="0" applyNumberFormat="1" applyFont="1" applyFill="1" applyBorder="1" applyAlignment="1">
      <alignment horizontal="center" vertical="center" wrapText="1"/>
    </xf>
    <xf numFmtId="0" fontId="0" fillId="2" borderId="31" xfId="0" applyFill="1" applyBorder="1" applyAlignment="1">
      <alignment vertical="center"/>
    </xf>
    <xf numFmtId="167" fontId="0" fillId="2" borderId="31" xfId="0" applyNumberFormat="1" applyFill="1" applyBorder="1" applyAlignment="1">
      <alignment horizontal="center" vertical="center"/>
    </xf>
    <xf numFmtId="166" fontId="0" fillId="2" borderId="31" xfId="2" applyNumberFormat="1" applyFont="1" applyFill="1" applyBorder="1" applyAlignment="1">
      <alignment horizontal="center" vertical="center"/>
    </xf>
    <xf numFmtId="0" fontId="32" fillId="2" borderId="55" xfId="0" applyFont="1" applyFill="1" applyBorder="1"/>
    <xf numFmtId="0" fontId="0" fillId="2" borderId="31" xfId="0" applyFill="1" applyBorder="1" applyAlignment="1" applyProtection="1">
      <alignment vertical="center"/>
      <protection hidden="1"/>
    </xf>
    <xf numFmtId="0" fontId="0" fillId="2" borderId="55" xfId="0" applyFill="1" applyBorder="1" applyAlignment="1" applyProtection="1">
      <alignment vertical="center"/>
      <protection hidden="1"/>
    </xf>
    <xf numFmtId="0" fontId="3" fillId="3" borderId="110" xfId="0" applyFont="1" applyFill="1" applyBorder="1" applyAlignment="1">
      <alignment horizontal="center" vertical="center" wrapText="1"/>
    </xf>
    <xf numFmtId="0" fontId="0" fillId="3" borderId="111" xfId="0" applyFill="1" applyBorder="1" applyAlignment="1">
      <alignment horizontal="right" vertical="center"/>
    </xf>
    <xf numFmtId="0" fontId="0" fillId="3" borderId="112" xfId="0" applyFill="1" applyBorder="1" applyAlignment="1">
      <alignment horizontal="right" vertical="center"/>
    </xf>
    <xf numFmtId="0" fontId="3" fillId="6" borderId="113" xfId="0" applyFont="1" applyFill="1" applyBorder="1" applyAlignment="1">
      <alignment horizontal="center" vertical="center"/>
    </xf>
    <xf numFmtId="0" fontId="3" fillId="6" borderId="114" xfId="0" applyFont="1" applyFill="1" applyBorder="1" applyAlignment="1">
      <alignment horizontal="center" vertical="center"/>
    </xf>
    <xf numFmtId="0" fontId="3" fillId="6" borderId="115" xfId="0" applyFont="1" applyFill="1" applyBorder="1" applyAlignment="1">
      <alignment horizontal="center" vertical="center" wrapText="1"/>
    </xf>
    <xf numFmtId="0" fontId="3" fillId="6" borderId="116" xfId="0" applyFont="1" applyFill="1" applyBorder="1" applyAlignment="1">
      <alignment horizontal="left" vertical="center"/>
    </xf>
    <xf numFmtId="0" fontId="3" fillId="6" borderId="115" xfId="0" applyFont="1" applyFill="1" applyBorder="1" applyAlignment="1">
      <alignment vertical="center"/>
    </xf>
    <xf numFmtId="0" fontId="3" fillId="3" borderId="4" xfId="0" applyFont="1" applyFill="1" applyBorder="1" applyAlignment="1">
      <alignment horizontal="left" vertical="center"/>
    </xf>
    <xf numFmtId="0" fontId="83" fillId="3" borderId="35" xfId="0" applyFont="1" applyFill="1" applyBorder="1" applyAlignment="1">
      <alignment horizontal="center"/>
    </xf>
    <xf numFmtId="0" fontId="99" fillId="3" borderId="35" xfId="0" applyFont="1" applyFill="1" applyBorder="1" applyAlignment="1">
      <alignment horizontal="center"/>
    </xf>
    <xf numFmtId="0" fontId="100" fillId="3" borderId="35" xfId="0" applyFont="1" applyFill="1" applyBorder="1" applyAlignment="1">
      <alignment horizontal="center"/>
    </xf>
    <xf numFmtId="0" fontId="101" fillId="3" borderId="35" xfId="0" applyFont="1" applyFill="1" applyBorder="1" applyAlignment="1">
      <alignment horizontal="center"/>
    </xf>
    <xf numFmtId="0" fontId="102" fillId="3" borderId="35" xfId="0" applyFont="1" applyFill="1" applyBorder="1" applyAlignment="1">
      <alignment horizontal="center"/>
    </xf>
    <xf numFmtId="0" fontId="103" fillId="3" borderId="35" xfId="0" applyFont="1" applyFill="1" applyBorder="1" applyAlignment="1">
      <alignment horizontal="center"/>
    </xf>
    <xf numFmtId="0" fontId="104" fillId="3" borderId="35" xfId="0" applyFont="1" applyFill="1" applyBorder="1" applyAlignment="1">
      <alignment horizontal="center"/>
    </xf>
    <xf numFmtId="0" fontId="17" fillId="6" borderId="90" xfId="0" applyFont="1" applyFill="1" applyBorder="1" applyAlignment="1">
      <alignment horizontal="left" vertical="center"/>
    </xf>
    <xf numFmtId="0" fontId="3" fillId="6" borderId="0" xfId="0" applyFont="1" applyFill="1" applyBorder="1" applyAlignment="1" applyProtection="1">
      <alignment horizontal="center" vertical="center"/>
      <protection hidden="1"/>
    </xf>
    <xf numFmtId="0" fontId="0" fillId="3" borderId="5" xfId="0" applyFill="1" applyBorder="1" applyAlignment="1">
      <alignment horizontal="center"/>
    </xf>
    <xf numFmtId="0" fontId="0" fillId="3" borderId="31" xfId="0" applyFill="1" applyBorder="1" applyAlignment="1">
      <alignment vertical="center"/>
    </xf>
    <xf numFmtId="0" fontId="0" fillId="3" borderId="5" xfId="0" applyFill="1" applyBorder="1"/>
    <xf numFmtId="0" fontId="4" fillId="3" borderId="120" xfId="0" applyFont="1" applyFill="1" applyBorder="1" applyAlignment="1">
      <alignment horizontal="left" vertical="center"/>
    </xf>
    <xf numFmtId="0" fontId="4" fillId="3" borderId="42" xfId="0" applyFont="1" applyFill="1" applyBorder="1" applyAlignment="1">
      <alignment horizontal="left" vertical="center"/>
    </xf>
    <xf numFmtId="0" fontId="4" fillId="3" borderId="42" xfId="0" applyFont="1" applyFill="1" applyBorder="1" applyAlignment="1">
      <alignment vertical="center"/>
    </xf>
    <xf numFmtId="0" fontId="36" fillId="8" borderId="4" xfId="0" applyFont="1" applyFill="1" applyBorder="1" applyAlignment="1">
      <alignment vertical="center"/>
    </xf>
    <xf numFmtId="0" fontId="47" fillId="6" borderId="2" xfId="0" applyFont="1" applyFill="1" applyBorder="1" applyAlignment="1">
      <alignment horizontal="left" vertical="center"/>
    </xf>
    <xf numFmtId="0" fontId="37" fillId="8" borderId="5" xfId="0" applyFont="1" applyFill="1" applyBorder="1" applyAlignment="1">
      <alignment vertical="center"/>
    </xf>
    <xf numFmtId="0" fontId="13" fillId="6" borderId="102" xfId="0" applyFont="1" applyFill="1" applyBorder="1" applyAlignment="1" applyProtection="1">
      <alignment horizontal="left" vertical="center"/>
      <protection hidden="1"/>
    </xf>
    <xf numFmtId="0" fontId="0" fillId="6" borderId="0" xfId="0" applyFill="1" applyBorder="1" applyAlignment="1" applyProtection="1">
      <alignment horizontal="center"/>
      <protection hidden="1"/>
    </xf>
    <xf numFmtId="0" fontId="0" fillId="6" borderId="5" xfId="0" applyFill="1" applyBorder="1" applyAlignment="1" applyProtection="1">
      <alignment horizontal="center"/>
      <protection hidden="1"/>
    </xf>
    <xf numFmtId="0" fontId="36" fillId="8" borderId="0" xfId="0" applyFont="1" applyFill="1" applyBorder="1" applyAlignment="1">
      <alignment horizontal="left" vertical="center"/>
    </xf>
    <xf numFmtId="0" fontId="48" fillId="8" borderId="0" xfId="0" applyFont="1" applyFill="1" applyBorder="1" applyAlignment="1">
      <alignment horizontal="left" vertical="center"/>
    </xf>
    <xf numFmtId="165" fontId="37" fillId="8" borderId="0" xfId="0" applyNumberFormat="1" applyFont="1" applyFill="1" applyBorder="1" applyAlignment="1">
      <alignment horizontal="center" vertical="center"/>
    </xf>
    <xf numFmtId="0" fontId="37" fillId="8" borderId="0" xfId="0" applyFont="1" applyFill="1" applyBorder="1"/>
    <xf numFmtId="0" fontId="36" fillId="8" borderId="0" xfId="0" applyFont="1" applyFill="1" applyBorder="1"/>
    <xf numFmtId="0" fontId="10" fillId="8" borderId="0" xfId="0" applyFont="1" applyFill="1" applyBorder="1" applyAlignment="1">
      <alignment horizontal="left"/>
    </xf>
    <xf numFmtId="0" fontId="106" fillId="8" borderId="0" xfId="0" applyFont="1" applyFill="1" applyBorder="1" applyAlignment="1">
      <alignment vertical="center"/>
    </xf>
    <xf numFmtId="0" fontId="0" fillId="5" borderId="12" xfId="0" applyFill="1" applyBorder="1"/>
    <xf numFmtId="0" fontId="5" fillId="5" borderId="108" xfId="0" applyFont="1" applyFill="1" applyBorder="1"/>
    <xf numFmtId="0" fontId="0" fillId="5" borderId="2" xfId="0" applyFill="1" applyBorder="1"/>
    <xf numFmtId="0" fontId="0" fillId="5" borderId="37" xfId="0" applyFill="1" applyBorder="1"/>
    <xf numFmtId="0" fontId="3" fillId="6" borderId="107" xfId="0" applyFont="1" applyFill="1" applyBorder="1"/>
    <xf numFmtId="0" fontId="0" fillId="6" borderId="35" xfId="0" applyFill="1" applyBorder="1"/>
    <xf numFmtId="0" fontId="0" fillId="6" borderId="36" xfId="0" applyFill="1" applyBorder="1"/>
    <xf numFmtId="0" fontId="5" fillId="5" borderId="0" xfId="0" applyFont="1" applyFill="1" applyBorder="1" applyAlignment="1" applyProtection="1">
      <alignment horizontal="left"/>
      <protection hidden="1"/>
    </xf>
    <xf numFmtId="166" fontId="5" fillId="3" borderId="35" xfId="0" applyNumberFormat="1" applyFont="1" applyFill="1" applyBorder="1" applyAlignment="1">
      <alignment horizontal="center"/>
    </xf>
    <xf numFmtId="165" fontId="5" fillId="7" borderId="4" xfId="0" applyNumberFormat="1" applyFont="1" applyFill="1" applyBorder="1" applyAlignment="1">
      <alignment horizontal="center" vertical="center"/>
    </xf>
    <xf numFmtId="0" fontId="13" fillId="6" borderId="2" xfId="0" applyFont="1" applyFill="1" applyBorder="1" applyAlignment="1">
      <alignment horizontal="right" vertical="center"/>
    </xf>
    <xf numFmtId="11" fontId="0" fillId="5" borderId="0" xfId="0" applyNumberFormat="1" applyFill="1" applyBorder="1" applyAlignment="1" applyProtection="1">
      <alignment horizontal="center" vertical="center"/>
      <protection hidden="1"/>
    </xf>
    <xf numFmtId="11" fontId="0" fillId="5" borderId="35" xfId="0" applyNumberFormat="1" applyFill="1" applyBorder="1" applyAlignment="1" applyProtection="1">
      <alignment horizontal="center" vertical="center"/>
      <protection hidden="1"/>
    </xf>
    <xf numFmtId="11" fontId="0" fillId="5" borderId="22" xfId="0" applyNumberFormat="1" applyFill="1" applyBorder="1" applyAlignment="1" applyProtection="1">
      <alignment horizontal="center" vertical="center"/>
      <protection hidden="1"/>
    </xf>
    <xf numFmtId="0" fontId="0" fillId="3" borderId="104" xfId="0" applyFill="1" applyBorder="1" applyAlignment="1">
      <alignment horizontal="center" vertical="center"/>
    </xf>
    <xf numFmtId="0" fontId="0" fillId="6" borderId="124" xfId="0" applyFill="1" applyBorder="1" applyAlignment="1">
      <alignment vertical="center"/>
    </xf>
    <xf numFmtId="0" fontId="0" fillId="6" borderId="31" xfId="0" applyFill="1" applyBorder="1" applyAlignment="1">
      <alignment vertical="center"/>
    </xf>
    <xf numFmtId="0" fontId="0" fillId="6" borderId="104" xfId="0" applyFill="1" applyBorder="1" applyAlignment="1">
      <alignment vertical="center"/>
    </xf>
    <xf numFmtId="0" fontId="81" fillId="6" borderId="0" xfId="0" applyFont="1" applyFill="1" applyBorder="1" applyAlignment="1" applyProtection="1">
      <alignment horizontal="left" vertical="center"/>
      <protection hidden="1"/>
    </xf>
    <xf numFmtId="0" fontId="53" fillId="3" borderId="35" xfId="0" applyFont="1" applyFill="1" applyBorder="1" applyAlignment="1">
      <alignment horizontal="center" vertical="center"/>
    </xf>
    <xf numFmtId="0" fontId="111" fillId="3" borderId="35" xfId="0" applyFont="1" applyFill="1" applyBorder="1" applyAlignment="1">
      <alignment horizontal="center"/>
    </xf>
    <xf numFmtId="0" fontId="111" fillId="3" borderId="35" xfId="0" applyFont="1" applyFill="1" applyBorder="1" applyAlignment="1">
      <alignment horizontal="center" vertical="center"/>
    </xf>
    <xf numFmtId="1" fontId="30" fillId="3" borderId="2" xfId="0" applyNumberFormat="1" applyFont="1" applyFill="1" applyBorder="1" applyAlignment="1">
      <alignment horizontal="center" vertical="center" wrapText="1"/>
    </xf>
    <xf numFmtId="0" fontId="5" fillId="3" borderId="0" xfId="0" applyFont="1" applyFill="1" applyBorder="1"/>
    <xf numFmtId="11" fontId="5" fillId="2" borderId="0" xfId="0" applyNumberFormat="1" applyFont="1" applyFill="1"/>
    <xf numFmtId="2" fontId="0" fillId="3" borderId="0" xfId="0" applyNumberFormat="1" applyFill="1" applyAlignment="1">
      <alignment horizontal="center"/>
    </xf>
    <xf numFmtId="0" fontId="3" fillId="3" borderId="2" xfId="0" applyFont="1" applyFill="1" applyBorder="1" applyAlignment="1">
      <alignment horizontal="center" vertical="justify" wrapText="1"/>
    </xf>
    <xf numFmtId="0" fontId="3" fillId="3" borderId="35" xfId="0" applyFont="1" applyFill="1" applyBorder="1" applyAlignment="1">
      <alignment horizontal="center" vertical="center"/>
    </xf>
    <xf numFmtId="0" fontId="5" fillId="2" borderId="0" xfId="0" applyFont="1" applyFill="1"/>
    <xf numFmtId="166" fontId="5" fillId="6" borderId="30" xfId="0" applyNumberFormat="1" applyFont="1" applyFill="1" applyBorder="1" applyAlignment="1">
      <alignment horizontal="center" vertical="center"/>
    </xf>
    <xf numFmtId="0" fontId="24" fillId="6" borderId="30" xfId="0" applyFont="1" applyFill="1" applyBorder="1" applyAlignment="1">
      <alignment horizontal="center"/>
    </xf>
    <xf numFmtId="168" fontId="0" fillId="5" borderId="0" xfId="0" applyNumberFormat="1" applyFill="1"/>
    <xf numFmtId="0" fontId="2" fillId="3" borderId="64" xfId="0" applyFont="1" applyFill="1" applyBorder="1" applyAlignment="1">
      <alignment horizontal="center" vertical="center" wrapText="1"/>
    </xf>
    <xf numFmtId="0" fontId="2" fillId="3" borderId="69" xfId="0" applyFont="1" applyFill="1" applyBorder="1" applyAlignment="1">
      <alignment horizontal="center" vertical="center" wrapText="1"/>
    </xf>
    <xf numFmtId="49" fontId="53" fillId="3" borderId="46" xfId="0" applyNumberFormat="1" applyFont="1" applyFill="1" applyBorder="1" applyAlignment="1">
      <alignment horizontal="center"/>
    </xf>
    <xf numFmtId="0" fontId="13" fillId="6" borderId="24" xfId="0" applyFont="1" applyFill="1" applyBorder="1" applyAlignment="1" applyProtection="1">
      <alignment horizontal="left" vertical="center"/>
      <protection hidden="1"/>
    </xf>
    <xf numFmtId="11" fontId="0" fillId="5" borderId="126" xfId="0" applyNumberFormat="1" applyFill="1" applyBorder="1" applyAlignment="1" applyProtection="1">
      <alignment horizontal="center" vertical="center"/>
      <protection hidden="1"/>
    </xf>
    <xf numFmtId="49" fontId="53" fillId="3" borderId="9" xfId="0" applyNumberFormat="1" applyFont="1" applyFill="1" applyBorder="1" applyAlignment="1">
      <alignment horizontal="center" vertical="top"/>
    </xf>
    <xf numFmtId="49" fontId="53" fillId="3" borderId="66" xfId="0" applyNumberFormat="1" applyFont="1" applyFill="1" applyBorder="1" applyAlignment="1">
      <alignment horizontal="center"/>
    </xf>
    <xf numFmtId="0" fontId="4" fillId="3" borderId="50" xfId="0" applyFont="1" applyFill="1" applyBorder="1" applyAlignment="1">
      <alignment horizontal="center"/>
    </xf>
    <xf numFmtId="0" fontId="4" fillId="3" borderId="47" xfId="0" applyFont="1" applyFill="1" applyBorder="1" applyAlignment="1">
      <alignment horizontal="center" vertical="center"/>
    </xf>
    <xf numFmtId="0" fontId="5" fillId="3" borderId="127" xfId="0" applyFont="1" applyFill="1" applyBorder="1" applyAlignment="1">
      <alignment horizontal="center"/>
    </xf>
    <xf numFmtId="0" fontId="5" fillId="3" borderId="16" xfId="0" applyFont="1" applyFill="1" applyBorder="1" applyAlignment="1">
      <alignment horizontal="centerContinuous"/>
    </xf>
    <xf numFmtId="0" fontId="5" fillId="3" borderId="47" xfId="0" applyFont="1" applyFill="1" applyBorder="1" applyAlignment="1">
      <alignment horizontal="centerContinuous"/>
    </xf>
    <xf numFmtId="0" fontId="5" fillId="3" borderId="19" xfId="0" applyFont="1" applyFill="1" applyBorder="1" applyAlignment="1">
      <alignment horizontal="centerContinuous"/>
    </xf>
    <xf numFmtId="0" fontId="5" fillId="3" borderId="52" xfId="0" applyFont="1" applyFill="1" applyBorder="1" applyAlignment="1">
      <alignment horizontal="centerContinuous"/>
    </xf>
    <xf numFmtId="0" fontId="5" fillId="3" borderId="127" xfId="0" applyFont="1" applyFill="1" applyBorder="1" applyAlignment="1">
      <alignment horizontal="centerContinuous"/>
    </xf>
    <xf numFmtId="168" fontId="0" fillId="5" borderId="128" xfId="0" applyNumberFormat="1" applyFill="1" applyBorder="1" applyAlignment="1">
      <alignment horizontal="center" vertical="center"/>
    </xf>
    <xf numFmtId="168" fontId="0" fillId="5" borderId="93" xfId="0" applyNumberFormat="1" applyFill="1" applyBorder="1" applyAlignment="1">
      <alignment horizontal="center" vertical="center"/>
    </xf>
    <xf numFmtId="168" fontId="0" fillId="5" borderId="48" xfId="0" applyNumberFormat="1" applyFill="1" applyBorder="1" applyAlignment="1">
      <alignment horizontal="center" vertical="center"/>
    </xf>
    <xf numFmtId="168" fontId="0" fillId="5" borderId="129" xfId="0" applyNumberFormat="1" applyFill="1" applyBorder="1" applyAlignment="1">
      <alignment horizontal="center" vertical="center"/>
    </xf>
    <xf numFmtId="168" fontId="0" fillId="5" borderId="126" xfId="0" applyNumberFormat="1" applyFill="1" applyBorder="1" applyAlignment="1">
      <alignment horizontal="center" vertical="center"/>
    </xf>
    <xf numFmtId="1" fontId="0" fillId="0" borderId="53" xfId="0" applyNumberFormat="1" applyFill="1" applyBorder="1" applyAlignment="1">
      <alignment horizontal="center" vertical="center"/>
    </xf>
    <xf numFmtId="1" fontId="0" fillId="0" borderId="57" xfId="0" applyNumberFormat="1" applyFill="1" applyBorder="1" applyAlignment="1">
      <alignment horizontal="center" vertical="center"/>
    </xf>
    <xf numFmtId="168" fontId="0" fillId="5" borderId="130" xfId="0" applyNumberFormat="1" applyFill="1" applyBorder="1" applyAlignment="1">
      <alignment horizontal="center" vertical="center"/>
    </xf>
    <xf numFmtId="0" fontId="5" fillId="6" borderId="24" xfId="0" applyFont="1" applyFill="1" applyBorder="1" applyAlignment="1">
      <alignment vertical="center"/>
    </xf>
    <xf numFmtId="0" fontId="0" fillId="6" borderId="131" xfId="0" applyFill="1" applyBorder="1" applyAlignment="1">
      <alignment vertical="center"/>
    </xf>
    <xf numFmtId="0" fontId="3" fillId="6" borderId="132" xfId="0" applyFont="1" applyFill="1" applyBorder="1" applyAlignment="1">
      <alignment horizontal="center" vertical="center"/>
    </xf>
    <xf numFmtId="0" fontId="3" fillId="6" borderId="32" xfId="0" applyFont="1" applyFill="1" applyBorder="1" applyAlignment="1">
      <alignment horizontal="center" vertical="center"/>
    </xf>
    <xf numFmtId="0" fontId="5" fillId="3" borderId="128" xfId="0" applyFont="1" applyFill="1" applyBorder="1" applyAlignment="1">
      <alignment horizontal="centerContinuous"/>
    </xf>
    <xf numFmtId="1" fontId="114" fillId="2" borderId="0" xfId="0" applyNumberFormat="1" applyFont="1" applyFill="1" applyAlignment="1">
      <alignment horizontal="center" vertical="center"/>
    </xf>
    <xf numFmtId="168" fontId="0" fillId="2" borderId="0" xfId="0" applyNumberFormat="1" applyFill="1" applyBorder="1" applyAlignment="1">
      <alignment horizontal="center"/>
    </xf>
    <xf numFmtId="0" fontId="5" fillId="2" borderId="0" xfId="0" applyFont="1" applyFill="1" applyAlignment="1">
      <alignment horizontal="right"/>
    </xf>
    <xf numFmtId="168" fontId="0" fillId="5" borderId="0" xfId="0" applyNumberFormat="1" applyFill="1" applyBorder="1" applyAlignment="1">
      <alignment horizontal="center" vertical="center"/>
    </xf>
    <xf numFmtId="0" fontId="4" fillId="3" borderId="133" xfId="0" applyFont="1" applyFill="1" applyBorder="1" applyAlignment="1">
      <alignment horizontal="centerContinuous" vertical="center"/>
    </xf>
    <xf numFmtId="0" fontId="4" fillId="3" borderId="134" xfId="0" applyFont="1" applyFill="1" applyBorder="1" applyAlignment="1">
      <alignment horizontal="centerContinuous" vertical="center"/>
    </xf>
    <xf numFmtId="168" fontId="0" fillId="5" borderId="70" xfId="0" applyNumberFormat="1" applyFill="1" applyBorder="1" applyAlignment="1">
      <alignment horizontal="center"/>
    </xf>
    <xf numFmtId="0" fontId="5" fillId="3" borderId="127" xfId="0" applyFont="1" applyFill="1" applyBorder="1" applyAlignment="1">
      <alignment horizontal="center" vertical="distributed"/>
    </xf>
    <xf numFmtId="168" fontId="0" fillId="0" borderId="48" xfId="0" applyNumberFormat="1" applyFill="1" applyBorder="1" applyAlignment="1">
      <alignment horizontal="center" vertical="center"/>
    </xf>
    <xf numFmtId="168" fontId="0" fillId="0" borderId="5" xfId="0" applyNumberFormat="1" applyFill="1" applyBorder="1" applyAlignment="1">
      <alignment horizontal="center" vertical="center"/>
    </xf>
    <xf numFmtId="168" fontId="0" fillId="0" borderId="130" xfId="0" applyNumberFormat="1" applyFill="1" applyBorder="1" applyAlignment="1">
      <alignment horizontal="center" vertical="center"/>
    </xf>
    <xf numFmtId="0" fontId="46" fillId="2" borderId="0" xfId="0" applyFont="1" applyFill="1" applyAlignment="1">
      <alignment vertical="center"/>
    </xf>
    <xf numFmtId="166" fontId="116" fillId="7" borderId="0" xfId="2" applyNumberFormat="1" applyFont="1" applyFill="1" applyBorder="1" applyAlignment="1">
      <alignment horizontal="center" vertical="center"/>
    </xf>
    <xf numFmtId="166" fontId="116" fillId="10" borderId="0" xfId="2" applyNumberFormat="1" applyFont="1" applyFill="1" applyBorder="1" applyAlignment="1">
      <alignment horizontal="center" vertical="center"/>
    </xf>
    <xf numFmtId="166" fontId="0" fillId="7" borderId="135" xfId="2" applyNumberFormat="1" applyFont="1" applyFill="1" applyBorder="1" applyAlignment="1">
      <alignment horizontal="center" vertical="center"/>
    </xf>
    <xf numFmtId="0" fontId="0" fillId="3" borderId="137" xfId="0" applyFill="1" applyBorder="1" applyAlignment="1">
      <alignment horizontal="center" vertical="center"/>
    </xf>
    <xf numFmtId="0" fontId="0" fillId="3" borderId="138" xfId="0" applyFill="1" applyBorder="1" applyAlignment="1">
      <alignment horizontal="center" vertical="center"/>
    </xf>
    <xf numFmtId="167" fontId="0" fillId="5" borderId="70" xfId="0" applyNumberFormat="1" applyFill="1" applyBorder="1" applyAlignment="1">
      <alignment horizontal="center"/>
    </xf>
    <xf numFmtId="167" fontId="0" fillId="5" borderId="139" xfId="0" applyNumberFormat="1" applyFill="1" applyBorder="1" applyAlignment="1">
      <alignment horizontal="center"/>
    </xf>
    <xf numFmtId="168" fontId="0" fillId="5" borderId="120" xfId="0" applyNumberFormat="1" applyFill="1" applyBorder="1" applyAlignment="1">
      <alignment horizontal="center"/>
    </xf>
    <xf numFmtId="168" fontId="0" fillId="5" borderId="31" xfId="0" applyNumberFormat="1" applyFill="1" applyBorder="1" applyAlignment="1">
      <alignment horizontal="center"/>
    </xf>
    <xf numFmtId="168" fontId="0" fillId="5" borderId="140" xfId="0" applyNumberFormat="1" applyFill="1" applyBorder="1" applyAlignment="1">
      <alignment horizontal="center"/>
    </xf>
    <xf numFmtId="168" fontId="0" fillId="5" borderId="44" xfId="0" applyNumberFormat="1" applyFill="1" applyBorder="1" applyAlignment="1">
      <alignment horizontal="center"/>
    </xf>
    <xf numFmtId="168" fontId="0" fillId="5" borderId="22" xfId="0" applyNumberFormat="1" applyFill="1" applyBorder="1" applyAlignment="1">
      <alignment horizontal="center"/>
    </xf>
    <xf numFmtId="168" fontId="0" fillId="5" borderId="101" xfId="0" applyNumberFormat="1" applyFill="1" applyBorder="1" applyAlignment="1">
      <alignment horizontal="center"/>
    </xf>
    <xf numFmtId="11" fontId="0" fillId="5" borderId="141" xfId="0" applyNumberFormat="1" applyFill="1" applyBorder="1" applyAlignment="1" applyProtection="1">
      <alignment horizontal="center" vertical="center"/>
      <protection hidden="1"/>
    </xf>
    <xf numFmtId="168" fontId="0" fillId="5" borderId="3" xfId="0" applyNumberFormat="1" applyFill="1" applyBorder="1" applyAlignment="1">
      <alignment horizontal="center"/>
    </xf>
    <xf numFmtId="168" fontId="0" fillId="5" borderId="104" xfId="0" applyNumberFormat="1" applyFill="1" applyBorder="1" applyAlignment="1">
      <alignment horizontal="center"/>
    </xf>
    <xf numFmtId="168" fontId="0" fillId="5" borderId="109" xfId="0" applyNumberFormat="1" applyFill="1" applyBorder="1" applyAlignment="1">
      <alignment horizontal="center"/>
    </xf>
    <xf numFmtId="171" fontId="0" fillId="5" borderId="126" xfId="0" applyNumberFormat="1" applyFill="1" applyBorder="1" applyAlignment="1">
      <alignment horizontal="center" vertical="center"/>
    </xf>
    <xf numFmtId="166" fontId="0" fillId="5" borderId="70" xfId="0" applyNumberFormat="1" applyFill="1" applyBorder="1" applyAlignment="1">
      <alignment horizontal="center" vertical="center"/>
    </xf>
    <xf numFmtId="0" fontId="5" fillId="3" borderId="127" xfId="0" applyFont="1" applyFill="1" applyBorder="1" applyAlignment="1">
      <alignment horizontal="centerContinuous" vertical="center"/>
    </xf>
    <xf numFmtId="168" fontId="0" fillId="5" borderId="123" xfId="0" applyNumberFormat="1" applyFill="1" applyBorder="1" applyAlignment="1">
      <alignment horizontal="center" vertical="center"/>
    </xf>
    <xf numFmtId="0" fontId="5" fillId="3" borderId="50" xfId="0" applyFont="1" applyFill="1" applyBorder="1" applyAlignment="1">
      <alignment horizontal="centerContinuous" vertical="center"/>
    </xf>
    <xf numFmtId="166" fontId="0" fillId="5" borderId="145" xfId="0" applyNumberFormat="1" applyFill="1" applyBorder="1" applyAlignment="1">
      <alignment horizontal="center" vertical="center"/>
    </xf>
    <xf numFmtId="171" fontId="0" fillId="5" borderId="129" xfId="0" applyNumberFormat="1" applyFill="1" applyBorder="1" applyAlignment="1">
      <alignment horizontal="center" vertical="center"/>
    </xf>
    <xf numFmtId="0" fontId="5" fillId="3" borderId="146" xfId="0" applyFont="1" applyFill="1" applyBorder="1" applyAlignment="1">
      <alignment horizontal="center" vertical="distributed"/>
    </xf>
    <xf numFmtId="165" fontId="0" fillId="0" borderId="0" xfId="0" applyNumberFormat="1" applyFill="1" applyAlignment="1">
      <alignment horizontal="center"/>
    </xf>
    <xf numFmtId="0" fontId="5" fillId="3" borderId="50" xfId="0" applyFont="1" applyFill="1" applyBorder="1" applyAlignment="1">
      <alignment horizontal="centerContinuous" vertical="top"/>
    </xf>
    <xf numFmtId="171" fontId="0" fillId="5" borderId="128" xfId="0" applyNumberFormat="1" applyFill="1" applyBorder="1" applyAlignment="1">
      <alignment horizontal="center" vertical="center"/>
    </xf>
    <xf numFmtId="171" fontId="0" fillId="5" borderId="14" xfId="0" applyNumberFormat="1" applyFill="1" applyBorder="1" applyAlignment="1">
      <alignment horizontal="center" vertical="center"/>
    </xf>
    <xf numFmtId="168" fontId="5" fillId="6" borderId="2" xfId="0" applyNumberFormat="1" applyFont="1" applyFill="1" applyBorder="1" applyAlignment="1">
      <alignment horizontal="center" vertical="center"/>
    </xf>
    <xf numFmtId="171" fontId="0" fillId="2" borderId="0" xfId="0" applyNumberFormat="1" applyFill="1" applyBorder="1"/>
    <xf numFmtId="0" fontId="4" fillId="3" borderId="50" xfId="0" applyFont="1" applyFill="1" applyBorder="1" applyAlignment="1">
      <alignment horizontal="centerContinuous" vertical="center"/>
    </xf>
    <xf numFmtId="0" fontId="71" fillId="8" borderId="0" xfId="0" applyFont="1" applyFill="1" applyBorder="1" applyAlignment="1">
      <alignment horizontal="left" vertical="center"/>
    </xf>
    <xf numFmtId="0" fontId="71" fillId="8" borderId="22" xfId="0" applyFont="1" applyFill="1" applyBorder="1" applyAlignment="1">
      <alignment horizontal="left" vertical="center"/>
    </xf>
    <xf numFmtId="166" fontId="0" fillId="5" borderId="129" xfId="0" applyNumberFormat="1" applyFill="1" applyBorder="1" applyAlignment="1">
      <alignment horizontal="center" vertical="center"/>
    </xf>
    <xf numFmtId="166" fontId="0" fillId="5" borderId="126" xfId="0" applyNumberFormat="1" applyFill="1" applyBorder="1" applyAlignment="1">
      <alignment horizontal="center" vertical="center"/>
    </xf>
    <xf numFmtId="168" fontId="0" fillId="5" borderId="148" xfId="0" applyNumberFormat="1" applyFill="1" applyBorder="1" applyAlignment="1">
      <alignment horizontal="center"/>
    </xf>
    <xf numFmtId="10" fontId="5" fillId="7" borderId="90" xfId="0" applyNumberFormat="1" applyFont="1" applyFill="1" applyBorder="1" applyAlignment="1">
      <alignment horizontal="center" vertical="center"/>
    </xf>
    <xf numFmtId="0" fontId="4" fillId="3" borderId="9" xfId="0" applyFont="1" applyFill="1" applyBorder="1" applyAlignment="1">
      <alignment horizontal="center"/>
    </xf>
    <xf numFmtId="0" fontId="4" fillId="3" borderId="149" xfId="0" applyFont="1" applyFill="1" applyBorder="1" applyAlignment="1">
      <alignment horizontal="centerContinuous"/>
    </xf>
    <xf numFmtId="0" fontId="0" fillId="3" borderId="149" xfId="0" applyFill="1" applyBorder="1" applyAlignment="1">
      <alignment horizontal="centerContinuous"/>
    </xf>
    <xf numFmtId="0" fontId="0" fillId="3" borderId="8" xfId="0" applyFill="1" applyBorder="1" applyAlignment="1">
      <alignment horizontal="center"/>
    </xf>
    <xf numFmtId="0" fontId="0" fillId="3" borderId="9" xfId="0" applyFill="1" applyBorder="1" applyAlignment="1">
      <alignment horizontal="center"/>
    </xf>
    <xf numFmtId="0" fontId="60" fillId="3" borderId="8" xfId="0" applyFont="1" applyFill="1" applyBorder="1" applyAlignment="1">
      <alignment horizontal="center"/>
    </xf>
    <xf numFmtId="0" fontId="60" fillId="3" borderId="9" xfId="0" applyFont="1" applyFill="1" applyBorder="1" applyAlignment="1">
      <alignment horizontal="center"/>
    </xf>
    <xf numFmtId="49" fontId="2" fillId="3" borderId="8" xfId="0" applyNumberFormat="1" applyFont="1" applyFill="1" applyBorder="1" applyAlignment="1">
      <alignment horizontal="center"/>
    </xf>
    <xf numFmtId="49" fontId="2" fillId="3" borderId="9" xfId="0" applyNumberFormat="1" applyFont="1" applyFill="1" applyBorder="1" applyAlignment="1">
      <alignment horizontal="center"/>
    </xf>
    <xf numFmtId="49" fontId="2" fillId="3" borderId="86" xfId="0" applyNumberFormat="1" applyFont="1" applyFill="1" applyBorder="1" applyAlignment="1">
      <alignment horizontal="center"/>
    </xf>
    <xf numFmtId="0" fontId="7" fillId="8" borderId="0" xfId="0" applyFont="1" applyFill="1" applyBorder="1" applyAlignment="1">
      <alignment vertical="top"/>
    </xf>
    <xf numFmtId="0" fontId="24" fillId="5" borderId="0" xfId="0" applyFont="1" applyFill="1"/>
    <xf numFmtId="0" fontId="24" fillId="5" borderId="0" xfId="0" applyFont="1" applyFill="1" applyAlignment="1">
      <alignment horizontal="left" vertical="center"/>
    </xf>
    <xf numFmtId="0" fontId="81" fillId="5" borderId="0" xfId="0" applyNumberFormat="1" applyFont="1" applyFill="1" applyBorder="1" applyAlignment="1">
      <alignment horizontal="center" vertical="center"/>
    </xf>
    <xf numFmtId="168" fontId="18" fillId="5" borderId="69" xfId="0" applyNumberFormat="1" applyFont="1" applyFill="1" applyBorder="1" applyAlignment="1">
      <alignment horizontal="center" vertical="center"/>
    </xf>
    <xf numFmtId="0" fontId="9" fillId="3" borderId="7" xfId="0" applyFont="1" applyFill="1" applyBorder="1" applyAlignment="1">
      <alignment horizontal="center" vertical="center" wrapText="1"/>
    </xf>
    <xf numFmtId="0" fontId="13" fillId="6" borderId="88" xfId="0" applyFont="1" applyFill="1" applyBorder="1"/>
    <xf numFmtId="0" fontId="2" fillId="6" borderId="25" xfId="0" applyFont="1" applyFill="1" applyBorder="1" applyAlignment="1">
      <alignment horizontal="right" vertical="center"/>
    </xf>
    <xf numFmtId="0" fontId="0" fillId="3" borderId="17" xfId="0" applyFill="1" applyBorder="1" applyAlignment="1">
      <alignment horizontal="center" vertical="center" wrapText="1"/>
    </xf>
    <xf numFmtId="166" fontId="46" fillId="5" borderId="2" xfId="0" applyNumberFormat="1" applyFont="1" applyFill="1" applyBorder="1" applyAlignment="1">
      <alignment horizontal="center" vertical="center"/>
    </xf>
    <xf numFmtId="166" fontId="46" fillId="5" borderId="37" xfId="0" applyNumberFormat="1" applyFont="1" applyFill="1" applyBorder="1" applyAlignment="1">
      <alignment horizontal="center" vertical="center"/>
    </xf>
    <xf numFmtId="0" fontId="0" fillId="5" borderId="5" xfId="0" applyFill="1" applyBorder="1" applyAlignment="1">
      <alignment vertical="center"/>
    </xf>
    <xf numFmtId="0" fontId="0" fillId="3" borderId="150" xfId="0" applyFill="1" applyBorder="1" applyAlignment="1">
      <alignment horizontal="center" vertical="center" wrapText="1"/>
    </xf>
    <xf numFmtId="0" fontId="4" fillId="3" borderId="150" xfId="0" applyFont="1" applyFill="1" applyBorder="1" applyAlignment="1">
      <alignment horizontal="center" vertical="center"/>
    </xf>
    <xf numFmtId="2" fontId="0" fillId="5" borderId="12" xfId="0" applyNumberFormat="1" applyFill="1" applyBorder="1" applyAlignment="1">
      <alignment horizontal="center" vertical="center"/>
    </xf>
    <xf numFmtId="0" fontId="0" fillId="3" borderId="12" xfId="0" applyFill="1" applyBorder="1"/>
    <xf numFmtId="0" fontId="2" fillId="3" borderId="36" xfId="0" applyFont="1" applyFill="1" applyBorder="1" applyAlignment="1">
      <alignment horizontal="center"/>
    </xf>
    <xf numFmtId="0" fontId="3" fillId="6" borderId="151" xfId="0" applyFont="1" applyFill="1" applyBorder="1" applyAlignment="1">
      <alignment horizontal="center" vertical="center" wrapText="1"/>
    </xf>
    <xf numFmtId="1" fontId="9" fillId="5" borderId="152" xfId="0" applyNumberFormat="1" applyFont="1" applyFill="1" applyBorder="1" applyAlignment="1">
      <alignment horizontal="center" vertical="center"/>
    </xf>
    <xf numFmtId="166" fontId="0" fillId="5" borderId="35" xfId="0" applyNumberFormat="1" applyFill="1" applyBorder="1"/>
    <xf numFmtId="166" fontId="0" fillId="5" borderId="0" xfId="0" applyNumberFormat="1" applyFill="1" applyBorder="1"/>
    <xf numFmtId="0" fontId="31" fillId="2" borderId="0" xfId="0" applyFont="1" applyFill="1"/>
    <xf numFmtId="0" fontId="31" fillId="3" borderId="0" xfId="0" applyFont="1" applyFill="1"/>
    <xf numFmtId="0" fontId="128" fillId="6" borderId="0" xfId="0" applyFont="1" applyFill="1"/>
    <xf numFmtId="0" fontId="7" fillId="8" borderId="0" xfId="0" applyFont="1" applyFill="1" applyBorder="1" applyAlignment="1">
      <alignment horizontal="left" vertical="top"/>
    </xf>
    <xf numFmtId="0" fontId="14" fillId="3" borderId="8" xfId="0" applyFont="1" applyFill="1" applyBorder="1" applyAlignment="1">
      <alignment horizontal="center" vertical="center"/>
    </xf>
    <xf numFmtId="166" fontId="48" fillId="8" borderId="17" xfId="0" applyNumberFormat="1" applyFont="1" applyFill="1" applyBorder="1" applyAlignment="1">
      <alignment horizontal="center" vertical="center"/>
    </xf>
    <xf numFmtId="167" fontId="18" fillId="5" borderId="17" xfId="0" applyNumberFormat="1" applyFont="1" applyFill="1" applyBorder="1" applyAlignment="1">
      <alignment horizontal="center" vertical="center"/>
    </xf>
    <xf numFmtId="0" fontId="24" fillId="3" borderId="40" xfId="0" applyFont="1" applyFill="1" applyBorder="1" applyAlignment="1">
      <alignment horizontal="center" vertical="center"/>
    </xf>
    <xf numFmtId="166" fontId="0" fillId="19" borderId="5" xfId="0" applyNumberFormat="1" applyFill="1" applyBorder="1" applyAlignment="1">
      <alignment horizontal="center"/>
    </xf>
    <xf numFmtId="0" fontId="18" fillId="3" borderId="9" xfId="0" applyFont="1" applyFill="1" applyBorder="1" applyAlignment="1">
      <alignment horizontal="center" vertical="center" shrinkToFit="1"/>
    </xf>
    <xf numFmtId="166" fontId="18" fillId="5" borderId="51" xfId="0" applyNumberFormat="1" applyFont="1" applyFill="1" applyBorder="1" applyAlignment="1">
      <alignment horizontal="center" vertical="center"/>
    </xf>
    <xf numFmtId="0" fontId="18" fillId="3" borderId="91" xfId="0" applyFont="1" applyFill="1" applyBorder="1" applyAlignment="1">
      <alignment horizontal="center" vertical="top"/>
    </xf>
    <xf numFmtId="167" fontId="18" fillId="5" borderId="51" xfId="0" applyNumberFormat="1" applyFont="1" applyFill="1" applyBorder="1" applyAlignment="1">
      <alignment horizontal="center" vertical="center"/>
    </xf>
    <xf numFmtId="0" fontId="18" fillId="3" borderId="11" xfId="0" applyFont="1" applyFill="1" applyBorder="1" applyAlignment="1">
      <alignment horizontal="center" vertical="center"/>
    </xf>
    <xf numFmtId="0" fontId="18" fillId="3" borderId="91" xfId="0" applyFont="1" applyFill="1" applyBorder="1" applyAlignment="1">
      <alignment horizontal="center" vertical="center" shrinkToFit="1"/>
    </xf>
    <xf numFmtId="0" fontId="53" fillId="3" borderId="153" xfId="0" applyFont="1" applyFill="1" applyBorder="1" applyAlignment="1">
      <alignment horizontal="center" vertical="center"/>
    </xf>
    <xf numFmtId="167" fontId="0" fillId="2" borderId="0" xfId="0" applyNumberFormat="1" applyFill="1" applyAlignment="1">
      <alignment vertical="justify"/>
    </xf>
    <xf numFmtId="166" fontId="0" fillId="2" borderId="0" xfId="0" applyNumberFormat="1" applyFill="1" applyAlignment="1">
      <alignment vertical="justify"/>
    </xf>
    <xf numFmtId="167" fontId="0" fillId="5" borderId="154" xfId="0" applyNumberFormat="1" applyFill="1" applyBorder="1" applyAlignment="1">
      <alignment horizontal="center" vertical="center"/>
    </xf>
    <xf numFmtId="0" fontId="0" fillId="5" borderId="5" xfId="0" applyFill="1" applyBorder="1"/>
    <xf numFmtId="0" fontId="2" fillId="3" borderId="9" xfId="0" applyFont="1" applyFill="1" applyBorder="1" applyAlignment="1">
      <alignment horizontal="center"/>
    </xf>
    <xf numFmtId="166" fontId="0" fillId="5" borderId="71" xfId="0" applyNumberFormat="1" applyFill="1" applyBorder="1" applyAlignment="1">
      <alignment horizontal="center" vertical="center"/>
    </xf>
    <xf numFmtId="166" fontId="0" fillId="5" borderId="43" xfId="0" applyNumberFormat="1" applyFill="1" applyBorder="1" applyAlignment="1">
      <alignment horizontal="center" vertical="center"/>
    </xf>
    <xf numFmtId="166" fontId="18" fillId="5" borderId="33" xfId="0" applyNumberFormat="1" applyFont="1" applyFill="1" applyBorder="1" applyAlignment="1">
      <alignment horizontal="center" vertical="center"/>
    </xf>
    <xf numFmtId="0" fontId="13" fillId="6" borderId="161" xfId="0" applyFont="1" applyFill="1" applyBorder="1" applyAlignment="1">
      <alignment vertical="center"/>
    </xf>
    <xf numFmtId="166" fontId="18" fillId="6" borderId="25" xfId="0" applyNumberFormat="1" applyFont="1" applyFill="1" applyBorder="1" applyAlignment="1">
      <alignment horizontal="right" vertical="center"/>
    </xf>
    <xf numFmtId="168" fontId="18" fillId="5" borderId="67" xfId="0" applyNumberFormat="1" applyFont="1" applyFill="1" applyBorder="1" applyAlignment="1">
      <alignment horizontal="center" vertical="center"/>
    </xf>
    <xf numFmtId="49" fontId="53" fillId="3" borderId="95" xfId="0" applyNumberFormat="1" applyFont="1" applyFill="1" applyBorder="1" applyAlignment="1">
      <alignment horizontal="center"/>
    </xf>
    <xf numFmtId="0" fontId="2" fillId="6" borderId="156" xfId="0" applyFont="1" applyFill="1" applyBorder="1" applyAlignment="1">
      <alignment horizontal="left" vertical="center"/>
    </xf>
    <xf numFmtId="0" fontId="3" fillId="6" borderId="157" xfId="0" applyFont="1" applyFill="1" applyBorder="1" applyAlignment="1">
      <alignment horizontal="right" vertical="center"/>
    </xf>
    <xf numFmtId="0" fontId="2" fillId="3" borderId="0" xfId="0" applyFont="1" applyFill="1"/>
    <xf numFmtId="0" fontId="2" fillId="3" borderId="35" xfId="0" applyFont="1" applyFill="1" applyBorder="1" applyAlignment="1">
      <alignment horizontal="center"/>
    </xf>
    <xf numFmtId="0" fontId="18" fillId="3" borderId="37" xfId="0" applyFont="1" applyFill="1" applyBorder="1" applyAlignment="1">
      <alignment horizontal="center"/>
    </xf>
    <xf numFmtId="166" fontId="13" fillId="6" borderId="25" xfId="0" applyNumberFormat="1" applyFont="1" applyFill="1" applyBorder="1" applyAlignment="1">
      <alignment horizontal="left" vertical="center"/>
    </xf>
    <xf numFmtId="0" fontId="53" fillId="3" borderId="149" xfId="0" applyFont="1" applyFill="1" applyBorder="1" applyAlignment="1">
      <alignment horizontal="center" vertical="top"/>
    </xf>
    <xf numFmtId="0" fontId="126" fillId="2" borderId="0" xfId="0" applyFont="1" applyFill="1"/>
    <xf numFmtId="0" fontId="44" fillId="3" borderId="40" xfId="0" applyFont="1" applyFill="1" applyBorder="1" applyAlignment="1">
      <alignment horizontal="center" vertical="center"/>
    </xf>
    <xf numFmtId="0" fontId="44" fillId="3" borderId="10" xfId="0" applyFont="1" applyFill="1" applyBorder="1" applyAlignment="1">
      <alignment horizontal="center" vertical="center"/>
    </xf>
    <xf numFmtId="166" fontId="0" fillId="5" borderId="45" xfId="2" applyNumberFormat="1" applyFont="1" applyFill="1" applyBorder="1" applyAlignment="1">
      <alignment horizontal="center" vertical="center"/>
    </xf>
    <xf numFmtId="166" fontId="0" fillId="5" borderId="119" xfId="2" applyNumberFormat="1" applyFont="1" applyFill="1" applyBorder="1" applyAlignment="1">
      <alignment horizontal="center" vertical="center"/>
    </xf>
    <xf numFmtId="166" fontId="0" fillId="5" borderId="126" xfId="2" applyNumberFormat="1" applyFont="1" applyFill="1" applyBorder="1" applyAlignment="1">
      <alignment horizontal="center" vertical="center"/>
    </xf>
    <xf numFmtId="169" fontId="0" fillId="5" borderId="71" xfId="2" applyNumberFormat="1" applyFont="1" applyFill="1" applyBorder="1" applyAlignment="1">
      <alignment horizontal="center" vertical="center"/>
    </xf>
    <xf numFmtId="169" fontId="0" fillId="5" borderId="148" xfId="2" applyNumberFormat="1" applyFont="1" applyFill="1" applyBorder="1" applyAlignment="1">
      <alignment horizontal="center" vertical="center"/>
    </xf>
    <xf numFmtId="166" fontId="0" fillId="5" borderId="159" xfId="2" applyNumberFormat="1" applyFont="1" applyFill="1" applyBorder="1" applyAlignment="1">
      <alignment horizontal="center" vertical="center"/>
    </xf>
    <xf numFmtId="166" fontId="0" fillId="5" borderId="28" xfId="2" applyNumberFormat="1" applyFont="1" applyFill="1" applyBorder="1" applyAlignment="1">
      <alignment horizontal="center" vertical="center"/>
    </xf>
    <xf numFmtId="0" fontId="129" fillId="2" borderId="0" xfId="0" applyFont="1" applyFill="1" applyBorder="1"/>
    <xf numFmtId="49" fontId="2" fillId="3" borderId="11" xfId="0" applyNumberFormat="1" applyFont="1" applyFill="1" applyBorder="1" applyAlignment="1">
      <alignment horizontal="center" vertical="center"/>
    </xf>
    <xf numFmtId="1" fontId="6" fillId="5" borderId="111" xfId="0" applyNumberFormat="1" applyFont="1" applyFill="1" applyBorder="1" applyAlignment="1">
      <alignment horizontal="center" vertical="center"/>
    </xf>
    <xf numFmtId="1" fontId="6" fillId="5" borderId="129" xfId="0" applyNumberFormat="1" applyFont="1" applyFill="1" applyBorder="1" applyAlignment="1">
      <alignment horizontal="center" vertical="center"/>
    </xf>
    <xf numFmtId="1" fontId="6" fillId="5" borderId="103" xfId="0" applyNumberFormat="1" applyFont="1" applyFill="1" applyBorder="1" applyAlignment="1">
      <alignment horizontal="center" vertical="center"/>
    </xf>
    <xf numFmtId="0" fontId="6" fillId="5" borderId="111" xfId="0" applyNumberFormat="1" applyFont="1" applyFill="1" applyBorder="1" applyAlignment="1" applyProtection="1">
      <alignment horizontal="center" vertical="center" wrapText="1"/>
      <protection hidden="1"/>
    </xf>
    <xf numFmtId="0" fontId="6" fillId="5" borderId="129" xfId="0" applyNumberFormat="1" applyFont="1" applyFill="1" applyBorder="1" applyAlignment="1" applyProtection="1">
      <alignment horizontal="center" vertical="center" wrapText="1"/>
      <protection hidden="1"/>
    </xf>
    <xf numFmtId="0" fontId="6" fillId="5" borderId="45" xfId="0" applyNumberFormat="1" applyFont="1" applyFill="1" applyBorder="1" applyAlignment="1" applyProtection="1">
      <alignment horizontal="center" vertical="center" wrapText="1"/>
      <protection hidden="1"/>
    </xf>
    <xf numFmtId="1" fontId="12" fillId="5" borderId="111" xfId="0" applyNumberFormat="1" applyFont="1" applyFill="1" applyBorder="1" applyAlignment="1">
      <alignment horizontal="center" vertical="center"/>
    </xf>
    <xf numFmtId="1" fontId="12" fillId="5" borderId="129" xfId="0" applyNumberFormat="1" applyFont="1" applyFill="1" applyBorder="1" applyAlignment="1">
      <alignment horizontal="center" vertical="center"/>
    </xf>
    <xf numFmtId="1" fontId="12" fillId="5" borderId="103" xfId="0" applyNumberFormat="1" applyFont="1" applyFill="1" applyBorder="1" applyAlignment="1">
      <alignment horizontal="center" vertical="center"/>
    </xf>
    <xf numFmtId="49" fontId="2" fillId="0" borderId="16" xfId="0" applyNumberFormat="1" applyFont="1" applyFill="1" applyBorder="1" applyAlignment="1">
      <alignment horizontal="center" vertical="top" wrapText="1"/>
    </xf>
    <xf numFmtId="0" fontId="47" fillId="3" borderId="25" xfId="0" applyFont="1" applyFill="1" applyBorder="1" applyAlignment="1">
      <alignment horizontal="center" vertical="center"/>
    </xf>
    <xf numFmtId="0" fontId="47" fillId="6" borderId="1" xfId="0" applyFont="1" applyFill="1" applyBorder="1" applyAlignment="1">
      <alignment horizontal="center" vertical="center"/>
    </xf>
    <xf numFmtId="165" fontId="37" fillId="8" borderId="162" xfId="0" applyNumberFormat="1" applyFont="1" applyFill="1" applyBorder="1" applyAlignment="1">
      <alignment horizontal="center" vertical="center"/>
    </xf>
    <xf numFmtId="0" fontId="3" fillId="6" borderId="116" xfId="0" applyFont="1" applyFill="1" applyBorder="1" applyAlignment="1">
      <alignment horizontal="right" vertical="center"/>
    </xf>
    <xf numFmtId="0" fontId="3" fillId="6" borderId="116" xfId="0" applyFont="1" applyFill="1" applyBorder="1" applyAlignment="1">
      <alignment horizontal="center" vertical="center"/>
    </xf>
    <xf numFmtId="0" fontId="3" fillId="6" borderId="116" xfId="0" applyFont="1" applyFill="1" applyBorder="1" applyAlignment="1">
      <alignment horizontal="center" vertical="center" wrapText="1"/>
    </xf>
    <xf numFmtId="0" fontId="3" fillId="6" borderId="114" xfId="0" applyFont="1" applyFill="1" applyBorder="1" applyAlignment="1">
      <alignment horizontal="center" vertical="center" wrapText="1"/>
    </xf>
    <xf numFmtId="0" fontId="47" fillId="19" borderId="25" xfId="0" applyFont="1" applyFill="1" applyBorder="1" applyAlignment="1">
      <alignment horizontal="center" vertical="center"/>
    </xf>
    <xf numFmtId="170" fontId="2" fillId="3" borderId="112" xfId="0" applyNumberFormat="1" applyFont="1" applyFill="1" applyBorder="1" applyAlignment="1">
      <alignment horizontal="center" vertical="center"/>
    </xf>
    <xf numFmtId="0" fontId="2" fillId="3" borderId="112" xfId="0" applyFont="1" applyFill="1" applyBorder="1" applyAlignment="1">
      <alignment horizontal="right" vertical="center"/>
    </xf>
    <xf numFmtId="165" fontId="2" fillId="5" borderId="163" xfId="0" applyNumberFormat="1" applyFont="1" applyFill="1" applyBorder="1" applyAlignment="1">
      <alignment horizontal="center" vertical="center"/>
    </xf>
    <xf numFmtId="0" fontId="2" fillId="3" borderId="164" xfId="0" applyFont="1" applyFill="1" applyBorder="1" applyAlignment="1">
      <alignment horizontal="right" vertical="center"/>
    </xf>
    <xf numFmtId="0" fontId="2" fillId="3" borderId="165" xfId="0" applyFont="1" applyFill="1" applyBorder="1" applyAlignment="1">
      <alignment horizontal="right" vertical="center"/>
    </xf>
    <xf numFmtId="0" fontId="2" fillId="3" borderId="166" xfId="0" applyFont="1" applyFill="1" applyBorder="1" applyAlignment="1">
      <alignment horizontal="right" vertical="center"/>
    </xf>
    <xf numFmtId="0" fontId="2" fillId="5" borderId="163" xfId="0" applyFont="1" applyFill="1" applyBorder="1" applyAlignment="1">
      <alignment horizontal="center" vertical="center"/>
    </xf>
    <xf numFmtId="0" fontId="46" fillId="0" borderId="167" xfId="0" applyFont="1" applyFill="1" applyBorder="1" applyAlignment="1">
      <alignment horizontal="center" vertical="center"/>
    </xf>
    <xf numFmtId="0" fontId="46" fillId="0" borderId="25" xfId="0" applyFont="1" applyFill="1" applyBorder="1" applyAlignment="1">
      <alignment horizontal="center" vertical="center"/>
    </xf>
    <xf numFmtId="0" fontId="46" fillId="0" borderId="1" xfId="0" applyFont="1" applyFill="1" applyBorder="1" applyAlignment="1">
      <alignment horizontal="center" vertical="center"/>
    </xf>
    <xf numFmtId="0" fontId="2" fillId="3" borderId="168" xfId="0" applyNumberFormat="1" applyFont="1" applyFill="1" applyBorder="1" applyAlignment="1">
      <alignment horizontal="center" vertical="center"/>
    </xf>
    <xf numFmtId="0" fontId="2" fillId="3" borderId="66" xfId="0" applyFont="1" applyFill="1" applyBorder="1" applyAlignment="1">
      <alignment horizontal="right" vertical="center"/>
    </xf>
    <xf numFmtId="165" fontId="2" fillId="5" borderId="169" xfId="0" applyNumberFormat="1" applyFont="1" applyFill="1" applyBorder="1" applyAlignment="1">
      <alignment horizontal="center" vertical="center"/>
    </xf>
    <xf numFmtId="0" fontId="3" fillId="6" borderId="170" xfId="0" applyFont="1" applyFill="1" applyBorder="1" applyAlignment="1">
      <alignment horizontal="center" vertical="center" wrapText="1"/>
    </xf>
    <xf numFmtId="0" fontId="3" fillId="6" borderId="171" xfId="0" applyFont="1" applyFill="1" applyBorder="1" applyAlignment="1">
      <alignment horizontal="center" vertical="center" wrapText="1"/>
    </xf>
    <xf numFmtId="0" fontId="3" fillId="6" borderId="171" xfId="0" applyFont="1" applyFill="1" applyBorder="1" applyAlignment="1">
      <alignment horizontal="center" vertical="center"/>
    </xf>
    <xf numFmtId="0" fontId="3" fillId="6" borderId="172" xfId="0" applyFont="1" applyFill="1" applyBorder="1" applyAlignment="1">
      <alignment horizontal="center" vertical="center" wrapText="1"/>
    </xf>
    <xf numFmtId="0" fontId="3" fillId="6" borderId="170" xfId="0" applyFont="1" applyFill="1" applyBorder="1" applyAlignment="1">
      <alignment horizontal="left" vertical="center"/>
    </xf>
    <xf numFmtId="0" fontId="2" fillId="3" borderId="174" xfId="0" applyFont="1" applyFill="1" applyBorder="1" applyAlignment="1">
      <alignment horizontal="center" vertical="center"/>
    </xf>
    <xf numFmtId="0" fontId="2" fillId="3" borderId="175" xfId="0" applyFont="1" applyFill="1" applyBorder="1" applyAlignment="1">
      <alignment horizontal="center" vertical="center"/>
    </xf>
    <xf numFmtId="0" fontId="0" fillId="3" borderId="175" xfId="0" applyFill="1" applyBorder="1" applyAlignment="1">
      <alignment horizontal="center" vertical="center"/>
    </xf>
    <xf numFmtId="0" fontId="2" fillId="3" borderId="176" xfId="0" applyFont="1" applyFill="1" applyBorder="1" applyAlignment="1">
      <alignment horizontal="center" vertical="center"/>
    </xf>
    <xf numFmtId="165" fontId="3" fillId="3" borderId="7" xfId="0" applyNumberFormat="1" applyFont="1" applyFill="1" applyBorder="1" applyAlignment="1">
      <alignment horizontal="center" vertical="center"/>
    </xf>
    <xf numFmtId="165" fontId="18" fillId="5" borderId="42" xfId="0" applyNumberFormat="1" applyFont="1" applyFill="1" applyBorder="1" applyAlignment="1">
      <alignment horizontal="center" vertical="center"/>
    </xf>
    <xf numFmtId="166" fontId="2" fillId="5" borderId="0" xfId="0" applyNumberFormat="1" applyFont="1" applyFill="1" applyBorder="1" applyAlignment="1">
      <alignment horizontal="center" vertical="center"/>
    </xf>
    <xf numFmtId="0" fontId="2" fillId="5" borderId="0" xfId="0" applyFont="1" applyFill="1" applyBorder="1" applyAlignment="1">
      <alignment horizontal="center" vertical="center"/>
    </xf>
    <xf numFmtId="0" fontId="2" fillId="5" borderId="162" xfId="0" applyFont="1" applyFill="1" applyBorder="1" applyAlignment="1">
      <alignment horizontal="center" vertical="center"/>
    </xf>
    <xf numFmtId="0" fontId="0" fillId="3" borderId="146" xfId="0" applyFill="1" applyBorder="1" applyAlignment="1">
      <alignment horizontal="center" vertical="center"/>
    </xf>
    <xf numFmtId="165" fontId="18" fillId="5" borderId="44" xfId="0" applyNumberFormat="1" applyFont="1" applyFill="1" applyBorder="1" applyAlignment="1">
      <alignment horizontal="center" vertical="center"/>
    </xf>
    <xf numFmtId="166" fontId="2" fillId="5" borderId="22" xfId="0" applyNumberFormat="1" applyFont="1" applyFill="1" applyBorder="1" applyAlignment="1">
      <alignment horizontal="center" vertical="center"/>
    </xf>
    <xf numFmtId="0" fontId="2" fillId="5" borderId="22" xfId="0" applyFont="1" applyFill="1" applyBorder="1" applyAlignment="1">
      <alignment horizontal="center" vertical="center"/>
    </xf>
    <xf numFmtId="0" fontId="2" fillId="5" borderId="177" xfId="0" applyFont="1" applyFill="1" applyBorder="1" applyAlignment="1">
      <alignment horizontal="center" vertical="center"/>
    </xf>
    <xf numFmtId="0" fontId="13" fillId="6" borderId="31" xfId="0" applyFont="1" applyFill="1" applyBorder="1" applyAlignment="1">
      <alignment horizontal="left"/>
    </xf>
    <xf numFmtId="0" fontId="3" fillId="6" borderId="31" xfId="0" applyFont="1" applyFill="1" applyBorder="1" applyAlignment="1">
      <alignment vertical="center"/>
    </xf>
    <xf numFmtId="0" fontId="0" fillId="6" borderId="178" xfId="0" applyFill="1" applyBorder="1" applyAlignment="1">
      <alignment horizontal="center" vertical="center"/>
    </xf>
    <xf numFmtId="0" fontId="3" fillId="6" borderId="2" xfId="0" applyFont="1" applyFill="1" applyBorder="1" applyAlignment="1">
      <alignment horizontal="left" vertical="top"/>
    </xf>
    <xf numFmtId="0" fontId="2" fillId="6" borderId="2" xfId="0" applyFont="1" applyFill="1" applyBorder="1" applyAlignment="1">
      <alignment horizontal="left" vertical="top"/>
    </xf>
    <xf numFmtId="0" fontId="3" fillId="6" borderId="2" xfId="0" applyFont="1" applyFill="1" applyBorder="1" applyAlignment="1">
      <alignment vertical="top"/>
    </xf>
    <xf numFmtId="0" fontId="0" fillId="6" borderId="179" xfId="0" applyFill="1" applyBorder="1" applyAlignment="1">
      <alignment horizontal="center" vertical="center"/>
    </xf>
    <xf numFmtId="0" fontId="0" fillId="3" borderId="162" xfId="0" applyFill="1" applyBorder="1" applyAlignment="1">
      <alignment horizontal="center" vertical="center"/>
    </xf>
    <xf numFmtId="0" fontId="2" fillId="3" borderId="4" xfId="0" applyFont="1" applyFill="1" applyBorder="1" applyAlignment="1">
      <alignment horizontal="left" vertical="center"/>
    </xf>
    <xf numFmtId="0" fontId="2" fillId="3" borderId="0" xfId="0" applyFont="1" applyFill="1" applyBorder="1" applyAlignment="1">
      <alignment horizontal="center" vertical="center"/>
    </xf>
    <xf numFmtId="0" fontId="2" fillId="3" borderId="4" xfId="0" applyFont="1" applyFill="1" applyBorder="1" applyAlignment="1">
      <alignment horizontal="right" vertical="center"/>
    </xf>
    <xf numFmtId="0" fontId="18" fillId="0" borderId="180" xfId="0" applyFont="1" applyBorder="1" applyAlignment="1">
      <alignment horizontal="center"/>
    </xf>
    <xf numFmtId="0" fontId="2" fillId="3" borderId="162" xfId="0" applyFont="1" applyFill="1" applyBorder="1" applyAlignment="1">
      <alignment horizontal="left" vertical="center"/>
    </xf>
    <xf numFmtId="0" fontId="2" fillId="3" borderId="0" xfId="0" applyFont="1" applyFill="1" applyBorder="1" applyAlignment="1">
      <alignment horizontal="right" vertical="center"/>
    </xf>
    <xf numFmtId="0" fontId="18" fillId="0" borderId="130" xfId="0" applyFont="1" applyBorder="1" applyAlignment="1">
      <alignment horizontal="center"/>
    </xf>
    <xf numFmtId="0" fontId="0" fillId="3" borderId="4" xfId="0" applyFill="1" applyBorder="1" applyAlignment="1">
      <alignment horizontal="left" vertical="center"/>
    </xf>
    <xf numFmtId="0" fontId="0" fillId="3" borderId="0" xfId="0" applyFill="1" applyBorder="1" applyAlignment="1">
      <alignment horizontal="left" vertical="center"/>
    </xf>
    <xf numFmtId="0" fontId="2" fillId="3" borderId="181" xfId="0" applyFont="1" applyFill="1" applyBorder="1" applyAlignment="1">
      <alignment horizontal="left" vertical="center"/>
    </xf>
    <xf numFmtId="0" fontId="0" fillId="3" borderId="182" xfId="0" applyFill="1" applyBorder="1" applyAlignment="1">
      <alignment horizontal="center" vertical="center"/>
    </xf>
    <xf numFmtId="0" fontId="2" fillId="3" borderId="183" xfId="0" applyFont="1" applyFill="1" applyBorder="1" applyAlignment="1">
      <alignment horizontal="center" vertical="center"/>
    </xf>
    <xf numFmtId="0" fontId="0" fillId="3" borderId="8" xfId="0" applyFill="1" applyBorder="1" applyAlignment="1">
      <alignment horizontal="center" vertical="center"/>
    </xf>
    <xf numFmtId="165" fontId="18" fillId="0" borderId="186" xfId="0" applyNumberFormat="1" applyFont="1" applyFill="1" applyBorder="1" applyAlignment="1">
      <alignment horizontal="center"/>
    </xf>
    <xf numFmtId="0" fontId="0" fillId="5" borderId="186" xfId="0" applyFill="1" applyBorder="1" applyAlignment="1">
      <alignment horizontal="center"/>
    </xf>
    <xf numFmtId="0" fontId="18" fillId="5" borderId="187" xfId="0" applyFont="1" applyFill="1" applyBorder="1" applyAlignment="1">
      <alignment horizontal="center"/>
    </xf>
    <xf numFmtId="165" fontId="18" fillId="0" borderId="0" xfId="0" applyNumberFormat="1" applyFont="1" applyFill="1" applyBorder="1" applyAlignment="1">
      <alignment horizontal="center"/>
    </xf>
    <xf numFmtId="0" fontId="0" fillId="5" borderId="0" xfId="0" applyFill="1" applyBorder="1" applyAlignment="1">
      <alignment horizontal="center"/>
    </xf>
    <xf numFmtId="0" fontId="18" fillId="5" borderId="162" xfId="0" applyFont="1" applyFill="1" applyBorder="1" applyAlignment="1">
      <alignment horizontal="center"/>
    </xf>
    <xf numFmtId="165" fontId="18" fillId="0" borderId="22" xfId="0" applyNumberFormat="1" applyFont="1" applyFill="1" applyBorder="1" applyAlignment="1">
      <alignment horizontal="center"/>
    </xf>
    <xf numFmtId="0" fontId="0" fillId="5" borderId="22" xfId="0" applyFill="1" applyBorder="1" applyAlignment="1">
      <alignment horizontal="center"/>
    </xf>
    <xf numFmtId="0" fontId="18" fillId="5" borderId="177" xfId="0" applyFont="1" applyFill="1" applyBorder="1" applyAlignment="1">
      <alignment horizontal="center"/>
    </xf>
    <xf numFmtId="0" fontId="2" fillId="3" borderId="173" xfId="0" applyFont="1" applyFill="1" applyBorder="1" applyAlignment="1">
      <alignment horizontal="center" vertical="center"/>
    </xf>
    <xf numFmtId="0" fontId="0" fillId="3" borderId="184" xfId="0" applyFill="1" applyBorder="1" applyAlignment="1">
      <alignment horizontal="center" vertical="center"/>
    </xf>
    <xf numFmtId="0" fontId="2" fillId="3" borderId="53" xfId="0" applyFont="1" applyFill="1" applyBorder="1" applyAlignment="1">
      <alignment horizontal="center" vertical="center"/>
    </xf>
    <xf numFmtId="0" fontId="2" fillId="3" borderId="54" xfId="0" applyFont="1" applyFill="1" applyBorder="1" applyAlignment="1">
      <alignment horizontal="center" vertical="center"/>
    </xf>
    <xf numFmtId="0" fontId="0" fillId="3" borderId="185" xfId="0" applyFill="1" applyBorder="1" applyAlignment="1">
      <alignment horizontal="center" vertical="center"/>
    </xf>
    <xf numFmtId="0" fontId="18" fillId="5" borderId="0" xfId="0" applyNumberFormat="1" applyFont="1" applyFill="1" applyBorder="1" applyAlignment="1">
      <alignment horizontal="center" vertical="center"/>
    </xf>
    <xf numFmtId="0" fontId="2" fillId="5" borderId="0" xfId="0" applyFont="1" applyFill="1" applyBorder="1" applyAlignment="1">
      <alignment horizontal="left"/>
    </xf>
    <xf numFmtId="0" fontId="2" fillId="5" borderId="0" xfId="0" applyFont="1" applyFill="1" applyAlignment="1">
      <alignment horizontal="left" vertical="center"/>
    </xf>
    <xf numFmtId="0" fontId="2" fillId="5" borderId="0" xfId="0" applyFont="1" applyFill="1" applyAlignment="1">
      <alignment horizontal="left"/>
    </xf>
    <xf numFmtId="0" fontId="75" fillId="3" borderId="92" xfId="0" applyFont="1" applyFill="1" applyBorder="1" applyAlignment="1">
      <alignment horizontal="center" vertical="center" wrapText="1"/>
    </xf>
    <xf numFmtId="0" fontId="6" fillId="5" borderId="92" xfId="0" applyFont="1" applyFill="1" applyBorder="1" applyAlignment="1">
      <alignment horizontal="center" vertical="center" wrapText="1"/>
    </xf>
    <xf numFmtId="0" fontId="2" fillId="3" borderId="9" xfId="0" applyFont="1" applyFill="1" applyBorder="1" applyAlignment="1">
      <alignment horizontal="center" vertical="center"/>
    </xf>
    <xf numFmtId="166" fontId="17" fillId="5" borderId="190" xfId="0" applyNumberFormat="1" applyFont="1" applyFill="1" applyBorder="1" applyAlignment="1">
      <alignment horizontal="center" vertical="center"/>
    </xf>
    <xf numFmtId="0" fontId="3" fillId="6" borderId="30" xfId="0" applyFont="1" applyFill="1" applyBorder="1" applyAlignment="1">
      <alignment horizontal="center" vertical="center"/>
    </xf>
    <xf numFmtId="0" fontId="13" fillId="6" borderId="32" xfId="0" applyFont="1" applyFill="1" applyBorder="1"/>
    <xf numFmtId="166" fontId="144" fillId="7" borderId="4" xfId="2" applyNumberFormat="1" applyFont="1" applyFill="1" applyBorder="1" applyAlignment="1">
      <alignment horizontal="left" vertical="center"/>
    </xf>
    <xf numFmtId="166" fontId="2" fillId="7" borderId="0" xfId="2" applyNumberFormat="1" applyFont="1" applyFill="1" applyBorder="1" applyAlignment="1">
      <alignment horizontal="left" vertical="center"/>
    </xf>
    <xf numFmtId="166" fontId="145" fillId="7" borderId="5" xfId="2" applyNumberFormat="1" applyFont="1" applyFill="1" applyBorder="1" applyAlignment="1">
      <alignment horizontal="center" vertical="center"/>
    </xf>
    <xf numFmtId="166" fontId="144" fillId="7" borderId="90" xfId="2" applyNumberFormat="1" applyFont="1" applyFill="1" applyBorder="1" applyAlignment="1">
      <alignment horizontal="left" vertical="center"/>
    </xf>
    <xf numFmtId="166" fontId="0" fillId="7" borderId="70" xfId="2" applyNumberFormat="1" applyFont="1" applyFill="1" applyBorder="1" applyAlignment="1">
      <alignment horizontal="center" vertical="center"/>
    </xf>
    <xf numFmtId="0" fontId="3" fillId="6" borderId="188" xfId="0" applyFont="1" applyFill="1" applyBorder="1" applyAlignment="1">
      <alignment horizontal="left" vertical="center"/>
    </xf>
    <xf numFmtId="0" fontId="3" fillId="6" borderId="189" xfId="0" applyFont="1" applyFill="1" applyBorder="1" applyAlignment="1">
      <alignment horizontal="left" vertical="center"/>
    </xf>
    <xf numFmtId="0" fontId="0" fillId="29" borderId="192" xfId="0" applyFill="1" applyBorder="1"/>
    <xf numFmtId="0" fontId="0" fillId="30" borderId="193" xfId="0" applyFill="1" applyBorder="1"/>
    <xf numFmtId="0" fontId="2" fillId="3" borderId="194" xfId="0" applyFont="1" applyFill="1" applyBorder="1" applyAlignment="1">
      <alignment horizontal="center" vertical="center"/>
    </xf>
    <xf numFmtId="166" fontId="13" fillId="18" borderId="195" xfId="2" applyNumberFormat="1" applyFont="1" applyFill="1" applyBorder="1" applyAlignment="1">
      <alignment horizontal="center" vertical="center"/>
    </xf>
    <xf numFmtId="0" fontId="0" fillId="29" borderId="29" xfId="0" applyFill="1" applyBorder="1"/>
    <xf numFmtId="0" fontId="0" fillId="30" borderId="196" xfId="0" applyFill="1" applyBorder="1"/>
    <xf numFmtId="0" fontId="2" fillId="6" borderId="197" xfId="0" applyFont="1" applyFill="1" applyBorder="1" applyAlignment="1">
      <alignment horizontal="center" vertical="center"/>
    </xf>
    <xf numFmtId="49" fontId="0" fillId="3" borderId="199" xfId="0" applyNumberFormat="1" applyFill="1" applyBorder="1" applyAlignment="1">
      <alignment horizontal="center"/>
    </xf>
    <xf numFmtId="166" fontId="146" fillId="2" borderId="29" xfId="0" applyNumberFormat="1" applyFont="1" applyFill="1" applyBorder="1" applyAlignment="1">
      <alignment horizontal="left"/>
    </xf>
    <xf numFmtId="166" fontId="146" fillId="2" borderId="196" xfId="0" applyNumberFormat="1" applyFont="1" applyFill="1" applyBorder="1"/>
    <xf numFmtId="49" fontId="0" fillId="3" borderId="200" xfId="0" applyNumberFormat="1" applyFill="1" applyBorder="1" applyAlignment="1">
      <alignment horizontal="center"/>
    </xf>
    <xf numFmtId="49" fontId="0" fillId="3" borderId="201" xfId="0" applyNumberFormat="1" applyFill="1" applyBorder="1" applyAlignment="1">
      <alignment horizontal="center"/>
    </xf>
    <xf numFmtId="0" fontId="3" fillId="6" borderId="202" xfId="0" applyFont="1" applyFill="1" applyBorder="1" applyAlignment="1">
      <alignment horizontal="left" vertical="center"/>
    </xf>
    <xf numFmtId="0" fontId="0" fillId="32" borderId="204" xfId="0" applyFill="1" applyBorder="1"/>
    <xf numFmtId="0" fontId="2" fillId="3" borderId="26" xfId="0" applyFont="1" applyFill="1" applyBorder="1" applyAlignment="1">
      <alignment horizontal="center" vertical="center"/>
    </xf>
    <xf numFmtId="166" fontId="2" fillId="7" borderId="22" xfId="2" applyNumberFormat="1" applyFont="1" applyFill="1" applyBorder="1" applyAlignment="1">
      <alignment horizontal="left" vertical="center"/>
    </xf>
    <xf numFmtId="0" fontId="2" fillId="3" borderId="2" xfId="0" applyFont="1" applyFill="1" applyBorder="1" applyAlignment="1">
      <alignment horizontal="center" vertical="center" wrapText="1"/>
    </xf>
    <xf numFmtId="0" fontId="87" fillId="2" borderId="0" xfId="0" applyFont="1" applyFill="1" applyBorder="1" applyAlignment="1">
      <alignment horizontal="center" vertical="center"/>
    </xf>
    <xf numFmtId="0" fontId="80" fillId="2" borderId="0" xfId="0" applyFont="1" applyFill="1" applyBorder="1" applyAlignment="1">
      <alignment horizontal="center" vertical="center"/>
    </xf>
    <xf numFmtId="0" fontId="13" fillId="6" borderId="90" xfId="0" applyFont="1" applyFill="1" applyBorder="1" applyAlignment="1">
      <alignment vertical="center"/>
    </xf>
    <xf numFmtId="0" fontId="13" fillId="6" borderId="22" xfId="0" applyFont="1" applyFill="1" applyBorder="1"/>
    <xf numFmtId="0" fontId="80" fillId="6" borderId="22" xfId="0" applyFont="1" applyFill="1" applyBorder="1" applyAlignment="1">
      <alignment horizontal="left" vertical="center"/>
    </xf>
    <xf numFmtId="0" fontId="0" fillId="6" borderId="70" xfId="0" applyFill="1" applyBorder="1" applyAlignment="1">
      <alignment horizontal="center"/>
    </xf>
    <xf numFmtId="0" fontId="141" fillId="6" borderId="136" xfId="0" applyFont="1" applyFill="1" applyBorder="1" applyAlignment="1">
      <alignment horizontal="left" vertical="center"/>
    </xf>
    <xf numFmtId="0" fontId="141" fillId="6" borderId="211" xfId="0" applyFont="1" applyFill="1" applyBorder="1" applyAlignment="1">
      <alignment horizontal="left" vertical="center"/>
    </xf>
    <xf numFmtId="0" fontId="141" fillId="5" borderId="207" xfId="0" applyFont="1" applyFill="1" applyBorder="1" applyAlignment="1">
      <alignment horizontal="left" vertical="center"/>
    </xf>
    <xf numFmtId="0" fontId="80" fillId="5" borderId="215" xfId="0" applyFont="1" applyFill="1" applyBorder="1" applyAlignment="1"/>
    <xf numFmtId="0" fontId="80" fillId="5" borderId="217" xfId="0" applyFont="1" applyFill="1" applyBorder="1"/>
    <xf numFmtId="0" fontId="80" fillId="5" borderId="218" xfId="0" applyFont="1" applyFill="1" applyBorder="1"/>
    <xf numFmtId="0" fontId="46" fillId="5" borderId="215" xfId="0" applyFont="1" applyFill="1" applyBorder="1"/>
    <xf numFmtId="0" fontId="46" fillId="5" borderId="217" xfId="0" applyFont="1" applyFill="1" applyBorder="1"/>
    <xf numFmtId="0" fontId="141" fillId="6" borderId="46" xfId="0" applyFont="1" applyFill="1" applyBorder="1" applyAlignment="1">
      <alignment horizontal="center" vertical="center"/>
    </xf>
    <xf numFmtId="0" fontId="147" fillId="3" borderId="9" xfId="0" applyFont="1" applyFill="1" applyBorder="1" applyAlignment="1">
      <alignment horizontal="center" vertical="center"/>
    </xf>
    <xf numFmtId="0" fontId="147" fillId="3" borderId="100" xfId="0" applyFont="1" applyFill="1" applyBorder="1" applyAlignment="1">
      <alignment vertical="center"/>
    </xf>
    <xf numFmtId="0" fontId="151" fillId="3" borderId="9" xfId="0" applyFont="1" applyFill="1" applyBorder="1" applyAlignment="1">
      <alignment horizontal="center" vertical="center"/>
    </xf>
    <xf numFmtId="0" fontId="147" fillId="5" borderId="0" xfId="0" applyNumberFormat="1" applyFont="1" applyFill="1" applyBorder="1" applyAlignment="1">
      <alignment horizontal="center" vertical="center"/>
    </xf>
    <xf numFmtId="11" fontId="147" fillId="5" borderId="38" xfId="0" applyNumberFormat="1" applyFont="1" applyFill="1" applyBorder="1" applyAlignment="1">
      <alignment horizontal="center" vertical="center"/>
    </xf>
    <xf numFmtId="0" fontId="151" fillId="3" borderId="26" xfId="0" applyFont="1" applyFill="1" applyBorder="1" applyAlignment="1">
      <alignment horizontal="center" vertical="center"/>
    </xf>
    <xf numFmtId="0" fontId="147" fillId="5" borderId="22" xfId="0" applyNumberFormat="1" applyFont="1" applyFill="1" applyBorder="1" applyAlignment="1">
      <alignment horizontal="center" vertical="center"/>
    </xf>
    <xf numFmtId="11" fontId="147" fillId="5" borderId="44" xfId="0" applyNumberFormat="1" applyFont="1" applyFill="1" applyBorder="1" applyAlignment="1">
      <alignment horizontal="center" vertical="center"/>
    </xf>
    <xf numFmtId="0" fontId="141" fillId="6" borderId="30" xfId="0" applyFont="1" applyFill="1" applyBorder="1" applyAlignment="1">
      <alignment horizontal="left" vertical="center"/>
    </xf>
    <xf numFmtId="0" fontId="147" fillId="5" borderId="22" xfId="0" applyFont="1" applyFill="1" applyBorder="1" applyAlignment="1">
      <alignment vertical="center"/>
    </xf>
    <xf numFmtId="0" fontId="147" fillId="6" borderId="122" xfId="0" applyFont="1" applyFill="1" applyBorder="1" applyAlignment="1">
      <alignment horizontal="center" vertical="center" wrapText="1"/>
    </xf>
    <xf numFmtId="0" fontId="147" fillId="6" borderId="100" xfId="0" applyFont="1" applyFill="1" applyBorder="1" applyAlignment="1">
      <alignment horizontal="center" vertical="center" wrapText="1"/>
    </xf>
    <xf numFmtId="0" fontId="151" fillId="3" borderId="121" xfId="0" applyFont="1" applyFill="1" applyBorder="1" applyAlignment="1">
      <alignment horizontal="center" vertical="center"/>
    </xf>
    <xf numFmtId="2" fontId="153" fillId="0" borderId="216" xfId="0" applyNumberFormat="1" applyFont="1" applyFill="1" applyBorder="1" applyAlignment="1">
      <alignment horizontal="center" vertical="center"/>
    </xf>
    <xf numFmtId="0" fontId="0" fillId="19" borderId="0" xfId="0" applyFill="1" applyBorder="1" applyAlignment="1">
      <alignment horizontal="center" vertical="center"/>
    </xf>
    <xf numFmtId="0" fontId="0" fillId="19" borderId="22" xfId="0" applyFill="1" applyBorder="1" applyAlignment="1">
      <alignment vertical="center"/>
    </xf>
    <xf numFmtId="0" fontId="13" fillId="6" borderId="0" xfId="0" applyFont="1" applyFill="1" applyBorder="1" applyAlignment="1" applyProtection="1">
      <alignment horizontal="left" vertical="center"/>
      <protection hidden="1"/>
    </xf>
    <xf numFmtId="0" fontId="3" fillId="6" borderId="184" xfId="0" applyFont="1" applyFill="1" applyBorder="1" applyAlignment="1">
      <alignment horizontal="center" vertical="center" wrapText="1"/>
    </xf>
    <xf numFmtId="0" fontId="9" fillId="3" borderId="217" xfId="0" applyFont="1" applyFill="1" applyBorder="1" applyAlignment="1">
      <alignment horizontal="center" vertical="center" wrapText="1"/>
    </xf>
    <xf numFmtId="0" fontId="0" fillId="6" borderId="212" xfId="0" applyFill="1" applyBorder="1" applyAlignment="1">
      <alignment horizontal="center" vertical="center"/>
    </xf>
    <xf numFmtId="0" fontId="0" fillId="7" borderId="220" xfId="0" applyFill="1" applyBorder="1" applyAlignment="1">
      <alignment horizontal="center" vertical="center" wrapText="1"/>
    </xf>
    <xf numFmtId="0" fontId="0" fillId="19" borderId="5" xfId="0" applyFill="1" applyBorder="1" applyAlignment="1">
      <alignment vertical="center"/>
    </xf>
    <xf numFmtId="0" fontId="0" fillId="19" borderId="70" xfId="0" applyFill="1" applyBorder="1" applyAlignment="1">
      <alignment vertical="center"/>
    </xf>
    <xf numFmtId="0" fontId="151" fillId="3" borderId="26" xfId="0" applyFont="1" applyFill="1" applyBorder="1" applyAlignment="1">
      <alignment horizontal="centerContinuous"/>
    </xf>
    <xf numFmtId="0" fontId="147" fillId="5" borderId="221" xfId="0" applyNumberFormat="1" applyFont="1" applyFill="1" applyBorder="1" applyAlignment="1">
      <alignment horizontal="center" vertical="center"/>
    </xf>
    <xf numFmtId="0" fontId="141" fillId="6" borderId="136" xfId="0" applyFont="1" applyFill="1" applyBorder="1" applyAlignment="1">
      <alignment horizontal="left" vertical="top"/>
    </xf>
    <xf numFmtId="0" fontId="147" fillId="6" borderId="53" xfId="0" applyFont="1" applyFill="1" applyBorder="1" applyAlignment="1">
      <alignment horizontal="center" vertical="top"/>
    </xf>
    <xf numFmtId="0" fontId="147" fillId="6" borderId="54" xfId="0" applyFont="1" applyFill="1" applyBorder="1" applyAlignment="1">
      <alignment horizontal="center" vertical="top"/>
    </xf>
    <xf numFmtId="0" fontId="147" fillId="3" borderId="222" xfId="0" applyFont="1" applyFill="1" applyBorder="1" applyAlignment="1">
      <alignment horizontal="center" vertical="center"/>
    </xf>
    <xf numFmtId="0" fontId="147" fillId="2" borderId="223" xfId="0" applyFont="1" applyFill="1" applyBorder="1" applyAlignment="1">
      <alignment horizontal="center" vertical="center"/>
    </xf>
    <xf numFmtId="0" fontId="153" fillId="0" borderId="214" xfId="0" applyNumberFormat="1" applyFont="1" applyFill="1" applyBorder="1" applyAlignment="1">
      <alignment horizontal="center" vertical="center"/>
    </xf>
    <xf numFmtId="0" fontId="147" fillId="2" borderId="214" xfId="0" applyNumberFormat="1" applyFont="1" applyFill="1" applyBorder="1" applyAlignment="1">
      <alignment horizontal="center" vertical="center"/>
    </xf>
    <xf numFmtId="1" fontId="147" fillId="3" borderId="216" xfId="0" applyNumberFormat="1" applyFont="1" applyFill="1" applyBorder="1" applyAlignment="1">
      <alignment horizontal="center" vertical="center"/>
    </xf>
    <xf numFmtId="0" fontId="147" fillId="2" borderId="210" xfId="0" applyFont="1" applyFill="1" applyBorder="1" applyAlignment="1">
      <alignment horizontal="center" vertical="center"/>
    </xf>
    <xf numFmtId="0" fontId="153" fillId="0" borderId="224" xfId="0" applyNumberFormat="1" applyFont="1" applyFill="1" applyBorder="1" applyAlignment="1">
      <alignment horizontal="center" vertical="center"/>
    </xf>
    <xf numFmtId="0" fontId="147" fillId="2" borderId="224" xfId="0" applyFont="1" applyFill="1" applyBorder="1" applyAlignment="1">
      <alignment horizontal="center" vertical="center"/>
    </xf>
    <xf numFmtId="0" fontId="141" fillId="6" borderId="225" xfId="0" applyFont="1" applyFill="1" applyBorder="1" applyAlignment="1">
      <alignment horizontal="center" vertical="center"/>
    </xf>
    <xf numFmtId="0" fontId="3" fillId="6" borderId="4" xfId="0" applyFont="1" applyFill="1" applyBorder="1" applyAlignment="1">
      <alignment horizontal="left" vertical="center"/>
    </xf>
    <xf numFmtId="166" fontId="0" fillId="6" borderId="5" xfId="0" applyNumberFormat="1" applyFill="1" applyBorder="1" applyAlignment="1">
      <alignment horizontal="center" vertical="center"/>
    </xf>
    <xf numFmtId="0" fontId="147" fillId="3" borderId="9" xfId="0" applyFont="1" applyFill="1" applyBorder="1" applyAlignment="1">
      <alignment horizontal="center"/>
    </xf>
    <xf numFmtId="0" fontId="153" fillId="7" borderId="128" xfId="0" applyNumberFormat="1" applyFont="1" applyFill="1" applyBorder="1" applyAlignment="1">
      <alignment horizontal="center" vertical="center"/>
    </xf>
    <xf numFmtId="0" fontId="153" fillId="0" borderId="16" xfId="0" applyNumberFormat="1" applyFont="1" applyBorder="1" applyAlignment="1">
      <alignment horizontal="center" vertical="center"/>
    </xf>
    <xf numFmtId="0" fontId="153" fillId="7" borderId="17" xfId="0" applyNumberFormat="1" applyFont="1" applyFill="1" applyBorder="1" applyAlignment="1">
      <alignment horizontal="center" vertical="center"/>
    </xf>
    <xf numFmtId="0" fontId="2" fillId="6" borderId="58" xfId="0" applyFont="1" applyFill="1" applyBorder="1" applyAlignment="1">
      <alignment horizontal="left" vertical="center"/>
    </xf>
    <xf numFmtId="0" fontId="153" fillId="7" borderId="50" xfId="0" applyNumberFormat="1" applyFont="1" applyFill="1" applyBorder="1" applyAlignment="1">
      <alignment horizontal="center" vertical="center"/>
    </xf>
    <xf numFmtId="0" fontId="153" fillId="7" borderId="51" xfId="0" applyNumberFormat="1" applyFont="1" applyFill="1" applyBorder="1" applyAlignment="1">
      <alignment horizontal="center" vertical="center"/>
    </xf>
    <xf numFmtId="0" fontId="0" fillId="3" borderId="229" xfId="0" applyFill="1" applyBorder="1" applyAlignment="1">
      <alignment horizontal="center" vertical="center"/>
    </xf>
    <xf numFmtId="166" fontId="18" fillId="5" borderId="212" xfId="0" applyNumberFormat="1" applyFont="1" applyFill="1" applyBorder="1" applyAlignment="1">
      <alignment horizontal="center" vertical="center"/>
    </xf>
    <xf numFmtId="0" fontId="153" fillId="7" borderId="47" xfId="0" applyNumberFormat="1" applyFont="1" applyFill="1" applyBorder="1" applyAlignment="1">
      <alignment horizontal="center" vertical="center"/>
    </xf>
    <xf numFmtId="0" fontId="153" fillId="0" borderId="56" xfId="0" applyNumberFormat="1" applyFont="1" applyFill="1" applyBorder="1" applyAlignment="1">
      <alignment horizontal="center" vertical="center"/>
    </xf>
    <xf numFmtId="166" fontId="18" fillId="5" borderId="118" xfId="0" applyNumberFormat="1" applyFont="1" applyFill="1" applyBorder="1" applyAlignment="1">
      <alignment horizontal="center" vertical="center"/>
    </xf>
    <xf numFmtId="0" fontId="151" fillId="3" borderId="9" xfId="0" applyFont="1" applyFill="1" applyBorder="1" applyAlignment="1">
      <alignment horizontal="center"/>
    </xf>
    <xf numFmtId="0" fontId="147" fillId="5" borderId="226" xfId="0" applyNumberFormat="1" applyFont="1" applyFill="1" applyBorder="1" applyAlignment="1">
      <alignment horizontal="center" vertical="center"/>
    </xf>
    <xf numFmtId="11" fontId="147" fillId="5" borderId="20" xfId="0" applyNumberFormat="1" applyFont="1" applyFill="1" applyBorder="1" applyAlignment="1">
      <alignment horizontal="center" vertical="center"/>
    </xf>
    <xf numFmtId="0" fontId="147" fillId="5" borderId="154" xfId="0" applyNumberFormat="1" applyFont="1" applyFill="1" applyBorder="1" applyAlignment="1">
      <alignment horizontal="center" vertical="center"/>
    </xf>
    <xf numFmtId="11" fontId="147" fillId="5" borderId="0" xfId="0" applyNumberFormat="1" applyFont="1" applyFill="1" applyBorder="1" applyAlignment="1">
      <alignment horizontal="center" vertical="center"/>
    </xf>
    <xf numFmtId="0" fontId="0" fillId="3" borderId="219" xfId="0" applyFill="1" applyBorder="1" applyAlignment="1">
      <alignment horizontal="center" vertical="center"/>
    </xf>
    <xf numFmtId="1" fontId="18" fillId="5" borderId="212" xfId="0" applyNumberFormat="1" applyFont="1" applyFill="1" applyBorder="1" applyAlignment="1">
      <alignment horizontal="center" vertical="center"/>
    </xf>
    <xf numFmtId="2" fontId="153" fillId="0" borderId="230" xfId="0" applyNumberFormat="1" applyFont="1" applyFill="1" applyBorder="1" applyAlignment="1">
      <alignment horizontal="center" vertical="center"/>
    </xf>
    <xf numFmtId="1" fontId="153" fillId="4" borderId="145" xfId="0" applyNumberFormat="1" applyFont="1" applyFill="1" applyBorder="1" applyAlignment="1">
      <alignment horizontal="center" vertical="center"/>
    </xf>
    <xf numFmtId="0" fontId="2" fillId="5" borderId="72" xfId="0" applyFont="1" applyFill="1" applyBorder="1" applyAlignment="1">
      <alignment horizontal="right" vertical="center"/>
    </xf>
    <xf numFmtId="0" fontId="154" fillId="2" borderId="0" xfId="0" applyFont="1" applyFill="1" applyAlignment="1">
      <alignment horizontal="center"/>
    </xf>
    <xf numFmtId="0" fontId="156" fillId="0" borderId="42" xfId="0" applyNumberFormat="1" applyFont="1" applyFill="1" applyBorder="1" applyAlignment="1">
      <alignment horizontal="center" vertical="center"/>
    </xf>
    <xf numFmtId="0" fontId="156" fillId="0" borderId="0" xfId="0" applyNumberFormat="1" applyFont="1" applyFill="1" applyBorder="1" applyAlignment="1">
      <alignment horizontal="center" vertical="center"/>
    </xf>
    <xf numFmtId="0" fontId="156" fillId="0" borderId="12" xfId="0" applyNumberFormat="1" applyFont="1" applyFill="1" applyBorder="1" applyAlignment="1">
      <alignment horizontal="center" vertical="center"/>
    </xf>
    <xf numFmtId="0" fontId="156" fillId="5" borderId="0" xfId="0" applyNumberFormat="1" applyFont="1" applyFill="1" applyBorder="1" applyAlignment="1">
      <alignment horizontal="center" vertical="center"/>
    </xf>
    <xf numFmtId="0" fontId="156" fillId="5" borderId="12" xfId="0" applyNumberFormat="1" applyFont="1" applyFill="1" applyBorder="1" applyAlignment="1">
      <alignment horizontal="center" vertical="center"/>
    </xf>
    <xf numFmtId="0" fontId="156" fillId="5" borderId="0" xfId="0" applyFont="1" applyFill="1" applyBorder="1" applyAlignment="1">
      <alignment horizontal="left" vertical="center"/>
    </xf>
    <xf numFmtId="0" fontId="156" fillId="0" borderId="54" xfId="0" applyNumberFormat="1" applyFont="1" applyFill="1" applyBorder="1" applyAlignment="1">
      <alignment horizontal="center" vertical="center"/>
    </xf>
    <xf numFmtId="0" fontId="158" fillId="3" borderId="9" xfId="0" applyFont="1" applyFill="1" applyBorder="1" applyAlignment="1">
      <alignment horizontal="center" vertical="center"/>
    </xf>
    <xf numFmtId="0" fontId="155" fillId="5" borderId="49" xfId="0" applyNumberFormat="1" applyFont="1" applyFill="1" applyBorder="1" applyAlignment="1">
      <alignment horizontal="center" vertical="center"/>
    </xf>
    <xf numFmtId="0" fontId="155" fillId="5" borderId="35" xfId="0" applyNumberFormat="1" applyFont="1" applyFill="1" applyBorder="1" applyAlignment="1">
      <alignment horizontal="center" vertical="center"/>
    </xf>
    <xf numFmtId="167" fontId="155" fillId="5" borderId="38" xfId="0" applyNumberFormat="1" applyFont="1" applyFill="1" applyBorder="1" applyAlignment="1">
      <alignment horizontal="center" vertical="center"/>
    </xf>
    <xf numFmtId="0" fontId="158" fillId="3" borderId="9" xfId="0" applyFont="1" applyFill="1" applyBorder="1" applyAlignment="1">
      <alignment horizontal="center"/>
    </xf>
    <xf numFmtId="0" fontId="155" fillId="5" borderId="42" xfId="0" applyNumberFormat="1" applyFont="1" applyFill="1" applyBorder="1" applyAlignment="1">
      <alignment horizontal="center" vertical="center"/>
    </xf>
    <xf numFmtId="0" fontId="155" fillId="5" borderId="0" xfId="0" applyNumberFormat="1" applyFont="1" applyFill="1" applyBorder="1" applyAlignment="1">
      <alignment horizontal="center" vertical="center"/>
    </xf>
    <xf numFmtId="0" fontId="155" fillId="5" borderId="154" xfId="0" applyNumberFormat="1" applyFont="1" applyFill="1" applyBorder="1" applyAlignment="1">
      <alignment horizontal="center" vertical="center"/>
    </xf>
    <xf numFmtId="167" fontId="155" fillId="5" borderId="42" xfId="0" applyNumberFormat="1" applyFont="1" applyFill="1" applyBorder="1" applyAlignment="1">
      <alignment horizontal="center" vertical="center"/>
    </xf>
    <xf numFmtId="0" fontId="158" fillId="3" borderId="26" xfId="0" applyFont="1" applyFill="1" applyBorder="1" applyAlignment="1">
      <alignment horizontal="centerContinuous"/>
    </xf>
    <xf numFmtId="0" fontId="155" fillId="5" borderId="44" xfId="0" applyNumberFormat="1" applyFont="1" applyFill="1" applyBorder="1" applyAlignment="1">
      <alignment horizontal="center" vertical="center"/>
    </xf>
    <xf numFmtId="0" fontId="155" fillId="5" borderId="22" xfId="0" applyNumberFormat="1" applyFont="1" applyFill="1" applyBorder="1" applyAlignment="1">
      <alignment horizontal="center" vertical="center"/>
    </xf>
    <xf numFmtId="0" fontId="155" fillId="6" borderId="219" xfId="0" applyFont="1" applyFill="1" applyBorder="1" applyAlignment="1">
      <alignment horizontal="left" vertical="center"/>
    </xf>
    <xf numFmtId="0" fontId="160" fillId="6" borderId="198" xfId="0" applyFont="1" applyFill="1" applyBorder="1" applyAlignment="1">
      <alignment horizontal="left" vertical="center"/>
    </xf>
    <xf numFmtId="0" fontId="160" fillId="6" borderId="226" xfId="0" applyFont="1" applyFill="1" applyBorder="1" applyAlignment="1">
      <alignment horizontal="center" vertical="center"/>
    </xf>
    <xf numFmtId="0" fontId="155" fillId="3" borderId="228" xfId="0" applyFont="1" applyFill="1" applyBorder="1" applyAlignment="1">
      <alignment horizontal="center" vertical="center"/>
    </xf>
    <xf numFmtId="0" fontId="155" fillId="3" borderId="53" xfId="0" applyFont="1" applyFill="1" applyBorder="1" applyAlignment="1">
      <alignment horizontal="center" vertical="center"/>
    </xf>
    <xf numFmtId="0" fontId="155" fillId="3" borderId="54" xfId="0" applyFont="1" applyFill="1" applyBorder="1" applyAlignment="1">
      <alignment horizontal="center" vertical="center"/>
    </xf>
    <xf numFmtId="0" fontId="156" fillId="0" borderId="226" xfId="0" applyFont="1" applyBorder="1" applyAlignment="1">
      <alignment horizontal="center" vertical="center"/>
    </xf>
    <xf numFmtId="0" fontId="156" fillId="0" borderId="180" xfId="0" applyFont="1" applyBorder="1" applyAlignment="1">
      <alignment horizontal="center" vertical="center"/>
    </xf>
    <xf numFmtId="2" fontId="156" fillId="5" borderId="227" xfId="0" applyNumberFormat="1" applyFont="1" applyFill="1" applyBorder="1" applyAlignment="1">
      <alignment horizontal="center" vertical="center"/>
    </xf>
    <xf numFmtId="0" fontId="155" fillId="6" borderId="53" xfId="0" applyFont="1" applyFill="1" applyBorder="1" applyAlignment="1">
      <alignment horizontal="center" vertical="top"/>
    </xf>
    <xf numFmtId="0" fontId="155" fillId="6" borderId="54" xfId="0" applyFont="1" applyFill="1" applyBorder="1" applyAlignment="1">
      <alignment horizontal="center" vertical="top"/>
    </xf>
    <xf numFmtId="0" fontId="155" fillId="3" borderId="222" xfId="0" applyFont="1" applyFill="1" applyBorder="1" applyAlignment="1">
      <alignment horizontal="center" vertical="center"/>
    </xf>
    <xf numFmtId="0" fontId="155" fillId="2" borderId="223" xfId="0" applyFont="1" applyFill="1" applyBorder="1" applyAlignment="1">
      <alignment horizontal="center" vertical="center"/>
    </xf>
    <xf numFmtId="0" fontId="156" fillId="0" borderId="214" xfId="0" applyNumberFormat="1" applyFont="1" applyFill="1" applyBorder="1" applyAlignment="1">
      <alignment horizontal="center" vertical="center"/>
    </xf>
    <xf numFmtId="0" fontId="155" fillId="2" borderId="214" xfId="0" applyNumberFormat="1" applyFont="1" applyFill="1" applyBorder="1" applyAlignment="1">
      <alignment horizontal="center" vertical="center"/>
    </xf>
    <xf numFmtId="1" fontId="155" fillId="3" borderId="216" xfId="0" applyNumberFormat="1" applyFont="1" applyFill="1" applyBorder="1" applyAlignment="1">
      <alignment horizontal="center" vertical="center"/>
    </xf>
    <xf numFmtId="0" fontId="155" fillId="2" borderId="210" xfId="0" applyFont="1" applyFill="1" applyBorder="1" applyAlignment="1">
      <alignment horizontal="center" vertical="center"/>
    </xf>
    <xf numFmtId="0" fontId="156" fillId="0" borderId="224" xfId="0" applyNumberFormat="1" applyFont="1" applyFill="1" applyBorder="1" applyAlignment="1">
      <alignment horizontal="center" vertical="center"/>
    </xf>
    <xf numFmtId="0" fontId="155" fillId="2" borderId="224" xfId="0" applyFont="1" applyFill="1" applyBorder="1" applyAlignment="1">
      <alignment horizontal="center" vertical="center"/>
    </xf>
    <xf numFmtId="1" fontId="155" fillId="3" borderId="54" xfId="0" applyNumberFormat="1" applyFont="1" applyFill="1" applyBorder="1" applyAlignment="1">
      <alignment horizontal="center" vertical="center" wrapText="1"/>
    </xf>
    <xf numFmtId="1" fontId="155" fillId="3" borderId="208" xfId="0" applyNumberFormat="1" applyFont="1" applyFill="1" applyBorder="1" applyAlignment="1">
      <alignment horizontal="center" vertical="center" wrapText="1"/>
    </xf>
    <xf numFmtId="0" fontId="156" fillId="0" borderId="0" xfId="0" applyFont="1" applyFill="1" applyBorder="1" applyAlignment="1">
      <alignment horizontal="center" vertical="center"/>
    </xf>
    <xf numFmtId="0" fontId="156" fillId="0" borderId="12" xfId="0" applyFont="1" applyFill="1" applyBorder="1" applyAlignment="1">
      <alignment horizontal="center" vertical="center"/>
    </xf>
    <xf numFmtId="0" fontId="156" fillId="5" borderId="42" xfId="0" applyFont="1" applyFill="1" applyBorder="1" applyAlignment="1">
      <alignment horizontal="center" vertical="center"/>
    </xf>
    <xf numFmtId="0" fontId="156" fillId="5" borderId="0" xfId="0" applyFont="1" applyFill="1" applyBorder="1" applyAlignment="1">
      <alignment horizontal="center" vertical="center"/>
    </xf>
    <xf numFmtId="0" fontId="156" fillId="5" borderId="12" xfId="0" applyFont="1" applyFill="1" applyBorder="1" applyAlignment="1">
      <alignment horizontal="center" vertical="center"/>
    </xf>
    <xf numFmtId="0" fontId="156" fillId="5" borderId="54" xfId="0" applyFont="1" applyFill="1" applyBorder="1" applyAlignment="1">
      <alignment horizontal="center" vertical="center"/>
    </xf>
    <xf numFmtId="0" fontId="158" fillId="3" borderId="26" xfId="0" applyFont="1" applyFill="1" applyBorder="1" applyAlignment="1">
      <alignment horizontal="center" vertical="center"/>
    </xf>
    <xf numFmtId="0" fontId="160" fillId="6" borderId="209" xfId="0" applyFont="1" applyFill="1" applyBorder="1" applyAlignment="1">
      <alignment horizontal="left" vertical="center"/>
    </xf>
    <xf numFmtId="0" fontId="160" fillId="6" borderId="52" xfId="0" applyFont="1" applyFill="1" applyBorder="1" applyAlignment="1">
      <alignment horizontal="center" vertical="center"/>
    </xf>
    <xf numFmtId="2" fontId="156" fillId="0" borderId="61" xfId="0" applyNumberFormat="1" applyFont="1" applyBorder="1" applyAlignment="1">
      <alignment horizontal="center" vertical="center"/>
    </xf>
    <xf numFmtId="2" fontId="156" fillId="0" borderId="210" xfId="0" applyNumberFormat="1" applyFont="1" applyBorder="1" applyAlignment="1">
      <alignment horizontal="center" vertical="center"/>
    </xf>
    <xf numFmtId="0" fontId="160" fillId="6" borderId="24" xfId="0" applyFont="1" applyFill="1" applyBorder="1" applyAlignment="1">
      <alignment horizontal="left" vertical="center"/>
    </xf>
    <xf numFmtId="0" fontId="161" fillId="6" borderId="32" xfId="0" applyFont="1" applyFill="1" applyBorder="1"/>
    <xf numFmtId="0" fontId="160" fillId="6" borderId="6" xfId="0" applyFont="1" applyFill="1" applyBorder="1" applyAlignment="1">
      <alignment horizontal="center" vertical="center" wrapText="1"/>
    </xf>
    <xf numFmtId="0" fontId="155" fillId="3" borderId="41" xfId="0" applyFont="1" applyFill="1" applyBorder="1" applyAlignment="1">
      <alignment horizontal="center" vertical="center" wrapText="1"/>
    </xf>
    <xf numFmtId="0" fontId="155" fillId="3" borderId="9" xfId="0" applyFont="1" applyFill="1" applyBorder="1" applyAlignment="1">
      <alignment horizontal="center" vertical="center"/>
    </xf>
    <xf numFmtId="0" fontId="155" fillId="3" borderId="26" xfId="0" applyFont="1" applyFill="1" applyBorder="1" applyAlignment="1">
      <alignment horizontal="center" vertical="center"/>
    </xf>
    <xf numFmtId="0" fontId="162" fillId="4" borderId="232" xfId="0" applyFont="1" applyFill="1" applyBorder="1" applyAlignment="1">
      <alignment horizontal="left" vertical="center"/>
    </xf>
    <xf numFmtId="0" fontId="80" fillId="4" borderId="233" xfId="0" applyFont="1" applyFill="1" applyBorder="1" applyAlignment="1">
      <alignment horizontal="left" vertical="center"/>
    </xf>
    <xf numFmtId="166" fontId="141" fillId="6" borderId="83" xfId="0" applyNumberFormat="1" applyFont="1" applyFill="1" applyBorder="1" applyAlignment="1">
      <alignment horizontal="center" vertical="center"/>
    </xf>
    <xf numFmtId="166" fontId="147" fillId="3" borderId="80" xfId="0" applyNumberFormat="1" applyFont="1" applyFill="1" applyBorder="1" applyAlignment="1">
      <alignment horizontal="center" vertical="center"/>
    </xf>
    <xf numFmtId="0" fontId="153" fillId="0" borderId="50" xfId="0" applyNumberFormat="1" applyFont="1" applyBorder="1" applyAlignment="1">
      <alignment horizontal="center" vertical="center"/>
    </xf>
    <xf numFmtId="166" fontId="147" fillId="3" borderId="81" xfId="0" applyNumberFormat="1" applyFont="1" applyFill="1" applyBorder="1" applyAlignment="1">
      <alignment horizontal="center" vertical="center"/>
    </xf>
    <xf numFmtId="0" fontId="151" fillId="3" borderId="119" xfId="0" applyNumberFormat="1" applyFont="1" applyFill="1" applyBorder="1" applyAlignment="1">
      <alignment horizontal="center" vertical="center"/>
    </xf>
    <xf numFmtId="0" fontId="147" fillId="3" borderId="31" xfId="0" applyFont="1" applyFill="1" applyBorder="1" applyAlignment="1">
      <alignment horizontal="right" vertical="center"/>
    </xf>
    <xf numFmtId="0" fontId="151" fillId="3" borderId="104" xfId="0" applyFont="1" applyFill="1" applyBorder="1" applyAlignment="1">
      <alignment horizontal="left" vertical="center"/>
    </xf>
    <xf numFmtId="0" fontId="151" fillId="3" borderId="81" xfId="0" applyFont="1" applyFill="1" applyBorder="1" applyAlignment="1">
      <alignment horizontal="center" vertical="center"/>
    </xf>
    <xf numFmtId="0" fontId="151" fillId="3" borderId="42" xfId="0" applyNumberFormat="1" applyFont="1" applyFill="1" applyBorder="1" applyAlignment="1">
      <alignment horizontal="left" vertical="center"/>
    </xf>
    <xf numFmtId="0" fontId="147" fillId="3" borderId="5" xfId="0" applyFont="1" applyFill="1" applyBorder="1" applyAlignment="1">
      <alignment vertical="center"/>
    </xf>
    <xf numFmtId="0" fontId="151" fillId="3" borderId="84" xfId="0" applyFont="1" applyFill="1" applyBorder="1" applyAlignment="1">
      <alignment horizontal="center" vertical="center"/>
    </xf>
    <xf numFmtId="0" fontId="151" fillId="3" borderId="44" xfId="0" applyNumberFormat="1" applyFont="1" applyFill="1" applyBorder="1" applyAlignment="1">
      <alignment horizontal="left" vertical="center"/>
    </xf>
    <xf numFmtId="166" fontId="147" fillId="5" borderId="28" xfId="0" applyNumberFormat="1" applyFont="1" applyFill="1" applyBorder="1" applyAlignment="1">
      <alignment horizontal="center" vertical="center"/>
    </xf>
    <xf numFmtId="166" fontId="155" fillId="3" borderId="80" xfId="0" applyNumberFormat="1" applyFont="1" applyFill="1" applyBorder="1" applyAlignment="1">
      <alignment horizontal="center" vertical="center"/>
    </xf>
    <xf numFmtId="0" fontId="155" fillId="5" borderId="36" xfId="0" applyNumberFormat="1" applyFont="1" applyFill="1" applyBorder="1" applyAlignment="1">
      <alignment horizontal="center" vertical="center"/>
    </xf>
    <xf numFmtId="166" fontId="155" fillId="3" borderId="81" xfId="0" applyNumberFormat="1" applyFont="1" applyFill="1" applyBorder="1" applyAlignment="1">
      <alignment horizontal="center"/>
    </xf>
    <xf numFmtId="0" fontId="155" fillId="5" borderId="12" xfId="0" applyNumberFormat="1" applyFont="1" applyFill="1" applyBorder="1" applyAlignment="1">
      <alignment horizontal="center" vertical="center"/>
    </xf>
    <xf numFmtId="0" fontId="155" fillId="5" borderId="54" xfId="0" applyNumberFormat="1" applyFont="1" applyFill="1" applyBorder="1" applyAlignment="1">
      <alignment horizontal="center" vertical="center"/>
    </xf>
    <xf numFmtId="0" fontId="155" fillId="5" borderId="2" xfId="0" applyNumberFormat="1" applyFont="1" applyFill="1" applyBorder="1" applyAlignment="1">
      <alignment horizontal="center" vertical="center"/>
    </xf>
    <xf numFmtId="0" fontId="155" fillId="5" borderId="37" xfId="0" applyNumberFormat="1" applyFont="1" applyFill="1" applyBorder="1" applyAlignment="1">
      <alignment horizontal="center" vertical="center"/>
    </xf>
    <xf numFmtId="0" fontId="164" fillId="3" borderId="81" xfId="0" applyFont="1" applyFill="1" applyBorder="1" applyAlignment="1">
      <alignment horizontal="center" vertical="center"/>
    </xf>
    <xf numFmtId="0" fontId="158" fillId="3" borderId="81" xfId="0" applyFont="1" applyFill="1" applyBorder="1" applyAlignment="1">
      <alignment horizontal="center" vertical="center"/>
    </xf>
    <xf numFmtId="0" fontId="155" fillId="3" borderId="82" xfId="0" applyFont="1" applyFill="1" applyBorder="1" applyAlignment="1">
      <alignment horizontal="center" vertical="center"/>
    </xf>
    <xf numFmtId="0" fontId="155" fillId="5" borderId="147" xfId="0" applyNumberFormat="1" applyFont="1" applyFill="1" applyBorder="1" applyAlignment="1">
      <alignment horizontal="center" vertical="center"/>
    </xf>
    <xf numFmtId="0" fontId="2" fillId="2" borderId="0" xfId="0" applyFont="1" applyFill="1" applyBorder="1" applyAlignment="1">
      <alignment vertical="center"/>
    </xf>
    <xf numFmtId="0" fontId="2" fillId="6" borderId="234" xfId="0" applyFont="1" applyFill="1" applyBorder="1" applyAlignment="1">
      <alignment horizontal="center" vertical="center"/>
    </xf>
    <xf numFmtId="0" fontId="146" fillId="2" borderId="236" xfId="0" applyFont="1" applyFill="1" applyBorder="1" applyAlignment="1">
      <alignment horizontal="right"/>
    </xf>
    <xf numFmtId="0" fontId="13" fillId="6" borderId="238" xfId="0" applyFont="1" applyFill="1" applyBorder="1"/>
    <xf numFmtId="0" fontId="2" fillId="3" borderId="239" xfId="0" applyFont="1" applyFill="1" applyBorder="1" applyAlignment="1">
      <alignment horizontal="center" vertical="center" wrapText="1"/>
    </xf>
    <xf numFmtId="2" fontId="0" fillId="5" borderId="195" xfId="0" applyNumberFormat="1" applyFill="1" applyBorder="1" applyAlignment="1">
      <alignment horizontal="center" vertical="center"/>
    </xf>
    <xf numFmtId="2" fontId="0" fillId="5" borderId="240" xfId="0" applyNumberFormat="1" applyFill="1" applyBorder="1" applyAlignment="1">
      <alignment horizontal="center" vertical="center"/>
    </xf>
    <xf numFmtId="2" fontId="2" fillId="5" borderId="5" xfId="0" applyNumberFormat="1" applyFont="1" applyFill="1" applyBorder="1" applyAlignment="1">
      <alignment horizontal="center" vertical="center"/>
    </xf>
    <xf numFmtId="2" fontId="2" fillId="5" borderId="70" xfId="0" applyNumberFormat="1" applyFont="1" applyFill="1" applyBorder="1" applyAlignment="1">
      <alignment horizontal="center" vertical="center"/>
    </xf>
    <xf numFmtId="0" fontId="0" fillId="30" borderId="242" xfId="0" applyFill="1" applyBorder="1"/>
    <xf numFmtId="0" fontId="0" fillId="30" borderId="191" xfId="0" applyFill="1" applyBorder="1"/>
    <xf numFmtId="0" fontId="162" fillId="29" borderId="241" xfId="0" applyFont="1" applyFill="1" applyBorder="1"/>
    <xf numFmtId="0" fontId="147" fillId="29" borderId="231" xfId="0" applyFont="1" applyFill="1" applyBorder="1" applyAlignment="1">
      <alignment vertical="top"/>
    </xf>
    <xf numFmtId="0" fontId="3" fillId="3" borderId="35" xfId="0" applyFont="1" applyFill="1" applyBorder="1" applyAlignment="1">
      <alignment horizontal="left"/>
    </xf>
    <xf numFmtId="166" fontId="2" fillId="5" borderId="0" xfId="0" applyNumberFormat="1" applyFont="1" applyFill="1" applyAlignment="1">
      <alignment horizontal="center"/>
    </xf>
    <xf numFmtId="0" fontId="167" fillId="9" borderId="143" xfId="0" applyNumberFormat="1" applyFont="1" applyFill="1" applyBorder="1" applyAlignment="1">
      <alignment horizontal="center" vertical="center"/>
    </xf>
    <xf numFmtId="0" fontId="167" fillId="9" borderId="144" xfId="0" applyNumberFormat="1" applyFont="1" applyFill="1" applyBorder="1" applyAlignment="1">
      <alignment horizontal="center" vertical="center"/>
    </xf>
    <xf numFmtId="0" fontId="167" fillId="9" borderId="144" xfId="0" applyNumberFormat="1" applyFont="1" applyFill="1" applyBorder="1" applyAlignment="1">
      <alignment horizontal="center"/>
    </xf>
    <xf numFmtId="0" fontId="2" fillId="5" borderId="102" xfId="0" applyFont="1" applyFill="1" applyBorder="1"/>
    <xf numFmtId="0" fontId="0" fillId="32" borderId="206" xfId="0" applyFill="1" applyBorder="1" applyAlignment="1">
      <alignment horizontal="left" vertical="center"/>
    </xf>
    <xf numFmtId="0" fontId="0" fillId="31" borderId="205" xfId="0" applyFill="1" applyBorder="1" applyAlignment="1">
      <alignment horizontal="right" vertical="center"/>
    </xf>
    <xf numFmtId="0" fontId="3" fillId="2" borderId="0" xfId="0" applyFont="1" applyFill="1" applyBorder="1" applyAlignment="1">
      <alignment horizontal="left" vertical="center"/>
    </xf>
    <xf numFmtId="0" fontId="3" fillId="20" borderId="243" xfId="0" applyFont="1" applyFill="1" applyBorder="1" applyAlignment="1">
      <alignment horizontal="center"/>
    </xf>
    <xf numFmtId="0" fontId="2" fillId="21" borderId="244" xfId="0" applyFont="1" applyFill="1" applyBorder="1" applyAlignment="1">
      <alignment horizontal="left" vertical="center"/>
    </xf>
    <xf numFmtId="1" fontId="142" fillId="33" borderId="245" xfId="0" applyNumberFormat="1" applyFont="1" applyFill="1" applyBorder="1" applyAlignment="1">
      <alignment horizontal="right" vertical="center"/>
    </xf>
    <xf numFmtId="0" fontId="3" fillId="20" borderId="246" xfId="0" applyFont="1" applyFill="1" applyBorder="1" applyAlignment="1">
      <alignment horizontal="right" vertical="center"/>
    </xf>
    <xf numFmtId="0" fontId="143" fillId="25" borderId="247" xfId="0" applyFont="1" applyFill="1" applyBorder="1" applyAlignment="1">
      <alignment horizontal="center" wrapText="1"/>
    </xf>
    <xf numFmtId="0" fontId="13" fillId="20" borderId="246" xfId="0" applyFont="1" applyFill="1" applyBorder="1" applyAlignment="1">
      <alignment horizontal="right" vertical="center"/>
    </xf>
    <xf numFmtId="0" fontId="141" fillId="18" borderId="0" xfId="0" applyFont="1" applyFill="1" applyBorder="1" applyAlignment="1">
      <alignment horizontal="center"/>
    </xf>
    <xf numFmtId="0" fontId="0" fillId="25" borderId="247" xfId="0" applyFill="1" applyBorder="1"/>
    <xf numFmtId="0" fontId="0" fillId="18" borderId="0" xfId="0" applyFill="1" applyBorder="1"/>
    <xf numFmtId="0" fontId="0" fillId="0" borderId="0" xfId="0" applyBorder="1"/>
    <xf numFmtId="0" fontId="24" fillId="26" borderId="248" xfId="0" applyFont="1" applyFill="1" applyBorder="1" applyAlignment="1">
      <alignment vertical="center"/>
    </xf>
    <xf numFmtId="0" fontId="24" fillId="27" borderId="249" xfId="0" applyFont="1" applyFill="1" applyBorder="1" applyAlignment="1">
      <alignment vertical="center"/>
    </xf>
    <xf numFmtId="0" fontId="0" fillId="28" borderId="250" xfId="0" applyFill="1" applyBorder="1" applyAlignment="1">
      <alignment vertical="center"/>
    </xf>
    <xf numFmtId="0" fontId="24" fillId="22" borderId="243" xfId="0" applyFont="1" applyFill="1" applyBorder="1" applyAlignment="1">
      <alignment horizontal="center" vertical="center"/>
    </xf>
    <xf numFmtId="0" fontId="13" fillId="23" borderId="251" xfId="0" applyFont="1" applyFill="1" applyBorder="1" applyAlignment="1">
      <alignment horizontal="center" vertical="center"/>
    </xf>
    <xf numFmtId="0" fontId="0" fillId="24" borderId="252" xfId="0" applyFill="1" applyBorder="1" applyAlignment="1">
      <alignment vertical="center"/>
    </xf>
    <xf numFmtId="0" fontId="0" fillId="25" borderId="247" xfId="0" applyFill="1" applyBorder="1" applyAlignment="1">
      <alignment horizontal="center" vertical="center"/>
    </xf>
    <xf numFmtId="0" fontId="24" fillId="26" borderId="248" xfId="0" applyFont="1" applyFill="1" applyBorder="1" applyAlignment="1">
      <alignment horizontal="left" vertical="center"/>
    </xf>
    <xf numFmtId="0" fontId="126" fillId="27" borderId="249" xfId="0" applyFont="1" applyFill="1" applyBorder="1" applyAlignment="1">
      <alignment horizontal="center" vertical="center"/>
    </xf>
    <xf numFmtId="0" fontId="0" fillId="28" borderId="250" xfId="0" applyFill="1" applyBorder="1" applyAlignment="1">
      <alignment horizontal="center" vertical="top"/>
    </xf>
    <xf numFmtId="0" fontId="169" fillId="0" borderId="0" xfId="0" applyFont="1" applyFill="1" applyBorder="1" applyAlignment="1">
      <alignment horizontal="center" vertical="center"/>
    </xf>
    <xf numFmtId="167" fontId="170" fillId="5" borderId="14" xfId="0" applyNumberFormat="1" applyFont="1" applyFill="1" applyBorder="1" applyAlignment="1">
      <alignment horizontal="center" vertical="center"/>
    </xf>
    <xf numFmtId="0" fontId="170" fillId="5" borderId="44" xfId="0" applyFont="1" applyFill="1" applyBorder="1" applyAlignment="1">
      <alignment horizontal="center" vertical="center"/>
    </xf>
    <xf numFmtId="0" fontId="170" fillId="5" borderId="22" xfId="0" applyFont="1" applyFill="1" applyBorder="1" applyAlignment="1">
      <alignment horizontal="center" vertical="center"/>
    </xf>
    <xf numFmtId="0" fontId="170" fillId="5" borderId="0" xfId="0" applyFont="1" applyFill="1" applyBorder="1" applyAlignment="1">
      <alignment horizontal="center" vertical="center"/>
    </xf>
    <xf numFmtId="0" fontId="170" fillId="5" borderId="154" xfId="0" applyFont="1" applyFill="1" applyBorder="1" applyAlignment="1">
      <alignment horizontal="center" vertical="center"/>
    </xf>
    <xf numFmtId="167" fontId="170" fillId="5" borderId="27" xfId="0" applyNumberFormat="1" applyFont="1" applyFill="1" applyBorder="1" applyAlignment="1">
      <alignment horizontal="center" vertical="center"/>
    </xf>
    <xf numFmtId="166" fontId="146" fillId="2" borderId="235" xfId="0" applyNumberFormat="1" applyFont="1" applyFill="1" applyBorder="1" applyAlignment="1">
      <alignment horizontal="right"/>
    </xf>
    <xf numFmtId="166" fontId="146" fillId="2" borderId="237" xfId="0" applyNumberFormat="1" applyFont="1" applyFill="1" applyBorder="1" applyAlignment="1">
      <alignment horizontal="right"/>
    </xf>
    <xf numFmtId="0" fontId="0" fillId="0" borderId="0" xfId="0" applyAlignment="1"/>
    <xf numFmtId="0" fontId="48" fillId="8" borderId="0" xfId="0" applyFont="1" applyFill="1" applyBorder="1" applyAlignment="1">
      <alignment horizontal="center" vertical="center"/>
    </xf>
    <xf numFmtId="0" fontId="47" fillId="5" borderId="215" xfId="0" applyFont="1" applyFill="1" applyBorder="1" applyAlignment="1">
      <alignment horizontal="center" vertical="center"/>
    </xf>
    <xf numFmtId="0" fontId="47" fillId="3" borderId="198" xfId="0" applyFont="1" applyFill="1" applyBorder="1" applyAlignment="1">
      <alignment horizontal="center" vertical="center"/>
    </xf>
    <xf numFmtId="0" fontId="47" fillId="6" borderId="217" xfId="0" applyFont="1" applyFill="1" applyBorder="1" applyAlignment="1">
      <alignment horizontal="center" vertical="center"/>
    </xf>
    <xf numFmtId="0" fontId="46" fillId="7" borderId="215" xfId="0" applyFont="1" applyFill="1" applyBorder="1" applyAlignment="1">
      <alignment horizontal="center" vertical="center"/>
    </xf>
    <xf numFmtId="0" fontId="46" fillId="7" borderId="217" xfId="0" applyFont="1" applyFill="1" applyBorder="1" applyAlignment="1">
      <alignment horizontal="center" vertical="center"/>
    </xf>
    <xf numFmtId="0" fontId="46" fillId="0" borderId="215" xfId="0" applyFont="1" applyFill="1" applyBorder="1" applyAlignment="1">
      <alignment horizontal="center" vertical="center"/>
    </xf>
    <xf numFmtId="0" fontId="46" fillId="0" borderId="217" xfId="0" applyFont="1" applyFill="1" applyBorder="1" applyAlignment="1">
      <alignment horizontal="center" vertical="center"/>
    </xf>
    <xf numFmtId="166" fontId="2" fillId="0" borderId="0" xfId="0" applyNumberFormat="1" applyFont="1" applyFill="1"/>
    <xf numFmtId="166" fontId="2" fillId="0" borderId="0" xfId="0" quotePrefix="1" applyNumberFormat="1" applyFont="1" applyFill="1"/>
    <xf numFmtId="0" fontId="0" fillId="2" borderId="55" xfId="0" applyFill="1" applyBorder="1" applyAlignment="1">
      <alignment vertical="center"/>
    </xf>
    <xf numFmtId="0" fontId="0" fillId="2" borderId="90" xfId="0" applyFill="1" applyBorder="1"/>
    <xf numFmtId="0" fontId="2" fillId="3" borderId="0" xfId="0" applyFont="1" applyFill="1" applyBorder="1" applyAlignment="1">
      <alignment vertical="center"/>
    </xf>
    <xf numFmtId="49" fontId="2" fillId="5" borderId="0" xfId="0" applyNumberFormat="1" applyFont="1" applyFill="1" applyBorder="1" applyAlignment="1">
      <alignment horizontal="left"/>
    </xf>
    <xf numFmtId="0" fontId="0" fillId="3" borderId="25" xfId="0" applyNumberFormat="1" applyFill="1" applyBorder="1" applyAlignment="1">
      <alignment horizontal="left" vertical="center"/>
    </xf>
    <xf numFmtId="0" fontId="0" fillId="3" borderId="25" xfId="0" applyNumberFormat="1" applyFill="1" applyBorder="1" applyAlignment="1">
      <alignment horizontal="center" vertical="center"/>
    </xf>
    <xf numFmtId="0" fontId="0" fillId="3" borderId="25" xfId="0" applyNumberFormat="1" applyFill="1" applyBorder="1" applyAlignment="1">
      <alignment horizontal="right" vertical="center"/>
    </xf>
    <xf numFmtId="0" fontId="3" fillId="3" borderId="25" xfId="0" applyNumberFormat="1" applyFont="1" applyFill="1" applyBorder="1" applyAlignment="1">
      <alignment horizontal="left" vertical="center"/>
    </xf>
    <xf numFmtId="0" fontId="3" fillId="31" borderId="203" xfId="0" applyFont="1" applyFill="1" applyBorder="1" applyAlignment="1"/>
    <xf numFmtId="49" fontId="2" fillId="3" borderId="9" xfId="0" applyNumberFormat="1" applyFont="1" applyFill="1" applyBorder="1" applyAlignment="1">
      <alignment horizontal="center" vertical="center"/>
    </xf>
    <xf numFmtId="49" fontId="2" fillId="3" borderId="26" xfId="0" applyNumberFormat="1" applyFont="1" applyFill="1" applyBorder="1" applyAlignment="1">
      <alignment horizontal="center" vertical="center"/>
    </xf>
    <xf numFmtId="0" fontId="5" fillId="6" borderId="215" xfId="0" applyFont="1" applyFill="1" applyBorder="1" applyAlignment="1">
      <alignment horizontal="left" vertical="center"/>
    </xf>
    <xf numFmtId="0" fontId="5" fillId="6" borderId="198" xfId="0" applyFont="1" applyFill="1" applyBorder="1" applyAlignment="1">
      <alignment horizontal="left" vertical="center"/>
    </xf>
    <xf numFmtId="0" fontId="50" fillId="6" borderId="198" xfId="0" applyFont="1" applyFill="1" applyBorder="1" applyAlignment="1">
      <alignment horizontal="center" vertical="center"/>
    </xf>
    <xf numFmtId="0" fontId="0" fillId="6" borderId="198" xfId="0" applyFill="1" applyBorder="1" applyAlignment="1">
      <alignment vertical="center"/>
    </xf>
    <xf numFmtId="0" fontId="3" fillId="6" borderId="198" xfId="0" applyFont="1" applyFill="1" applyBorder="1" applyAlignment="1">
      <alignment horizontal="center" vertical="center"/>
    </xf>
    <xf numFmtId="0" fontId="3" fillId="6" borderId="229" xfId="0" applyFont="1" applyFill="1" applyBorder="1" applyAlignment="1">
      <alignment horizontal="center" vertical="center" wrapText="1"/>
    </xf>
    <xf numFmtId="0" fontId="9" fillId="3" borderId="229" xfId="0" applyFont="1" applyFill="1" applyBorder="1" applyAlignment="1">
      <alignment horizontal="center" vertical="center" wrapText="1"/>
    </xf>
    <xf numFmtId="0" fontId="0" fillId="2" borderId="0" xfId="0" applyNumberFormat="1" applyFill="1" applyAlignment="1">
      <alignment horizontal="center"/>
    </xf>
    <xf numFmtId="1" fontId="171" fillId="34" borderId="0" xfId="0" applyNumberFormat="1" applyFont="1" applyFill="1"/>
    <xf numFmtId="1" fontId="171" fillId="35" borderId="0" xfId="0" applyNumberFormat="1" applyFont="1" applyFill="1"/>
    <xf numFmtId="1" fontId="171" fillId="36" borderId="0" xfId="0" applyNumberFormat="1" applyFont="1" applyFill="1"/>
    <xf numFmtId="0" fontId="2" fillId="2" borderId="0" xfId="0" applyNumberFormat="1" applyFont="1" applyFill="1" applyAlignment="1">
      <alignment horizontal="center"/>
    </xf>
    <xf numFmtId="0" fontId="172" fillId="2" borderId="0" xfId="0" applyNumberFormat="1" applyFont="1" applyFill="1" applyAlignment="1">
      <alignment horizontal="center"/>
    </xf>
    <xf numFmtId="0" fontId="172" fillId="2" borderId="0" xfId="0" applyNumberFormat="1" applyFont="1" applyFill="1" applyAlignment="1">
      <alignment horizontal="right"/>
    </xf>
    <xf numFmtId="1" fontId="171" fillId="37" borderId="0" xfId="0" applyNumberFormat="1" applyFont="1" applyFill="1"/>
    <xf numFmtId="1" fontId="171" fillId="38" borderId="0" xfId="0" applyNumberFormat="1" applyFont="1" applyFill="1"/>
    <xf numFmtId="1" fontId="171" fillId="18" borderId="0" xfId="0" applyNumberFormat="1" applyFont="1" applyFill="1"/>
    <xf numFmtId="1" fontId="171" fillId="39" borderId="0" xfId="0" applyNumberFormat="1" applyFont="1" applyFill="1"/>
    <xf numFmtId="1" fontId="171" fillId="40" borderId="0" xfId="0" applyNumberFormat="1" applyFont="1" applyFill="1"/>
    <xf numFmtId="0" fontId="0" fillId="41" borderId="0" xfId="0" applyFill="1" applyAlignment="1">
      <alignment horizontal="center"/>
    </xf>
    <xf numFmtId="0" fontId="0" fillId="41" borderId="0" xfId="0" applyNumberFormat="1" applyFill="1" applyAlignment="1">
      <alignment horizontal="center"/>
    </xf>
    <xf numFmtId="0" fontId="0" fillId="41" borderId="0" xfId="0" applyNumberFormat="1" applyFill="1" applyAlignment="1">
      <alignment horizontal="left"/>
    </xf>
    <xf numFmtId="0" fontId="2" fillId="41" borderId="0" xfId="0" applyNumberFormat="1" applyFont="1" applyFill="1" applyAlignment="1">
      <alignment horizontal="center"/>
    </xf>
    <xf numFmtId="0" fontId="5" fillId="41" borderId="0" xfId="0" applyNumberFormat="1" applyFont="1" applyFill="1" applyAlignment="1">
      <alignment vertical="top"/>
    </xf>
    <xf numFmtId="0" fontId="51" fillId="41" borderId="0" xfId="0" applyNumberFormat="1" applyFont="1" applyFill="1" applyBorder="1" applyAlignment="1">
      <alignment horizontal="center" vertical="top" wrapText="1"/>
    </xf>
    <xf numFmtId="0" fontId="46" fillId="41" borderId="0" xfId="0" applyNumberFormat="1" applyFont="1" applyFill="1" applyAlignment="1">
      <alignment horizontal="center" vertical="top" wrapText="1"/>
    </xf>
    <xf numFmtId="0" fontId="5" fillId="41" borderId="0" xfId="0" applyNumberFormat="1" applyFont="1" applyFill="1" applyAlignment="1">
      <alignment horizontal="center" vertical="top" wrapText="1"/>
    </xf>
    <xf numFmtId="0" fontId="51" fillId="41" borderId="0" xfId="0" applyNumberFormat="1" applyFont="1" applyFill="1" applyBorder="1" applyAlignment="1">
      <alignment horizontal="left" vertical="top" wrapText="1"/>
    </xf>
    <xf numFmtId="0" fontId="51" fillId="41" borderId="0" xfId="0" applyNumberFormat="1" applyFont="1" applyFill="1" applyBorder="1" applyAlignment="1">
      <alignment horizontal="right" vertical="top" wrapText="1"/>
    </xf>
    <xf numFmtId="0" fontId="51" fillId="41" borderId="0" xfId="0" applyFont="1" applyFill="1" applyBorder="1" applyAlignment="1">
      <alignment horizontal="center" vertical="top" wrapText="1"/>
    </xf>
    <xf numFmtId="0" fontId="130" fillId="41" borderId="0" xfId="0" applyNumberFormat="1" applyFont="1" applyFill="1" applyAlignment="1">
      <alignment horizontal="center"/>
    </xf>
    <xf numFmtId="0" fontId="6" fillId="41" borderId="0" xfId="0" applyNumberFormat="1" applyFont="1" applyFill="1" applyBorder="1" applyAlignment="1">
      <alignment horizontal="center" vertical="top" wrapText="1"/>
    </xf>
    <xf numFmtId="0" fontId="2" fillId="41" borderId="0" xfId="0" applyNumberFormat="1" applyFont="1" applyFill="1" applyBorder="1" applyAlignment="1">
      <alignment horizontal="center" vertical="top" wrapText="1"/>
    </xf>
    <xf numFmtId="0" fontId="130" fillId="41" borderId="0" xfId="0" applyNumberFormat="1" applyFont="1" applyFill="1" applyBorder="1" applyAlignment="1">
      <alignment horizontal="center" vertical="top" wrapText="1"/>
    </xf>
    <xf numFmtId="0" fontId="2" fillId="41" borderId="0" xfId="0" applyNumberFormat="1" applyFont="1" applyFill="1" applyAlignment="1">
      <alignment horizontal="left"/>
    </xf>
    <xf numFmtId="0" fontId="0" fillId="41" borderId="0" xfId="0" applyNumberFormat="1" applyFill="1"/>
    <xf numFmtId="166" fontId="0" fillId="41" borderId="0" xfId="0" applyNumberFormat="1" applyFill="1"/>
    <xf numFmtId="0" fontId="2" fillId="41" borderId="0" xfId="0" applyNumberFormat="1" applyFont="1" applyFill="1"/>
    <xf numFmtId="0" fontId="5" fillId="41" borderId="0" xfId="0" applyNumberFormat="1" applyFont="1" applyFill="1" applyBorder="1" applyAlignment="1">
      <alignment vertical="top"/>
    </xf>
    <xf numFmtId="0" fontId="5" fillId="41" borderId="0" xfId="0" applyNumberFormat="1" applyFont="1" applyFill="1" applyBorder="1" applyAlignment="1">
      <alignment horizontal="center" vertical="top" wrapText="1"/>
    </xf>
    <xf numFmtId="0" fontId="5" fillId="41" borderId="0" xfId="0" applyNumberFormat="1" applyFont="1" applyFill="1" applyAlignment="1">
      <alignment horizontal="center"/>
    </xf>
    <xf numFmtId="0" fontId="5" fillId="41" borderId="0" xfId="0" applyNumberFormat="1" applyFont="1" applyFill="1" applyBorder="1" applyAlignment="1">
      <alignment vertical="top" wrapText="1"/>
    </xf>
    <xf numFmtId="0" fontId="5" fillId="41" borderId="0" xfId="0" applyNumberFormat="1" applyFont="1" applyFill="1" applyBorder="1" applyAlignment="1">
      <alignment horizontal="right" vertical="top" wrapText="1"/>
    </xf>
    <xf numFmtId="0" fontId="5" fillId="41" borderId="0" xfId="0" applyFont="1" applyFill="1"/>
    <xf numFmtId="0" fontId="0" fillId="41" borderId="0" xfId="0" applyFill="1" applyAlignment="1">
      <alignment horizontal="left"/>
    </xf>
    <xf numFmtId="0" fontId="51" fillId="41" borderId="0" xfId="0" applyNumberFormat="1" applyFont="1" applyFill="1" applyBorder="1" applyAlignment="1">
      <alignment vertical="top" wrapText="1"/>
    </xf>
    <xf numFmtId="0" fontId="5" fillId="41" borderId="0" xfId="0" applyNumberFormat="1" applyFont="1" applyFill="1" applyBorder="1"/>
    <xf numFmtId="0" fontId="5" fillId="41" borderId="0" xfId="0" applyNumberFormat="1" applyFont="1" applyFill="1" applyBorder="1" applyAlignment="1">
      <alignment horizontal="right"/>
    </xf>
    <xf numFmtId="0" fontId="2" fillId="41" borderId="0" xfId="0" applyNumberFormat="1" applyFont="1" applyFill="1" applyBorder="1" applyAlignment="1">
      <alignment vertical="top" wrapText="1"/>
    </xf>
    <xf numFmtId="0" fontId="2" fillId="41" borderId="0" xfId="0" applyFont="1" applyFill="1"/>
    <xf numFmtId="0" fontId="0" fillId="41" borderId="0" xfId="0" applyNumberFormat="1" applyFill="1" applyAlignment="1"/>
    <xf numFmtId="0" fontId="2" fillId="41" borderId="0" xfId="0" applyNumberFormat="1" applyFont="1" applyFill="1" applyAlignment="1">
      <alignment horizontal="right"/>
    </xf>
    <xf numFmtId="0" fontId="0" fillId="41" borderId="0" xfId="0" applyFill="1"/>
    <xf numFmtId="49" fontId="2" fillId="3" borderId="198" xfId="0" applyNumberFormat="1" applyFont="1" applyFill="1" applyBorder="1" applyAlignment="1">
      <alignment horizontal="center" vertical="center"/>
    </xf>
    <xf numFmtId="49" fontId="2" fillId="3" borderId="198" xfId="0" applyNumberFormat="1" applyFont="1" applyFill="1" applyBorder="1" applyAlignment="1">
      <alignment horizontal="left" vertical="center"/>
    </xf>
    <xf numFmtId="49" fontId="0" fillId="3" borderId="198" xfId="0" applyNumberFormat="1" applyFill="1" applyBorder="1" applyAlignment="1">
      <alignment horizontal="left" vertical="center"/>
    </xf>
    <xf numFmtId="49" fontId="173" fillId="3" borderId="198" xfId="0" applyNumberFormat="1" applyFont="1" applyFill="1" applyBorder="1" applyAlignment="1">
      <alignment horizontal="left" vertical="center"/>
    </xf>
    <xf numFmtId="0" fontId="24" fillId="3" borderId="0" xfId="0" applyFont="1" applyFill="1" applyAlignment="1">
      <alignment horizontal="right"/>
    </xf>
    <xf numFmtId="0" fontId="3" fillId="6" borderId="4" xfId="0" applyFont="1" applyFill="1" applyBorder="1" applyAlignment="1">
      <alignment horizontal="left" vertical="top"/>
    </xf>
    <xf numFmtId="0" fontId="2" fillId="3" borderId="45" xfId="0" applyFont="1" applyFill="1" applyBorder="1" applyAlignment="1">
      <alignment vertical="center"/>
    </xf>
    <xf numFmtId="167" fontId="0" fillId="5" borderId="148" xfId="0" applyNumberFormat="1" applyFill="1" applyBorder="1" applyAlignment="1">
      <alignment horizontal="center" vertical="center"/>
    </xf>
    <xf numFmtId="0" fontId="2" fillId="3" borderId="0" xfId="0" applyNumberFormat="1" applyFont="1" applyFill="1" applyBorder="1" applyAlignment="1">
      <alignment horizontal="left" vertical="center"/>
    </xf>
    <xf numFmtId="0" fontId="2" fillId="5" borderId="0" xfId="0" applyFont="1" applyFill="1"/>
    <xf numFmtId="168" fontId="0" fillId="0" borderId="0" xfId="0" applyNumberFormat="1" applyAlignment="1">
      <alignment horizontal="center" vertical="justify"/>
    </xf>
    <xf numFmtId="168" fontId="0" fillId="0" borderId="0" xfId="0" applyNumberFormat="1"/>
    <xf numFmtId="0" fontId="0" fillId="5" borderId="0" xfId="0" applyNumberFormat="1" applyFill="1" applyAlignment="1">
      <alignment horizontal="center"/>
    </xf>
    <xf numFmtId="0" fontId="147" fillId="3" borderId="254" xfId="0" applyFont="1" applyFill="1" applyBorder="1" applyAlignment="1">
      <alignment horizontal="center" vertical="center"/>
    </xf>
    <xf numFmtId="0" fontId="147" fillId="3" borderId="253" xfId="0" applyFont="1" applyFill="1" applyBorder="1" applyAlignment="1">
      <alignment horizontal="center" vertical="center"/>
    </xf>
    <xf numFmtId="0" fontId="2" fillId="3" borderId="2" xfId="0" applyFont="1" applyFill="1" applyBorder="1" applyAlignment="1">
      <alignment horizontal="center" vertical="center"/>
    </xf>
    <xf numFmtId="0" fontId="3" fillId="6" borderId="131" xfId="0" applyFont="1" applyFill="1" applyBorder="1" applyAlignment="1">
      <alignment horizontal="center" vertical="center"/>
    </xf>
    <xf numFmtId="0" fontId="3" fillId="6" borderId="24" xfId="0" applyFont="1" applyFill="1" applyBorder="1" applyAlignment="1">
      <alignment horizontal="center" vertical="center"/>
    </xf>
    <xf numFmtId="0" fontId="110" fillId="3" borderId="255" xfId="0" applyFont="1" applyFill="1" applyBorder="1" applyAlignment="1">
      <alignment horizontal="center" vertical="distributed"/>
    </xf>
    <xf numFmtId="0" fontId="110" fillId="3" borderId="180" xfId="0" applyFont="1" applyFill="1" applyBorder="1" applyAlignment="1">
      <alignment horizontal="centerContinuous" vertical="center"/>
    </xf>
    <xf numFmtId="168" fontId="0" fillId="5" borderId="180" xfId="0" applyNumberFormat="1" applyFill="1" applyBorder="1" applyAlignment="1">
      <alignment horizontal="center" vertical="center"/>
    </xf>
    <xf numFmtId="168" fontId="0" fillId="5" borderId="213" xfId="0" applyNumberFormat="1" applyFill="1" applyBorder="1" applyAlignment="1">
      <alignment horizontal="center" vertical="center"/>
    </xf>
    <xf numFmtId="0" fontId="5" fillId="3" borderId="155" xfId="0" applyFont="1" applyFill="1" applyBorder="1" applyAlignment="1">
      <alignment horizontal="centerContinuous" vertical="center"/>
    </xf>
    <xf numFmtId="0" fontId="2" fillId="3" borderId="125" xfId="0" applyFont="1" applyFill="1" applyBorder="1" applyAlignment="1">
      <alignment horizontal="right" vertical="center"/>
    </xf>
    <xf numFmtId="0" fontId="2" fillId="3" borderId="22" xfId="0" applyFont="1" applyFill="1" applyBorder="1" applyAlignment="1">
      <alignment horizontal="right" vertical="center"/>
    </xf>
    <xf numFmtId="0" fontId="3" fillId="3" borderId="186" xfId="0" applyFont="1" applyFill="1" applyBorder="1" applyAlignment="1">
      <alignment horizontal="center"/>
    </xf>
    <xf numFmtId="0" fontId="2" fillId="3" borderId="2" xfId="0" applyFont="1" applyFill="1" applyBorder="1" applyAlignment="1">
      <alignment horizontal="center" wrapText="1"/>
    </xf>
    <xf numFmtId="0" fontId="2" fillId="3" borderId="0" xfId="0" applyFont="1" applyFill="1" applyBorder="1" applyAlignment="1">
      <alignment horizontal="left" vertical="center"/>
    </xf>
    <xf numFmtId="0" fontId="2" fillId="3" borderId="0" xfId="0" applyNumberFormat="1" applyFont="1" applyFill="1" applyBorder="1" applyAlignment="1">
      <alignment horizontal="right" vertical="center"/>
    </xf>
    <xf numFmtId="0" fontId="2" fillId="2" borderId="0" xfId="0" applyFont="1" applyFill="1" applyAlignment="1">
      <alignment horizontal="center"/>
    </xf>
    <xf numFmtId="172" fontId="5" fillId="2" borderId="0" xfId="0" applyNumberFormat="1" applyFont="1" applyFill="1"/>
    <xf numFmtId="0" fontId="160" fillId="6" borderId="52" xfId="0" applyFont="1" applyFill="1" applyBorder="1" applyAlignment="1">
      <alignment horizontal="center" vertical="center" wrapText="1"/>
    </xf>
    <xf numFmtId="166" fontId="13" fillId="6" borderId="22" xfId="0" applyNumberFormat="1" applyFont="1" applyFill="1" applyBorder="1" applyAlignment="1">
      <alignment horizontal="left" vertical="center"/>
    </xf>
    <xf numFmtId="0" fontId="5" fillId="6" borderId="22" xfId="0" applyFont="1" applyFill="1" applyBorder="1" applyAlignment="1">
      <alignment horizontal="center" vertical="center"/>
    </xf>
    <xf numFmtId="0" fontId="5" fillId="6" borderId="70" xfId="0" applyFont="1" applyFill="1" applyBorder="1" applyAlignment="1">
      <alignment horizontal="center" vertical="center"/>
    </xf>
    <xf numFmtId="0" fontId="161" fillId="5" borderId="142" xfId="0" applyNumberFormat="1" applyFont="1" applyFill="1" applyBorder="1" applyAlignment="1">
      <alignment horizontal="center" vertical="center"/>
    </xf>
    <xf numFmtId="0" fontId="7" fillId="8" borderId="256" xfId="0" applyFont="1" applyFill="1" applyBorder="1" applyAlignment="1">
      <alignment vertical="center"/>
    </xf>
    <xf numFmtId="0" fontId="7" fillId="8" borderId="257" xfId="0" applyFont="1" applyFill="1" applyBorder="1" applyAlignment="1">
      <alignment vertical="center"/>
    </xf>
    <xf numFmtId="0" fontId="7" fillId="8" borderId="258" xfId="0" applyFont="1" applyFill="1" applyBorder="1" applyAlignment="1">
      <alignment vertical="center"/>
    </xf>
    <xf numFmtId="0" fontId="7" fillId="8" borderId="259" xfId="0" applyFont="1" applyFill="1" applyBorder="1" applyAlignment="1">
      <alignment vertical="center"/>
    </xf>
    <xf numFmtId="0" fontId="7" fillId="8" borderId="260" xfId="0" applyFont="1" applyFill="1" applyBorder="1" applyAlignment="1">
      <alignment vertical="center"/>
    </xf>
    <xf numFmtId="167" fontId="38" fillId="9" borderId="261" xfId="0" applyNumberFormat="1" applyFont="1" applyFill="1" applyBorder="1" applyAlignment="1">
      <alignment horizontal="center" vertical="center"/>
    </xf>
    <xf numFmtId="167" fontId="38" fillId="9" borderId="262" xfId="0" applyNumberFormat="1" applyFont="1" applyFill="1" applyBorder="1" applyAlignment="1">
      <alignment horizontal="center" vertical="center"/>
    </xf>
    <xf numFmtId="166" fontId="147" fillId="3" borderId="254" xfId="0" applyNumberFormat="1" applyFont="1" applyFill="1" applyBorder="1" applyAlignment="1">
      <alignment horizontal="center" vertical="center"/>
    </xf>
    <xf numFmtId="1" fontId="147" fillId="3" borderId="264" xfId="0" applyNumberFormat="1" applyFont="1" applyFill="1" applyBorder="1" applyAlignment="1">
      <alignment horizontal="center" vertical="center" wrapText="1"/>
    </xf>
    <xf numFmtId="0" fontId="141" fillId="6" borderId="30" xfId="0" applyFont="1" applyFill="1" applyBorder="1" applyAlignment="1">
      <alignment horizontal="center" vertical="center"/>
    </xf>
    <xf numFmtId="0" fontId="155" fillId="3" borderId="6" xfId="0" applyFont="1" applyFill="1" applyBorder="1" applyAlignment="1">
      <alignment horizontal="center" vertical="center"/>
    </xf>
    <xf numFmtId="0" fontId="155" fillId="3" borderId="64" xfId="0" applyFont="1" applyFill="1" applyBorder="1" applyAlignment="1">
      <alignment horizontal="center" vertical="center"/>
    </xf>
    <xf numFmtId="0" fontId="155" fillId="3" borderId="87" xfId="0" applyFont="1" applyFill="1" applyBorder="1" applyAlignment="1">
      <alignment horizontal="center" vertical="center"/>
    </xf>
    <xf numFmtId="0" fontId="156" fillId="0" borderId="60" xfId="0" applyFont="1" applyFill="1" applyBorder="1" applyAlignment="1">
      <alignment horizontal="center" vertical="center"/>
    </xf>
    <xf numFmtId="0" fontId="156" fillId="0" borderId="34" xfId="0" applyFont="1" applyFill="1" applyBorder="1" applyAlignment="1">
      <alignment horizontal="center" vertical="center"/>
    </xf>
    <xf numFmtId="2" fontId="155" fillId="5" borderId="72" xfId="0" applyNumberFormat="1" applyFont="1" applyFill="1" applyBorder="1" applyAlignment="1">
      <alignment horizontal="center" vertical="center"/>
    </xf>
    <xf numFmtId="0" fontId="160" fillId="6" borderId="198" xfId="0" applyFont="1" applyFill="1" applyBorder="1" applyAlignment="1">
      <alignment horizontal="center" vertical="center"/>
    </xf>
    <xf numFmtId="0" fontId="155" fillId="6" borderId="198" xfId="0" applyFont="1" applyFill="1" applyBorder="1" applyAlignment="1">
      <alignment horizontal="center" vertical="center"/>
    </xf>
    <xf numFmtId="0" fontId="155" fillId="6" borderId="219" xfId="0" applyFont="1" applyFill="1" applyBorder="1" applyAlignment="1">
      <alignment vertical="center"/>
    </xf>
    <xf numFmtId="0" fontId="155" fillId="6" borderId="212" xfId="0" applyFont="1" applyFill="1" applyBorder="1" applyAlignment="1">
      <alignment vertical="center"/>
    </xf>
    <xf numFmtId="0" fontId="153" fillId="7" borderId="130" xfId="0" applyNumberFormat="1" applyFont="1" applyFill="1" applyBorder="1" applyAlignment="1">
      <alignment horizontal="center" vertical="center"/>
    </xf>
    <xf numFmtId="0" fontId="153" fillId="0" borderId="129" xfId="0" applyNumberFormat="1" applyFont="1" applyBorder="1" applyAlignment="1">
      <alignment horizontal="center" vertical="center"/>
    </xf>
    <xf numFmtId="0" fontId="153" fillId="7" borderId="263" xfId="0" applyNumberFormat="1" applyFont="1" applyFill="1" applyBorder="1" applyAlignment="1">
      <alignment horizontal="center" vertical="center"/>
    </xf>
    <xf numFmtId="166" fontId="13" fillId="6" borderId="90" xfId="0" applyNumberFormat="1" applyFont="1" applyFill="1" applyBorder="1" applyAlignment="1">
      <alignment horizontal="left" vertical="center"/>
    </xf>
    <xf numFmtId="0" fontId="141" fillId="6" borderId="265" xfId="0" applyFont="1" applyFill="1" applyBorder="1" applyAlignment="1">
      <alignment horizontal="center" vertical="center"/>
    </xf>
    <xf numFmtId="0" fontId="141" fillId="6" borderId="227" xfId="0" applyFont="1" applyFill="1" applyBorder="1" applyAlignment="1">
      <alignment horizontal="left" vertical="center"/>
    </xf>
    <xf numFmtId="0" fontId="141" fillId="6" borderId="0" xfId="0" applyFont="1" applyFill="1" applyBorder="1" applyAlignment="1">
      <alignment horizontal="left" vertical="center"/>
    </xf>
    <xf numFmtId="0" fontId="160" fillId="6" borderId="108" xfId="0" applyFont="1" applyFill="1" applyBorder="1" applyAlignment="1">
      <alignment horizontal="left" vertical="top"/>
    </xf>
    <xf numFmtId="0" fontId="2" fillId="6" borderId="266" xfId="0" applyFont="1" applyFill="1" applyBorder="1" applyAlignment="1">
      <alignment vertical="center"/>
    </xf>
    <xf numFmtId="0" fontId="129" fillId="6" borderId="267" xfId="0" applyFont="1" applyFill="1" applyBorder="1" applyAlignment="1">
      <alignment horizontal="center" vertical="center"/>
    </xf>
    <xf numFmtId="0" fontId="129" fillId="6" borderId="268" xfId="0" applyFont="1" applyFill="1" applyBorder="1" applyAlignment="1">
      <alignment vertical="center"/>
    </xf>
    <xf numFmtId="0" fontId="3" fillId="6" borderId="269" xfId="0" applyFont="1" applyFill="1" applyBorder="1" applyAlignment="1">
      <alignment horizontal="left" vertical="top"/>
    </xf>
    <xf numFmtId="0" fontId="110" fillId="3" borderId="130" xfId="0" applyFont="1" applyFill="1" applyBorder="1" applyAlignment="1">
      <alignment horizontal="centerContinuous"/>
    </xf>
    <xf numFmtId="0" fontId="18" fillId="3" borderId="4" xfId="0" applyNumberFormat="1" applyFont="1" applyFill="1" applyBorder="1" applyAlignment="1">
      <alignment horizontal="center" vertical="center"/>
    </xf>
    <xf numFmtId="0" fontId="18" fillId="3" borderId="0" xfId="0" applyNumberFormat="1" applyFont="1" applyFill="1" applyBorder="1" applyAlignment="1">
      <alignment horizontal="right" vertical="center"/>
    </xf>
    <xf numFmtId="0" fontId="13" fillId="0" borderId="5" xfId="0" applyNumberFormat="1" applyFont="1" applyFill="1" applyBorder="1" applyAlignment="1">
      <alignment horizontal="center"/>
    </xf>
    <xf numFmtId="0" fontId="18" fillId="3" borderId="5" xfId="0" applyNumberFormat="1" applyFont="1" applyFill="1" applyBorder="1"/>
    <xf numFmtId="0" fontId="18" fillId="3" borderId="4" xfId="0" applyNumberFormat="1" applyFont="1" applyFill="1" applyBorder="1" applyAlignment="1">
      <alignment vertical="center"/>
    </xf>
    <xf numFmtId="0" fontId="181" fillId="3" borderId="0" xfId="0" applyNumberFormat="1" applyFont="1" applyFill="1" applyBorder="1" applyAlignment="1">
      <alignment horizontal="center" vertical="center"/>
    </xf>
    <xf numFmtId="0" fontId="18" fillId="3" borderId="90" xfId="0" applyNumberFormat="1" applyFont="1" applyFill="1" applyBorder="1" applyAlignment="1">
      <alignment horizontal="left" vertical="center"/>
    </xf>
    <xf numFmtId="0" fontId="181" fillId="3" borderId="22" xfId="0" applyNumberFormat="1" applyFont="1" applyFill="1" applyBorder="1" applyAlignment="1">
      <alignment horizontal="center" vertical="center"/>
    </xf>
    <xf numFmtId="0" fontId="2" fillId="6" borderId="270" xfId="0" applyFont="1" applyFill="1" applyBorder="1" applyAlignment="1">
      <alignment horizontal="left" vertical="center"/>
    </xf>
    <xf numFmtId="0" fontId="3" fillId="6" borderId="271" xfId="0" applyFont="1" applyFill="1" applyBorder="1" applyAlignment="1">
      <alignment horizontal="right" vertical="center"/>
    </xf>
    <xf numFmtId="0" fontId="2" fillId="6" borderId="91" xfId="0" applyFont="1" applyFill="1" applyBorder="1" applyAlignment="1">
      <alignment horizontal="center" wrapText="1"/>
    </xf>
    <xf numFmtId="166" fontId="2" fillId="5" borderId="272" xfId="0" applyNumberFormat="1" applyFont="1" applyFill="1" applyBorder="1" applyAlignment="1">
      <alignment horizontal="center" vertical="center"/>
    </xf>
    <xf numFmtId="166" fontId="2" fillId="5" borderId="273" xfId="0" applyNumberFormat="1" applyFont="1" applyFill="1" applyBorder="1" applyAlignment="1">
      <alignment horizontal="center" vertical="center"/>
    </xf>
    <xf numFmtId="1" fontId="3" fillId="5" borderId="274" xfId="0" applyNumberFormat="1" applyFont="1" applyFill="1" applyBorder="1" applyAlignment="1" applyProtection="1">
      <alignment horizontal="center" vertical="center"/>
      <protection hidden="1"/>
    </xf>
    <xf numFmtId="0" fontId="2" fillId="3" borderId="275" xfId="0" applyNumberFormat="1" applyFont="1" applyFill="1" applyBorder="1" applyAlignment="1">
      <alignment horizontal="center" vertical="center"/>
    </xf>
    <xf numFmtId="0" fontId="2" fillId="7" borderId="155" xfId="0" applyFont="1" applyFill="1" applyBorder="1" applyAlignment="1">
      <alignment horizontal="center" vertical="center"/>
    </xf>
    <xf numFmtId="166" fontId="0" fillId="5" borderId="28" xfId="0" applyNumberFormat="1" applyFill="1" applyBorder="1" applyAlignment="1" applyProtection="1">
      <alignment horizontal="center" vertical="center"/>
      <protection hidden="1"/>
    </xf>
    <xf numFmtId="0" fontId="18" fillId="3" borderId="70" xfId="0" applyNumberFormat="1" applyFont="1" applyFill="1" applyBorder="1"/>
    <xf numFmtId="2" fontId="13" fillId="5" borderId="157" xfId="0" applyNumberFormat="1" applyFont="1" applyFill="1" applyBorder="1" applyAlignment="1" applyProtection="1">
      <alignment horizontal="center" vertical="center"/>
      <protection hidden="1"/>
    </xf>
    <xf numFmtId="0" fontId="18" fillId="3" borderId="157" xfId="0" applyNumberFormat="1" applyFont="1" applyFill="1" applyBorder="1" applyAlignment="1">
      <alignment horizontal="center" vertical="center"/>
    </xf>
    <xf numFmtId="0" fontId="13" fillId="5" borderId="157" xfId="0" applyNumberFormat="1" applyFont="1" applyFill="1" applyBorder="1" applyAlignment="1">
      <alignment horizontal="left" vertical="center"/>
    </xf>
    <xf numFmtId="0" fontId="13" fillId="5" borderId="157" xfId="0" applyNumberFormat="1" applyFont="1" applyFill="1" applyBorder="1" applyAlignment="1">
      <alignment horizontal="center" vertical="center"/>
    </xf>
    <xf numFmtId="167" fontId="0" fillId="5" borderId="158" xfId="0" applyNumberFormat="1" applyFill="1" applyBorder="1" applyAlignment="1" applyProtection="1">
      <alignment horizontal="center" vertical="center"/>
      <protection hidden="1"/>
    </xf>
    <xf numFmtId="0" fontId="2" fillId="6" borderId="117" xfId="0" applyFont="1" applyFill="1" applyBorder="1" applyAlignment="1">
      <alignment horizontal="left" vertical="center"/>
    </xf>
    <xf numFmtId="0" fontId="35" fillId="6" borderId="0" xfId="0" applyFont="1" applyFill="1" applyBorder="1" applyAlignment="1">
      <alignment horizontal="center"/>
    </xf>
    <xf numFmtId="0" fontId="2" fillId="6" borderId="276" xfId="0" applyFont="1" applyFill="1" applyBorder="1" applyAlignment="1">
      <alignment horizontal="center"/>
    </xf>
    <xf numFmtId="0" fontId="2" fillId="6" borderId="52" xfId="0" applyFont="1" applyFill="1" applyBorder="1" applyAlignment="1">
      <alignment horizontal="center" vertical="center"/>
    </xf>
    <xf numFmtId="0" fontId="2" fillId="6" borderId="57" xfId="0" applyFont="1" applyFill="1" applyBorder="1" applyAlignment="1">
      <alignment horizontal="center" vertical="center"/>
    </xf>
    <xf numFmtId="0" fontId="18" fillId="6" borderId="89" xfId="0" applyFont="1" applyFill="1" applyBorder="1" applyAlignment="1">
      <alignment horizontal="center" vertical="center"/>
    </xf>
    <xf numFmtId="0" fontId="18" fillId="3" borderId="2" xfId="0" applyFont="1" applyFill="1" applyBorder="1" applyAlignment="1">
      <alignment horizontal="center" vertical="center"/>
    </xf>
    <xf numFmtId="0" fontId="18" fillId="3" borderId="277" xfId="0" applyFont="1" applyFill="1" applyBorder="1" applyAlignment="1">
      <alignment horizontal="center" vertical="center"/>
    </xf>
    <xf numFmtId="0" fontId="0" fillId="11" borderId="5" xfId="0" applyFill="1" applyBorder="1"/>
    <xf numFmtId="49" fontId="53" fillId="3" borderId="40" xfId="0" applyNumberFormat="1" applyFont="1" applyFill="1" applyBorder="1" applyAlignment="1">
      <alignment horizontal="center"/>
    </xf>
    <xf numFmtId="11" fontId="0" fillId="5" borderId="227" xfId="0" applyNumberFormat="1" applyFill="1" applyBorder="1" applyAlignment="1" applyProtection="1">
      <alignment horizontal="center" vertical="center"/>
      <protection hidden="1"/>
    </xf>
    <xf numFmtId="11" fontId="0" fillId="5" borderId="213" xfId="0" applyNumberFormat="1" applyFill="1" applyBorder="1" applyAlignment="1" applyProtection="1">
      <alignment horizontal="center" vertical="center"/>
      <protection hidden="1"/>
    </xf>
    <xf numFmtId="0" fontId="0" fillId="12" borderId="5" xfId="0" applyFill="1" applyBorder="1"/>
    <xf numFmtId="49" fontId="53" fillId="3" borderId="91" xfId="0" applyNumberFormat="1" applyFont="1" applyFill="1" applyBorder="1" applyAlignment="1">
      <alignment horizontal="center"/>
    </xf>
    <xf numFmtId="11" fontId="0" fillId="5" borderId="42" xfId="0" applyNumberFormat="1" applyFill="1" applyBorder="1" applyAlignment="1" applyProtection="1">
      <alignment horizontal="center" vertical="center"/>
      <protection hidden="1"/>
    </xf>
    <xf numFmtId="11" fontId="0" fillId="5" borderId="18" xfId="0" applyNumberFormat="1" applyFill="1" applyBorder="1" applyAlignment="1" applyProtection="1">
      <alignment horizontal="center" vertical="center"/>
      <protection hidden="1"/>
    </xf>
    <xf numFmtId="0" fontId="0" fillId="13" borderId="5" xfId="0" applyFill="1" applyBorder="1"/>
    <xf numFmtId="0" fontId="0" fillId="14" borderId="5" xfId="0" applyFill="1" applyBorder="1"/>
    <xf numFmtId="0" fontId="0" fillId="15" borderId="5" xfId="0" applyFill="1" applyBorder="1"/>
    <xf numFmtId="49" fontId="2" fillId="3" borderId="278" xfId="0" applyNumberFormat="1" applyFont="1" applyFill="1" applyBorder="1" applyAlignment="1">
      <alignment horizontal="center"/>
    </xf>
    <xf numFmtId="0" fontId="0" fillId="16" borderId="5" xfId="0" applyFill="1" applyBorder="1"/>
    <xf numFmtId="11" fontId="0" fillId="5" borderId="279" xfId="0" applyNumberFormat="1" applyFill="1" applyBorder="1" applyAlignment="1" applyProtection="1">
      <alignment horizontal="center" vertical="center"/>
      <protection hidden="1"/>
    </xf>
    <xf numFmtId="0" fontId="0" fillId="17" borderId="5" xfId="0" applyFill="1" applyBorder="1"/>
    <xf numFmtId="0" fontId="3" fillId="6" borderId="158" xfId="0" applyFont="1" applyFill="1" applyBorder="1" applyAlignment="1">
      <alignment horizontal="right" vertical="center"/>
    </xf>
    <xf numFmtId="0" fontId="46" fillId="5" borderId="190" xfId="0" applyFont="1" applyFill="1" applyBorder="1"/>
    <xf numFmtId="0" fontId="46" fillId="5" borderId="280" xfId="0" applyFont="1" applyFill="1" applyBorder="1"/>
    <xf numFmtId="166" fontId="0" fillId="5" borderId="0" xfId="2" applyNumberFormat="1" applyFont="1" applyFill="1" applyBorder="1" applyAlignment="1">
      <alignment horizontal="center"/>
    </xf>
    <xf numFmtId="0" fontId="182" fillId="5" borderId="0" xfId="0" applyFont="1" applyFill="1"/>
    <xf numFmtId="0" fontId="18" fillId="5" borderId="0" xfId="0" applyFont="1" applyFill="1" applyAlignment="1">
      <alignment vertical="center"/>
    </xf>
    <xf numFmtId="0" fontId="18" fillId="5" borderId="0" xfId="0" applyFont="1" applyFill="1"/>
    <xf numFmtId="0" fontId="5" fillId="3" borderId="35" xfId="0" applyFont="1" applyFill="1" applyBorder="1" applyAlignment="1">
      <alignment horizontal="center" vertical="center"/>
    </xf>
    <xf numFmtId="0" fontId="183" fillId="5" borderId="0" xfId="0" applyFont="1" applyFill="1"/>
    <xf numFmtId="0" fontId="24" fillId="6" borderId="0" xfId="0" applyFont="1" applyFill="1" applyAlignment="1">
      <alignment vertical="center"/>
    </xf>
    <xf numFmtId="0" fontId="24" fillId="5" borderId="0" xfId="0" applyFont="1" applyFill="1" applyAlignment="1">
      <alignment vertical="center"/>
    </xf>
    <xf numFmtId="0" fontId="123" fillId="2" borderId="0" xfId="0" applyFont="1" applyFill="1" applyAlignment="1">
      <alignment vertical="center"/>
    </xf>
    <xf numFmtId="0" fontId="44" fillId="2" borderId="0" xfId="0" applyFont="1" applyFill="1" applyAlignment="1">
      <alignment vertical="center"/>
    </xf>
    <xf numFmtId="0" fontId="44" fillId="2" borderId="0" xfId="0" applyFont="1" applyFill="1" applyAlignment="1">
      <alignment horizontal="left" vertical="center"/>
    </xf>
    <xf numFmtId="0" fontId="2" fillId="3" borderId="186" xfId="0" applyFont="1" applyFill="1" applyBorder="1" applyAlignment="1">
      <alignment horizontal="center"/>
    </xf>
    <xf numFmtId="0" fontId="111" fillId="3" borderId="186" xfId="0" applyFont="1" applyFill="1" applyBorder="1" applyAlignment="1">
      <alignment horizontal="center"/>
    </xf>
    <xf numFmtId="0" fontId="181" fillId="5" borderId="0" xfId="0" applyFont="1" applyFill="1" applyBorder="1"/>
    <xf numFmtId="0" fontId="2" fillId="6" borderId="62" xfId="0" applyFont="1" applyFill="1" applyBorder="1" applyAlignment="1">
      <alignment horizontal="left"/>
    </xf>
    <xf numFmtId="0" fontId="46" fillId="2" borderId="0" xfId="0" applyFont="1" applyFill="1" applyAlignment="1">
      <alignment horizontal="center" vertical="top" wrapText="1"/>
    </xf>
    <xf numFmtId="0" fontId="2" fillId="2" borderId="0" xfId="0" applyFont="1" applyFill="1" applyAlignment="1">
      <alignment horizontal="center" vertical="top" wrapText="1"/>
    </xf>
    <xf numFmtId="0" fontId="2" fillId="2" borderId="0" xfId="0" applyNumberFormat="1" applyFont="1" applyFill="1" applyBorder="1" applyAlignment="1">
      <alignment horizontal="center" vertical="top" wrapText="1"/>
    </xf>
    <xf numFmtId="0" fontId="2" fillId="2" borderId="0" xfId="0" applyFont="1" applyFill="1" applyBorder="1" applyAlignment="1">
      <alignment horizontal="center" vertical="top" wrapText="1"/>
    </xf>
    <xf numFmtId="0" fontId="130" fillId="2" borderId="0" xfId="0" applyFont="1" applyFill="1" applyAlignment="1">
      <alignment horizontal="center" vertical="top" wrapText="1"/>
    </xf>
    <xf numFmtId="0" fontId="81" fillId="5" borderId="0" xfId="0" applyNumberFormat="1" applyFont="1" applyFill="1" applyBorder="1" applyAlignment="1">
      <alignment horizontal="left" vertical="center"/>
    </xf>
    <xf numFmtId="0" fontId="47" fillId="41" borderId="215" xfId="0" applyFont="1" applyFill="1" applyBorder="1" applyAlignment="1">
      <alignment horizontal="center" vertical="center"/>
    </xf>
    <xf numFmtId="0" fontId="47" fillId="41" borderId="198" xfId="0" applyFont="1" applyFill="1" applyBorder="1" applyAlignment="1">
      <alignment horizontal="center" vertical="center"/>
    </xf>
    <xf numFmtId="0" fontId="46" fillId="41" borderId="217" xfId="0" applyFont="1" applyFill="1" applyBorder="1" applyAlignment="1">
      <alignment horizontal="center" vertical="center"/>
    </xf>
    <xf numFmtId="49" fontId="0" fillId="3" borderId="278" xfId="0" applyNumberFormat="1" applyFill="1" applyBorder="1" applyAlignment="1">
      <alignment horizontal="center"/>
    </xf>
    <xf numFmtId="0" fontId="3" fillId="6" borderId="229" xfId="0" applyFont="1" applyFill="1" applyBorder="1" applyAlignment="1">
      <alignment horizontal="center"/>
    </xf>
    <xf numFmtId="0" fontId="141" fillId="6" borderId="122" xfId="0" applyFont="1" applyFill="1" applyBorder="1" applyAlignment="1">
      <alignment horizontal="center" vertical="center" wrapText="1"/>
    </xf>
    <xf numFmtId="0" fontId="141" fillId="6" borderId="100" xfId="0" applyFont="1" applyFill="1" applyBorder="1" applyAlignment="1">
      <alignment horizontal="center" vertical="center" wrapText="1"/>
    </xf>
    <xf numFmtId="0" fontId="0" fillId="7" borderId="108" xfId="0" applyNumberFormat="1" applyFill="1" applyBorder="1" applyAlignment="1">
      <alignment horizontal="center" vertical="center"/>
    </xf>
    <xf numFmtId="0" fontId="46" fillId="7" borderId="2" xfId="0" applyNumberFormat="1" applyFont="1" applyFill="1" applyBorder="1" applyAlignment="1">
      <alignment horizontal="center" vertical="center"/>
    </xf>
    <xf numFmtId="0" fontId="2" fillId="7" borderId="37" xfId="0" applyNumberFormat="1" applyFont="1" applyFill="1" applyBorder="1" applyAlignment="1">
      <alignment horizontal="center" vertical="center"/>
    </xf>
    <xf numFmtId="166" fontId="0" fillId="7" borderId="283" xfId="0" applyNumberFormat="1" applyFill="1" applyBorder="1" applyAlignment="1">
      <alignment horizontal="center" vertical="center"/>
    </xf>
    <xf numFmtId="0" fontId="160" fillId="6" borderId="186" xfId="0" applyFont="1" applyFill="1" applyBorder="1" applyAlignment="1">
      <alignment horizontal="center" vertical="center"/>
    </xf>
    <xf numFmtId="2" fontId="156" fillId="5" borderId="224" xfId="0" applyNumberFormat="1" applyFont="1" applyFill="1" applyBorder="1" applyAlignment="1">
      <alignment horizontal="center" vertical="center"/>
    </xf>
    <xf numFmtId="0" fontId="147" fillId="5" borderId="207" xfId="0" applyFont="1" applyFill="1" applyBorder="1" applyAlignment="1">
      <alignment horizontal="right" vertical="center"/>
    </xf>
    <xf numFmtId="0" fontId="0" fillId="2" borderId="55" xfId="0" applyFill="1" applyBorder="1" applyAlignment="1">
      <alignment horizontal="left" vertical="center"/>
    </xf>
    <xf numFmtId="0" fontId="87" fillId="2" borderId="4" xfId="0" applyFont="1" applyFill="1" applyBorder="1" applyAlignment="1">
      <alignment horizontal="center" vertical="center"/>
    </xf>
    <xf numFmtId="0" fontId="87" fillId="2" borderId="4" xfId="0" applyFont="1" applyFill="1" applyBorder="1" applyAlignment="1">
      <alignment horizontal="left" vertical="center"/>
    </xf>
    <xf numFmtId="0" fontId="80" fillId="2" borderId="4" xfId="0" applyFont="1" applyFill="1" applyBorder="1" applyAlignment="1">
      <alignment horizontal="center" vertical="center"/>
    </xf>
    <xf numFmtId="0" fontId="158" fillId="3" borderId="150" xfId="0" applyFont="1" applyFill="1" applyBorder="1" applyAlignment="1">
      <alignment horizontal="center" vertical="center"/>
    </xf>
    <xf numFmtId="0" fontId="13" fillId="6" borderId="22" xfId="0" applyFont="1" applyFill="1" applyBorder="1" applyAlignment="1">
      <alignment vertical="center"/>
    </xf>
    <xf numFmtId="0" fontId="46" fillId="6" borderId="22" xfId="0" applyFont="1" applyFill="1" applyBorder="1" applyAlignment="1">
      <alignment horizontal="left" vertical="center"/>
    </xf>
    <xf numFmtId="0" fontId="46" fillId="6" borderId="22" xfId="0" applyFont="1" applyFill="1" applyBorder="1" applyAlignment="1">
      <alignment horizontal="center" vertical="center"/>
    </xf>
    <xf numFmtId="0" fontId="0" fillId="6" borderId="22" xfId="0" applyFill="1" applyBorder="1" applyAlignment="1">
      <alignment horizontal="center" vertical="center"/>
    </xf>
    <xf numFmtId="0" fontId="0" fillId="6" borderId="70" xfId="0" applyFill="1" applyBorder="1" applyAlignment="1">
      <alignment horizontal="center" vertical="center"/>
    </xf>
    <xf numFmtId="1" fontId="2" fillId="3" borderId="42" xfId="0" applyNumberFormat="1" applyFont="1" applyFill="1" applyBorder="1" applyAlignment="1">
      <alignment horizontal="center" vertical="center" wrapText="1"/>
    </xf>
    <xf numFmtId="1" fontId="2" fillId="3" borderId="284" xfId="0" applyNumberFormat="1" applyFont="1" applyFill="1" applyBorder="1" applyAlignment="1">
      <alignment horizontal="center" vertical="center" wrapText="1"/>
    </xf>
    <xf numFmtId="0" fontId="0" fillId="3" borderId="285" xfId="0" applyFill="1" applyBorder="1" applyAlignment="1">
      <alignment horizontal="center"/>
    </xf>
    <xf numFmtId="0" fontId="18" fillId="0" borderId="227" xfId="0" applyNumberFormat="1" applyFont="1" applyFill="1" applyBorder="1" applyAlignment="1">
      <alignment horizontal="center" vertical="center"/>
    </xf>
    <xf numFmtId="0" fontId="18" fillId="0" borderId="186" xfId="0" applyNumberFormat="1" applyFont="1" applyFill="1" applyBorder="1" applyAlignment="1">
      <alignment horizontal="center" vertical="center"/>
    </xf>
    <xf numFmtId="0" fontId="18" fillId="0" borderId="218" xfId="0" applyNumberFormat="1" applyFont="1" applyFill="1" applyBorder="1" applyAlignment="1">
      <alignment horizontal="center" vertical="center"/>
    </xf>
    <xf numFmtId="0" fontId="3" fillId="6" borderId="286" xfId="0" applyFont="1" applyFill="1" applyBorder="1" applyAlignment="1">
      <alignment horizontal="center" vertical="center" wrapText="1"/>
    </xf>
    <xf numFmtId="49" fontId="2" fillId="3" borderId="287" xfId="0" applyNumberFormat="1" applyFont="1" applyFill="1" applyBorder="1" applyAlignment="1">
      <alignment horizontal="center"/>
    </xf>
    <xf numFmtId="0" fontId="17" fillId="6" borderId="32" xfId="0" applyFont="1" applyFill="1" applyBorder="1" applyAlignment="1">
      <alignment horizontal="left" vertical="center"/>
    </xf>
    <xf numFmtId="166" fontId="18" fillId="5" borderId="288" xfId="0" applyNumberFormat="1" applyFont="1" applyFill="1" applyBorder="1" applyAlignment="1">
      <alignment horizontal="center" vertical="center"/>
    </xf>
    <xf numFmtId="168" fontId="18" fillId="5" borderId="214" xfId="0" applyNumberFormat="1" applyFont="1" applyFill="1" applyBorder="1" applyAlignment="1">
      <alignment horizontal="center" vertical="center"/>
    </xf>
    <xf numFmtId="166" fontId="2" fillId="6" borderId="198" xfId="0" applyNumberFormat="1" applyFont="1" applyFill="1" applyBorder="1" applyAlignment="1">
      <alignment horizontal="left" vertical="center"/>
    </xf>
    <xf numFmtId="166" fontId="0" fillId="5" borderId="289" xfId="0" applyNumberFormat="1" applyFill="1" applyBorder="1" applyAlignment="1">
      <alignment horizontal="center" vertical="center"/>
    </xf>
    <xf numFmtId="167" fontId="0" fillId="5" borderId="290" xfId="0" applyNumberFormat="1" applyFill="1" applyBorder="1" applyAlignment="1">
      <alignment horizontal="center" vertical="center"/>
    </xf>
    <xf numFmtId="11" fontId="0" fillId="5" borderId="281" xfId="0" applyNumberFormat="1" applyFill="1" applyBorder="1" applyAlignment="1">
      <alignment horizontal="center" vertical="center"/>
    </xf>
    <xf numFmtId="0" fontId="0" fillId="3" borderId="41" xfId="0" applyFill="1" applyBorder="1" applyAlignment="1">
      <alignment horizontal="center" vertical="center" wrapText="1"/>
    </xf>
    <xf numFmtId="166" fontId="0" fillId="5" borderId="5" xfId="0" applyNumberFormat="1" applyFill="1" applyBorder="1" applyAlignment="1">
      <alignment horizontal="center" vertical="center"/>
    </xf>
    <xf numFmtId="0" fontId="3" fillId="6" borderId="229" xfId="0" applyFont="1" applyFill="1" applyBorder="1" applyAlignment="1">
      <alignment horizontal="center" vertical="center"/>
    </xf>
    <xf numFmtId="49" fontId="0" fillId="3" borderId="41" xfId="0" applyNumberFormat="1" applyFill="1" applyBorder="1" applyAlignment="1">
      <alignment horizontal="center" vertical="center" wrapText="1"/>
    </xf>
    <xf numFmtId="166" fontId="18" fillId="5" borderId="92" xfId="0" applyNumberFormat="1" applyFont="1" applyFill="1" applyBorder="1" applyAlignment="1">
      <alignment horizontal="center" vertical="center"/>
    </xf>
    <xf numFmtId="166" fontId="0" fillId="19" borderId="286" xfId="0" applyNumberFormat="1" applyFill="1" applyBorder="1" applyAlignment="1">
      <alignment horizontal="center"/>
    </xf>
    <xf numFmtId="166" fontId="18" fillId="5" borderId="71" xfId="0" applyNumberFormat="1" applyFont="1" applyFill="1" applyBorder="1" applyAlignment="1">
      <alignment horizontal="center" vertical="center"/>
    </xf>
    <xf numFmtId="166" fontId="0" fillId="19" borderId="100" xfId="0" applyNumberFormat="1" applyFill="1" applyBorder="1" applyAlignment="1">
      <alignment horizontal="center"/>
    </xf>
    <xf numFmtId="49" fontId="53" fillId="3" borderId="292" xfId="0" applyNumberFormat="1" applyFont="1" applyFill="1" applyBorder="1" applyAlignment="1">
      <alignment horizontal="center"/>
    </xf>
    <xf numFmtId="0" fontId="2" fillId="19" borderId="100" xfId="0" applyFont="1" applyFill="1" applyBorder="1" applyAlignment="1">
      <alignment horizontal="left"/>
    </xf>
    <xf numFmtId="0" fontId="0" fillId="3" borderId="92" xfId="0" applyFill="1" applyBorder="1" applyAlignment="1">
      <alignment horizontal="center" vertical="center" wrapText="1"/>
    </xf>
    <xf numFmtId="49" fontId="53" fillId="3" borderId="292" xfId="0" applyNumberFormat="1" applyFont="1" applyFill="1" applyBorder="1" applyAlignment="1">
      <alignment horizontal="center" vertical="center"/>
    </xf>
    <xf numFmtId="0" fontId="2" fillId="19" borderId="293" xfId="0" applyFont="1" applyFill="1" applyBorder="1" applyAlignment="1">
      <alignment horizontal="left"/>
    </xf>
    <xf numFmtId="0" fontId="0" fillId="3" borderId="294" xfId="0" applyFill="1" applyBorder="1" applyAlignment="1">
      <alignment horizontal="center" vertical="center"/>
    </xf>
    <xf numFmtId="2" fontId="0" fillId="5" borderId="210" xfId="0" applyNumberFormat="1" applyFill="1" applyBorder="1" applyAlignment="1">
      <alignment horizontal="center" vertical="center"/>
    </xf>
    <xf numFmtId="0" fontId="13" fillId="6" borderId="55" xfId="0" applyFont="1" applyFill="1" applyBorder="1"/>
    <xf numFmtId="0" fontId="13" fillId="6" borderId="31" xfId="0" applyFont="1" applyFill="1" applyBorder="1"/>
    <xf numFmtId="0" fontId="18" fillId="6" borderId="30" xfId="0" applyFont="1" applyFill="1" applyBorder="1" applyAlignment="1">
      <alignment horizontal="right"/>
    </xf>
    <xf numFmtId="0" fontId="0" fillId="6" borderId="30" xfId="0" applyFill="1" applyBorder="1" applyAlignment="1">
      <alignment horizontal="right" vertical="center"/>
    </xf>
    <xf numFmtId="166" fontId="2" fillId="6" borderId="30" xfId="0" applyNumberFormat="1" applyFont="1" applyFill="1" applyBorder="1" applyAlignment="1">
      <alignment horizontal="left" vertical="center"/>
    </xf>
    <xf numFmtId="0" fontId="0" fillId="6" borderId="31" xfId="0" applyFill="1" applyBorder="1" applyAlignment="1">
      <alignment horizontal="right"/>
    </xf>
    <xf numFmtId="165" fontId="0" fillId="6" borderId="104" xfId="0" applyNumberFormat="1" applyFill="1" applyBorder="1" applyAlignment="1">
      <alignment horizontal="left"/>
    </xf>
    <xf numFmtId="11" fontId="0" fillId="5" borderId="18" xfId="0" applyNumberFormat="1" applyFill="1" applyBorder="1" applyAlignment="1">
      <alignment horizontal="center" vertical="center"/>
    </xf>
    <xf numFmtId="0" fontId="0" fillId="5" borderId="18" xfId="0" applyFill="1" applyBorder="1"/>
    <xf numFmtId="0" fontId="0" fillId="5" borderId="18" xfId="0" applyFill="1" applyBorder="1" applyAlignment="1">
      <alignment horizontal="center" vertical="center" wrapText="1"/>
    </xf>
    <xf numFmtId="167" fontId="0" fillId="5" borderId="283" xfId="0" applyNumberFormat="1" applyFill="1" applyBorder="1" applyAlignment="1">
      <alignment horizontal="center" vertical="center"/>
    </xf>
    <xf numFmtId="167" fontId="0" fillId="5" borderId="18" xfId="0" applyNumberFormat="1" applyFill="1" applyBorder="1" applyAlignment="1">
      <alignment horizontal="center" vertical="center"/>
    </xf>
    <xf numFmtId="167" fontId="0" fillId="5" borderId="295" xfId="0" applyNumberFormat="1" applyFill="1" applyBorder="1" applyAlignment="1">
      <alignment horizontal="center" vertical="center"/>
    </xf>
    <xf numFmtId="0" fontId="0" fillId="5" borderId="0" xfId="0" applyFill="1" applyBorder="1" applyAlignment="1">
      <alignment horizontal="center" vertical="center"/>
    </xf>
    <xf numFmtId="0" fontId="0" fillId="5" borderId="12" xfId="0" applyFill="1" applyBorder="1" applyAlignment="1">
      <alignment vertical="center"/>
    </xf>
    <xf numFmtId="0" fontId="0" fillId="3" borderId="296" xfId="0" applyFill="1" applyBorder="1" applyAlignment="1">
      <alignment horizontal="center" vertical="center"/>
    </xf>
    <xf numFmtId="0" fontId="46" fillId="5" borderId="22" xfId="0" applyFont="1" applyFill="1" applyBorder="1" applyAlignment="1">
      <alignment horizontal="left"/>
    </xf>
    <xf numFmtId="0" fontId="0" fillId="5" borderId="22" xfId="0" applyFill="1" applyBorder="1" applyAlignment="1">
      <alignment vertical="center"/>
    </xf>
    <xf numFmtId="0" fontId="0" fillId="5" borderId="101" xfId="0" applyFill="1" applyBorder="1" applyAlignment="1">
      <alignment vertical="center"/>
    </xf>
    <xf numFmtId="49" fontId="0" fillId="3" borderId="222" xfId="0" applyNumberFormat="1" applyFill="1" applyBorder="1" applyAlignment="1" applyProtection="1">
      <alignment horizontal="center" vertical="center" wrapText="1"/>
      <protection hidden="1"/>
    </xf>
    <xf numFmtId="49" fontId="0" fillId="3" borderId="223" xfId="0" applyNumberFormat="1" applyFill="1" applyBorder="1" applyAlignment="1" applyProtection="1">
      <alignment horizontal="center" vertical="center" wrapText="1"/>
      <protection hidden="1"/>
    </xf>
    <xf numFmtId="49" fontId="0" fillId="3" borderId="220" xfId="0" applyNumberFormat="1" applyFill="1" applyBorder="1" applyAlignment="1" applyProtection="1">
      <alignment horizontal="center" vertical="center" wrapText="1"/>
      <protection hidden="1"/>
    </xf>
    <xf numFmtId="167" fontId="0" fillId="5" borderId="102" xfId="0" applyNumberFormat="1" applyFill="1" applyBorder="1" applyAlignment="1">
      <alignment horizontal="center" vertical="center"/>
    </xf>
    <xf numFmtId="167" fontId="0" fillId="19" borderId="297" xfId="0" applyNumberFormat="1" applyFill="1" applyBorder="1" applyAlignment="1" applyProtection="1">
      <alignment horizontal="center" vertical="center"/>
      <protection hidden="1"/>
    </xf>
    <xf numFmtId="167" fontId="0" fillId="19" borderId="186" xfId="0" applyNumberFormat="1" applyFill="1" applyBorder="1" applyAlignment="1" applyProtection="1">
      <alignment horizontal="center" vertical="center"/>
      <protection hidden="1"/>
    </xf>
    <xf numFmtId="167" fontId="0" fillId="19" borderId="291" xfId="0" applyNumberFormat="1" applyFill="1" applyBorder="1" applyAlignment="1">
      <alignment horizontal="center" vertical="center"/>
    </xf>
    <xf numFmtId="0" fontId="0" fillId="3" borderId="298" xfId="0" applyFill="1" applyBorder="1" applyAlignment="1">
      <alignment horizontal="center" vertical="center"/>
    </xf>
    <xf numFmtId="167" fontId="0" fillId="19" borderId="0" xfId="0" applyNumberFormat="1" applyFill="1" applyBorder="1" applyAlignment="1" applyProtection="1">
      <alignment horizontal="center" vertical="center"/>
      <protection hidden="1"/>
    </xf>
    <xf numFmtId="167" fontId="0" fillId="19" borderId="5" xfId="0" applyNumberFormat="1" applyFill="1" applyBorder="1" applyAlignment="1" applyProtection="1">
      <alignment horizontal="center" vertical="center"/>
      <protection hidden="1"/>
    </xf>
    <xf numFmtId="11" fontId="0" fillId="19" borderId="299" xfId="0" applyNumberFormat="1" applyFill="1" applyBorder="1" applyAlignment="1">
      <alignment horizontal="center" vertical="center"/>
    </xf>
    <xf numFmtId="167" fontId="0" fillId="19" borderId="109" xfId="0" applyNumberFormat="1" applyFill="1" applyBorder="1" applyAlignment="1" applyProtection="1">
      <alignment horizontal="center" vertical="center"/>
      <protection hidden="1"/>
    </xf>
    <xf numFmtId="167" fontId="0" fillId="19" borderId="22" xfId="0" applyNumberFormat="1" applyFill="1" applyBorder="1" applyAlignment="1" applyProtection="1">
      <alignment horizontal="center" vertical="center"/>
      <protection hidden="1"/>
    </xf>
    <xf numFmtId="167" fontId="0" fillId="19" borderId="70" xfId="0" applyNumberFormat="1" applyFill="1" applyBorder="1" applyAlignment="1" applyProtection="1">
      <alignment horizontal="center" vertical="center"/>
      <protection hidden="1"/>
    </xf>
    <xf numFmtId="0" fontId="2" fillId="6" borderId="136" xfId="0" applyFont="1" applyFill="1" applyBorder="1" applyAlignment="1">
      <alignment horizontal="right" vertical="center"/>
    </xf>
    <xf numFmtId="166" fontId="2" fillId="6" borderId="32" xfId="0" applyNumberFormat="1" applyFont="1" applyFill="1" applyBorder="1" applyAlignment="1">
      <alignment horizontal="left" vertical="center"/>
    </xf>
    <xf numFmtId="11" fontId="0" fillId="5" borderId="297" xfId="0" applyNumberFormat="1" applyFill="1" applyBorder="1" applyAlignment="1" applyProtection="1">
      <alignment horizontal="center" vertical="center"/>
      <protection hidden="1"/>
    </xf>
    <xf numFmtId="11" fontId="0" fillId="5" borderId="186" xfId="0" applyNumberFormat="1" applyFill="1" applyBorder="1" applyAlignment="1" applyProtection="1">
      <alignment horizontal="center" vertical="center"/>
      <protection hidden="1"/>
    </xf>
    <xf numFmtId="11" fontId="0" fillId="5" borderId="300" xfId="0" applyNumberFormat="1" applyFill="1" applyBorder="1" applyAlignment="1" applyProtection="1">
      <alignment horizontal="center" vertical="center"/>
      <protection hidden="1"/>
    </xf>
    <xf numFmtId="0" fontId="0" fillId="19" borderId="282" xfId="0" applyFill="1" applyBorder="1" applyAlignment="1">
      <alignment horizontal="center" vertical="center"/>
    </xf>
    <xf numFmtId="0" fontId="0" fillId="19" borderId="283" xfId="0" applyFill="1" applyBorder="1" applyAlignment="1">
      <alignment horizontal="center" vertical="center"/>
    </xf>
    <xf numFmtId="0" fontId="0" fillId="19" borderId="281" xfId="0" applyFill="1" applyBorder="1" applyAlignment="1">
      <alignment vertical="center"/>
    </xf>
    <xf numFmtId="0" fontId="0" fillId="19" borderId="102" xfId="0" applyFill="1" applyBorder="1" applyAlignment="1">
      <alignment horizontal="center" vertical="center"/>
    </xf>
    <xf numFmtId="0" fontId="46" fillId="19" borderId="109" xfId="0" applyFont="1" applyFill="1" applyBorder="1" applyAlignment="1">
      <alignment horizontal="left"/>
    </xf>
    <xf numFmtId="165" fontId="0" fillId="7" borderId="299" xfId="0" applyNumberFormat="1" applyFill="1" applyBorder="1" applyAlignment="1">
      <alignment horizontal="center" vertical="center"/>
    </xf>
    <xf numFmtId="0" fontId="46" fillId="4" borderId="215" xfId="0" applyFont="1" applyFill="1" applyBorder="1" applyAlignment="1">
      <alignment horizontal="center" vertical="center"/>
    </xf>
    <xf numFmtId="0" fontId="46" fillId="4" borderId="217" xfId="0" applyFont="1" applyFill="1" applyBorder="1" applyAlignment="1">
      <alignment horizontal="center" vertical="center"/>
    </xf>
    <xf numFmtId="0" fontId="3" fillId="6" borderId="160" xfId="0" applyFont="1" applyFill="1" applyBorder="1" applyAlignment="1" applyProtection="1">
      <alignment horizontal="left" vertical="center"/>
      <protection hidden="1"/>
    </xf>
    <xf numFmtId="166" fontId="0" fillId="5" borderId="301" xfId="0" applyNumberFormat="1" applyFill="1" applyBorder="1" applyAlignment="1">
      <alignment horizontal="center" vertical="center"/>
    </xf>
    <xf numFmtId="166" fontId="0" fillId="5" borderId="302" xfId="0" applyNumberFormat="1" applyFill="1" applyBorder="1" applyAlignment="1">
      <alignment horizontal="center" vertical="center"/>
    </xf>
    <xf numFmtId="0" fontId="0" fillId="3" borderId="303" xfId="0" applyFill="1" applyBorder="1" applyAlignment="1">
      <alignment horizontal="center" vertical="center"/>
    </xf>
    <xf numFmtId="0" fontId="0" fillId="7" borderId="282" xfId="0" applyFill="1" applyBorder="1" applyAlignment="1">
      <alignment horizontal="center" vertical="center"/>
    </xf>
    <xf numFmtId="0" fontId="0" fillId="7" borderId="281" xfId="0" applyFill="1" applyBorder="1" applyAlignment="1">
      <alignment horizontal="center" vertical="center"/>
    </xf>
    <xf numFmtId="0" fontId="0" fillId="7" borderId="102" xfId="0" applyFill="1" applyBorder="1" applyAlignment="1">
      <alignment horizontal="center" vertical="center"/>
    </xf>
    <xf numFmtId="0" fontId="46" fillId="7" borderId="0" xfId="0" applyFont="1" applyFill="1" applyBorder="1" applyAlignment="1">
      <alignment horizontal="center" vertical="center"/>
    </xf>
    <xf numFmtId="0" fontId="2" fillId="7" borderId="5" xfId="0" applyFont="1" applyFill="1" applyBorder="1" applyAlignment="1">
      <alignment horizontal="center" vertical="center"/>
    </xf>
    <xf numFmtId="0" fontId="46" fillId="19" borderId="22" xfId="0" applyFont="1" applyFill="1" applyBorder="1" applyAlignment="1">
      <alignment horizontal="left"/>
    </xf>
    <xf numFmtId="1" fontId="9" fillId="7" borderId="92" xfId="0" applyNumberFormat="1" applyFont="1" applyFill="1" applyBorder="1" applyAlignment="1">
      <alignment horizontal="center" vertical="center"/>
    </xf>
    <xf numFmtId="0" fontId="9" fillId="7" borderId="91" xfId="0" applyFont="1" applyFill="1" applyBorder="1" applyAlignment="1">
      <alignment horizontal="center" vertical="center"/>
    </xf>
    <xf numFmtId="0" fontId="9" fillId="7" borderId="50" xfId="0" applyFont="1" applyFill="1" applyBorder="1" applyAlignment="1">
      <alignment horizontal="center" vertical="center"/>
    </xf>
    <xf numFmtId="0" fontId="9" fillId="7" borderId="148" xfId="0" applyFont="1" applyFill="1" applyBorder="1" applyAlignment="1">
      <alignment horizontal="center" vertical="center"/>
    </xf>
    <xf numFmtId="0" fontId="0" fillId="19" borderId="297" xfId="0" applyFill="1" applyBorder="1" applyAlignment="1">
      <alignment horizontal="center" vertical="center"/>
    </xf>
    <xf numFmtId="0" fontId="0" fillId="19" borderId="186" xfId="0" applyFill="1" applyBorder="1" applyAlignment="1">
      <alignment horizontal="center" vertical="center"/>
    </xf>
    <xf numFmtId="0" fontId="0" fillId="19" borderId="300" xfId="0" applyFill="1" applyBorder="1" applyAlignment="1">
      <alignment vertical="center"/>
    </xf>
    <xf numFmtId="166" fontId="0" fillId="7" borderId="304" xfId="0" applyNumberFormat="1" applyFill="1" applyBorder="1" applyAlignment="1">
      <alignment horizontal="center" vertical="center"/>
    </xf>
    <xf numFmtId="0" fontId="2" fillId="19" borderId="216" xfId="0" applyFont="1" applyFill="1" applyBorder="1" applyAlignment="1">
      <alignment vertical="center"/>
    </xf>
    <xf numFmtId="0" fontId="0" fillId="19" borderId="207" xfId="0" applyFill="1" applyBorder="1" applyAlignment="1">
      <alignment vertical="center"/>
    </xf>
    <xf numFmtId="0" fontId="46" fillId="19" borderId="207" xfId="0" applyFont="1" applyFill="1" applyBorder="1" applyAlignment="1">
      <alignment horizontal="left" vertical="center"/>
    </xf>
    <xf numFmtId="0" fontId="46" fillId="19" borderId="207" xfId="0" applyFont="1" applyFill="1" applyBorder="1" applyAlignment="1">
      <alignment horizontal="center" vertical="center"/>
    </xf>
    <xf numFmtId="49" fontId="53" fillId="3" borderId="283" xfId="0" applyNumberFormat="1" applyFont="1" applyFill="1" applyBorder="1" applyAlignment="1">
      <alignment horizontal="center"/>
    </xf>
    <xf numFmtId="0" fontId="0" fillId="3" borderId="60" xfId="0" applyFill="1" applyBorder="1" applyAlignment="1">
      <alignment horizontal="center" vertical="center"/>
    </xf>
    <xf numFmtId="167" fontId="0" fillId="5" borderId="305" xfId="0" applyNumberFormat="1" applyFill="1" applyBorder="1" applyAlignment="1">
      <alignment horizontal="center" vertical="center"/>
    </xf>
    <xf numFmtId="167" fontId="0" fillId="5" borderId="306" xfId="0" applyNumberFormat="1" applyFill="1" applyBorder="1" applyAlignment="1" applyProtection="1">
      <alignment horizontal="center" vertical="center"/>
      <protection hidden="1"/>
    </xf>
    <xf numFmtId="166" fontId="0" fillId="6" borderId="198" xfId="0" applyNumberFormat="1" applyFill="1" applyBorder="1" applyAlignment="1">
      <alignment horizontal="left" vertical="center"/>
    </xf>
    <xf numFmtId="0" fontId="13" fillId="6" borderId="219" xfId="0" applyFont="1" applyFill="1" applyBorder="1" applyAlignment="1">
      <alignment vertical="center"/>
    </xf>
    <xf numFmtId="0" fontId="60" fillId="3" borderId="278" xfId="0" applyFont="1" applyFill="1" applyBorder="1" applyAlignment="1">
      <alignment horizontal="center"/>
    </xf>
    <xf numFmtId="0" fontId="4" fillId="3" borderId="278" xfId="0" applyFont="1" applyFill="1" applyBorder="1" applyAlignment="1">
      <alignment horizontal="center"/>
    </xf>
    <xf numFmtId="167" fontId="0" fillId="5" borderId="306" xfId="0" applyNumberFormat="1" applyFill="1" applyBorder="1" applyAlignment="1">
      <alignment horizontal="center" vertical="center"/>
    </xf>
    <xf numFmtId="0" fontId="0" fillId="19" borderId="219" xfId="0" applyFill="1" applyBorder="1" applyAlignment="1">
      <alignment horizontal="center" vertical="center"/>
    </xf>
    <xf numFmtId="0" fontId="0" fillId="19" borderId="198" xfId="0" applyNumberFormat="1" applyFill="1" applyBorder="1" applyAlignment="1">
      <alignment horizontal="center" vertical="center"/>
    </xf>
    <xf numFmtId="0" fontId="0" fillId="19" borderId="212" xfId="0" applyNumberFormat="1" applyFill="1" applyBorder="1" applyAlignment="1">
      <alignment horizontal="center" vertical="center"/>
    </xf>
    <xf numFmtId="0" fontId="13" fillId="6" borderId="219" xfId="0" applyFont="1" applyFill="1" applyBorder="1"/>
    <xf numFmtId="0" fontId="13" fillId="6" borderId="198" xfId="0" applyFont="1" applyFill="1" applyBorder="1"/>
    <xf numFmtId="0" fontId="18" fillId="6" borderId="198" xfId="0" applyFont="1" applyFill="1" applyBorder="1" applyAlignment="1">
      <alignment horizontal="right"/>
    </xf>
    <xf numFmtId="0" fontId="0" fillId="6" borderId="198" xfId="0" applyFill="1" applyBorder="1" applyAlignment="1">
      <alignment horizontal="right" vertical="center"/>
    </xf>
    <xf numFmtId="166" fontId="2" fillId="6" borderId="198" xfId="0" applyNumberFormat="1" applyFont="1" applyFill="1" applyBorder="1" applyAlignment="1">
      <alignment horizontal="right" vertical="center"/>
    </xf>
    <xf numFmtId="0" fontId="17" fillId="6" borderId="212" xfId="0" applyFont="1" applyFill="1" applyBorder="1" applyAlignment="1">
      <alignment horizontal="left" vertical="center"/>
    </xf>
    <xf numFmtId="0" fontId="60" fillId="3" borderId="229" xfId="0" applyFont="1" applyFill="1" applyBorder="1" applyAlignment="1">
      <alignment horizontal="center" vertical="center"/>
    </xf>
    <xf numFmtId="170" fontId="0" fillId="2" borderId="0" xfId="0" applyNumberFormat="1" applyFill="1" applyAlignment="1">
      <alignment vertical="center"/>
    </xf>
    <xf numFmtId="0" fontId="4" fillId="3" borderId="307" xfId="0" applyFont="1" applyFill="1" applyBorder="1" applyAlignment="1">
      <alignment horizontal="center"/>
    </xf>
    <xf numFmtId="2" fontId="0" fillId="5" borderId="274" xfId="0" applyNumberFormat="1" applyFill="1" applyBorder="1" applyAlignment="1">
      <alignment horizontal="center" vertical="center"/>
    </xf>
    <xf numFmtId="2" fontId="0" fillId="5" borderId="308" xfId="0" applyNumberFormat="1" applyFill="1" applyBorder="1" applyAlignment="1">
      <alignment horizontal="center" vertical="center"/>
    </xf>
    <xf numFmtId="2" fontId="0" fillId="5" borderId="309" xfId="0" applyNumberFormat="1" applyFill="1" applyBorder="1" applyAlignment="1">
      <alignment horizontal="center" vertical="center"/>
    </xf>
    <xf numFmtId="0" fontId="0" fillId="5" borderId="70" xfId="0" applyNumberFormat="1" applyFill="1" applyBorder="1" applyAlignment="1">
      <alignment horizontal="center" vertical="center"/>
    </xf>
    <xf numFmtId="166" fontId="0" fillId="5" borderId="288" xfId="0" applyNumberFormat="1" applyFill="1" applyBorder="1" applyAlignment="1">
      <alignment horizontal="center" vertical="center"/>
    </xf>
    <xf numFmtId="0" fontId="0" fillId="19" borderId="22" xfId="0" applyFill="1" applyBorder="1"/>
    <xf numFmtId="0" fontId="0" fillId="19" borderId="22" xfId="0" applyFill="1" applyBorder="1" applyAlignment="1" applyProtection="1">
      <alignment vertical="center"/>
      <protection hidden="1"/>
    </xf>
    <xf numFmtId="0" fontId="0" fillId="19" borderId="101" xfId="0" applyFill="1" applyBorder="1" applyAlignment="1">
      <alignment vertical="center"/>
    </xf>
    <xf numFmtId="0" fontId="0" fillId="3" borderId="310" xfId="0" applyFill="1" applyBorder="1" applyAlignment="1">
      <alignment horizontal="center" vertical="center"/>
    </xf>
    <xf numFmtId="11" fontId="0" fillId="5" borderId="305" xfId="0" applyNumberFormat="1" applyFill="1" applyBorder="1" applyAlignment="1">
      <alignment horizontal="center" vertical="center"/>
    </xf>
    <xf numFmtId="0" fontId="81" fillId="5" borderId="42" xfId="0" applyNumberFormat="1" applyFont="1" applyFill="1" applyBorder="1" applyAlignment="1">
      <alignment horizontal="center" vertical="center"/>
    </xf>
    <xf numFmtId="0" fontId="81" fillId="5" borderId="54" xfId="0" applyNumberFormat="1" applyFont="1" applyFill="1" applyBorder="1" applyAlignment="1">
      <alignment horizontal="center" vertical="center"/>
    </xf>
    <xf numFmtId="0" fontId="81" fillId="5" borderId="301" xfId="0" applyNumberFormat="1" applyFont="1" applyFill="1" applyBorder="1" applyAlignment="1">
      <alignment horizontal="center" vertical="center"/>
    </xf>
    <xf numFmtId="0" fontId="0" fillId="3" borderId="105" xfId="0" applyFill="1" applyBorder="1" applyAlignment="1">
      <alignment horizontal="centerContinuous"/>
    </xf>
    <xf numFmtId="0" fontId="3" fillId="6" borderId="291" xfId="0" applyFont="1" applyFill="1" applyBorder="1" applyAlignment="1">
      <alignment horizontal="center" vertical="center" wrapText="1"/>
    </xf>
    <xf numFmtId="0" fontId="4" fillId="3" borderId="312" xfId="0" applyFont="1" applyFill="1" applyBorder="1" applyAlignment="1">
      <alignment horizontal="center" vertical="center"/>
    </xf>
    <xf numFmtId="0" fontId="81" fillId="0" borderId="42" xfId="0" applyNumberFormat="1" applyFont="1" applyFill="1" applyBorder="1" applyAlignment="1">
      <alignment horizontal="center" vertical="center"/>
    </xf>
    <xf numFmtId="0" fontId="81" fillId="0" borderId="313" xfId="0" applyNumberFormat="1" applyFont="1" applyFill="1" applyBorder="1" applyAlignment="1">
      <alignment horizontal="center" vertical="center"/>
    </xf>
    <xf numFmtId="0" fontId="81" fillId="0" borderId="314" xfId="0" applyNumberFormat="1" applyFont="1" applyFill="1" applyBorder="1" applyAlignment="1">
      <alignment horizontal="center" vertical="center"/>
    </xf>
    <xf numFmtId="0" fontId="18" fillId="0" borderId="315" xfId="0" applyNumberFormat="1" applyFont="1" applyFill="1" applyBorder="1" applyAlignment="1">
      <alignment horizontal="center" vertical="center"/>
    </xf>
    <xf numFmtId="0" fontId="81" fillId="0" borderId="311" xfId="0" applyNumberFormat="1" applyFont="1" applyFill="1" applyBorder="1" applyAlignment="1">
      <alignment horizontal="center" vertical="center"/>
    </xf>
    <xf numFmtId="0" fontId="81" fillId="0" borderId="316" xfId="0" applyNumberFormat="1" applyFont="1" applyFill="1" applyBorder="1" applyAlignment="1">
      <alignment horizontal="center" vertical="center"/>
    </xf>
    <xf numFmtId="0" fontId="156" fillId="5" borderId="301" xfId="0" applyFont="1" applyFill="1" applyBorder="1" applyAlignment="1">
      <alignment horizontal="center" vertical="center"/>
    </xf>
    <xf numFmtId="0" fontId="156" fillId="5" borderId="311" xfId="0" applyFont="1" applyFill="1" applyBorder="1" applyAlignment="1">
      <alignment horizontal="center" vertical="center"/>
    </xf>
    <xf numFmtId="0" fontId="155" fillId="3" borderId="285" xfId="0" applyFont="1" applyFill="1" applyBorder="1" applyAlignment="1">
      <alignment horizontal="centerContinuous" vertical="center"/>
    </xf>
    <xf numFmtId="0" fontId="155" fillId="3" borderId="105" xfId="0" applyFont="1" applyFill="1" applyBorder="1" applyAlignment="1">
      <alignment horizontal="centerContinuous" vertical="center"/>
    </xf>
    <xf numFmtId="0" fontId="3" fillId="6" borderId="5" xfId="0" applyFont="1" applyFill="1" applyBorder="1" applyAlignment="1">
      <alignment horizontal="center" vertical="center" wrapText="1"/>
    </xf>
    <xf numFmtId="0" fontId="158" fillId="3" borderId="312" xfId="0" applyFont="1" applyFill="1" applyBorder="1" applyAlignment="1">
      <alignment horizontal="center" vertical="center"/>
    </xf>
    <xf numFmtId="1" fontId="155" fillId="3" borderId="42" xfId="0" applyNumberFormat="1" applyFont="1" applyFill="1" applyBorder="1" applyAlignment="1">
      <alignment horizontal="center" vertical="center" wrapText="1"/>
    </xf>
    <xf numFmtId="1" fontId="155" fillId="3" borderId="284" xfId="0" applyNumberFormat="1" applyFont="1" applyFill="1" applyBorder="1" applyAlignment="1">
      <alignment horizontal="center" vertical="center" wrapText="1"/>
    </xf>
    <xf numFmtId="0" fontId="170" fillId="5" borderId="42" xfId="0" applyFont="1" applyFill="1" applyBorder="1" applyAlignment="1">
      <alignment horizontal="center" vertical="center"/>
    </xf>
    <xf numFmtId="0" fontId="156" fillId="0" borderId="227" xfId="0" applyFont="1" applyFill="1" applyBorder="1" applyAlignment="1">
      <alignment horizontal="center" vertical="center"/>
    </xf>
    <xf numFmtId="0" fontId="156" fillId="0" borderId="313" xfId="0" applyFont="1" applyFill="1" applyBorder="1" applyAlignment="1">
      <alignment horizontal="center" vertical="center"/>
    </xf>
    <xf numFmtId="0" fontId="156" fillId="0" borderId="186" xfId="0" applyFont="1" applyFill="1" applyBorder="1" applyAlignment="1">
      <alignment horizontal="center" vertical="center"/>
    </xf>
    <xf numFmtId="0" fontId="156" fillId="0" borderId="314" xfId="0" applyFont="1" applyFill="1" applyBorder="1" applyAlignment="1">
      <alignment horizontal="center" vertical="center"/>
    </xf>
    <xf numFmtId="0" fontId="169" fillId="0" borderId="314" xfId="0" applyFont="1" applyFill="1" applyBorder="1" applyAlignment="1">
      <alignment horizontal="center" vertical="center"/>
    </xf>
    <xf numFmtId="0" fontId="156" fillId="0" borderId="315" xfId="0" applyFont="1" applyFill="1" applyBorder="1" applyAlignment="1">
      <alignment horizontal="center" vertical="center"/>
    </xf>
    <xf numFmtId="0" fontId="156" fillId="0" borderId="218" xfId="0" applyFont="1" applyFill="1" applyBorder="1" applyAlignment="1">
      <alignment horizontal="center" vertical="center"/>
    </xf>
    <xf numFmtId="0" fontId="156" fillId="0" borderId="316" xfId="0" applyFont="1" applyFill="1" applyBorder="1" applyAlignment="1">
      <alignment horizontal="center" vertical="center"/>
    </xf>
    <xf numFmtId="0" fontId="156" fillId="5" borderId="301" xfId="0" applyNumberFormat="1" applyFont="1" applyFill="1" applyBorder="1" applyAlignment="1">
      <alignment horizontal="center" vertical="center"/>
    </xf>
    <xf numFmtId="0" fontId="156" fillId="5" borderId="311" xfId="0" applyNumberFormat="1" applyFont="1" applyFill="1" applyBorder="1" applyAlignment="1">
      <alignment horizontal="center" vertical="center"/>
    </xf>
    <xf numFmtId="1" fontId="5" fillId="3" borderId="42" xfId="0" applyNumberFormat="1" applyFont="1" applyFill="1" applyBorder="1" applyAlignment="1">
      <alignment horizontal="center" vertical="center" wrapText="1"/>
    </xf>
    <xf numFmtId="1" fontId="5" fillId="3" borderId="284" xfId="0" applyNumberFormat="1" applyFont="1" applyFill="1" applyBorder="1" applyAlignment="1">
      <alignment horizontal="center" vertical="center" wrapText="1"/>
    </xf>
    <xf numFmtId="0" fontId="156" fillId="0" borderId="227" xfId="0" applyNumberFormat="1" applyFont="1" applyFill="1" applyBorder="1" applyAlignment="1">
      <alignment horizontal="center" vertical="center"/>
    </xf>
    <xf numFmtId="0" fontId="156" fillId="0" borderId="313" xfId="0" applyNumberFormat="1" applyFont="1" applyFill="1" applyBorder="1" applyAlignment="1">
      <alignment horizontal="center" vertical="center"/>
    </xf>
    <xf numFmtId="0" fontId="156" fillId="0" borderId="186" xfId="0" applyNumberFormat="1" applyFont="1" applyFill="1" applyBorder="1" applyAlignment="1">
      <alignment horizontal="center" vertical="center"/>
    </xf>
    <xf numFmtId="0" fontId="156" fillId="0" borderId="314" xfId="0" applyNumberFormat="1" applyFont="1" applyFill="1" applyBorder="1" applyAlignment="1">
      <alignment horizontal="center" vertical="center"/>
    </xf>
    <xf numFmtId="0" fontId="156" fillId="0" borderId="315" xfId="0" applyNumberFormat="1" applyFont="1" applyFill="1" applyBorder="1" applyAlignment="1">
      <alignment horizontal="center" vertical="center"/>
    </xf>
    <xf numFmtId="0" fontId="156" fillId="0" borderId="218" xfId="0" applyNumberFormat="1" applyFont="1" applyFill="1" applyBorder="1" applyAlignment="1">
      <alignment horizontal="center" vertical="center"/>
    </xf>
    <xf numFmtId="0" fontId="156" fillId="0" borderId="316" xfId="0" applyNumberFormat="1" applyFont="1" applyFill="1" applyBorder="1" applyAlignment="1">
      <alignment horizontal="center" vertical="center"/>
    </xf>
    <xf numFmtId="0" fontId="0" fillId="3" borderId="127" xfId="0" applyFill="1" applyBorder="1" applyAlignment="1">
      <alignment horizontal="center" vertical="center"/>
    </xf>
    <xf numFmtId="0" fontId="0" fillId="3" borderId="317" xfId="0" applyFill="1" applyBorder="1" applyAlignment="1">
      <alignment horizontal="center" vertical="center"/>
    </xf>
    <xf numFmtId="165" fontId="18" fillId="5" borderId="318" xfId="0" applyNumberFormat="1" applyFont="1" applyFill="1" applyBorder="1" applyAlignment="1">
      <alignment horizontal="center" vertical="center"/>
    </xf>
    <xf numFmtId="166" fontId="2" fillId="5" borderId="319" xfId="0" applyNumberFormat="1" applyFont="1" applyFill="1" applyBorder="1" applyAlignment="1">
      <alignment horizontal="center" vertical="center"/>
    </xf>
    <xf numFmtId="0" fontId="2" fillId="5" borderId="319" xfId="0" applyFont="1" applyFill="1" applyBorder="1" applyAlignment="1">
      <alignment horizontal="center" vertical="center"/>
    </xf>
    <xf numFmtId="0" fontId="2" fillId="5" borderId="320" xfId="0" applyFont="1" applyFill="1" applyBorder="1" applyAlignment="1">
      <alignment horizontal="center" vertical="center"/>
    </xf>
  </cellXfs>
  <cellStyles count="3">
    <cellStyle name="Hyperlink" xfId="1" builtinId="8"/>
    <cellStyle name="Komma" xfId="2" builtinId="3"/>
    <cellStyle name="Standaard" xfId="0" builtinId="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4EE00"/>
      <rgbColor rgb="00FF00FF"/>
      <rgbColor rgb="0000FFFF"/>
      <rgbColor rgb="00800000"/>
      <rgbColor rgb="00008000"/>
      <rgbColor rgb="00000080"/>
      <rgbColor rgb="00808000"/>
      <rgbColor rgb="00800080"/>
      <rgbColor rgb="00008080"/>
      <rgbColor rgb="00D9D6CF"/>
      <rgbColor rgb="00808080"/>
      <rgbColor rgb="009999FF"/>
      <rgbColor rgb="00993366"/>
      <rgbColor rgb="00F9FCDE"/>
      <rgbColor rgb="00EBF8FF"/>
      <rgbColor rgb="00660066"/>
      <rgbColor rgb="00FF8080"/>
      <rgbColor rgb="000066CC"/>
      <rgbColor rgb="00CCCCFF"/>
      <rgbColor rgb="0009007E"/>
      <rgbColor rgb="00FF00FF"/>
      <rgbColor rgb="00FFFF00"/>
      <rgbColor rgb="0000FFFF"/>
      <rgbColor rgb="00800080"/>
      <rgbColor rgb="00800000"/>
      <rgbColor rgb="00008080"/>
      <rgbColor rgb="000000FF"/>
      <rgbColor rgb="0000CCFF"/>
      <rgbColor rgb="00F1F4F5"/>
      <rgbColor rgb="00CCFFCC"/>
      <rgbColor rgb="00FFFF99"/>
      <rgbColor rgb="00C6DDF4"/>
      <rgbColor rgb="00FF99CC"/>
      <rgbColor rgb="00CC99FF"/>
      <rgbColor rgb="00FFEBD2"/>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333399"/>
      <color rgb="FFFFFFCC"/>
      <color rgb="FFF1F4F5"/>
      <color rgb="FFFFFF00"/>
      <color rgb="FFF8F8EC"/>
      <color rgb="FFFF5050"/>
      <color rgb="FFF5F505"/>
      <color rgb="FFFD323C"/>
      <color rgb="FFF35959"/>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microsoft.com/office/2006/relationships/vbaProject" Target="vbaProject.bin"/><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Arial"/>
                <a:ea typeface="Arial"/>
                <a:cs typeface="Arial"/>
              </a:defRPr>
            </a:pPr>
            <a:r>
              <a:rPr lang="pt-BR" sz="1300" b="1" i="0" strike="noStrike">
                <a:solidFill>
                  <a:srgbClr val="000000"/>
                </a:solidFill>
                <a:latin typeface="Arial"/>
                <a:cs typeface="Arial"/>
              </a:rPr>
              <a:t>Titration of  20 mL</a:t>
            </a:r>
            <a:r>
              <a:rPr lang="pt-BR" sz="1300" b="1" i="0" strike="noStrike" baseline="0">
                <a:solidFill>
                  <a:srgbClr val="000000"/>
                </a:solidFill>
                <a:latin typeface="Arial"/>
                <a:cs typeface="Arial"/>
              </a:rPr>
              <a:t> of  </a:t>
            </a:r>
            <a:r>
              <a:rPr lang="pt-BR" sz="1200" b="1" i="0" u="none" strike="noStrike" baseline="0">
                <a:sym typeface="Symbol"/>
              </a:rPr>
              <a:t></a:t>
            </a:r>
            <a:r>
              <a:rPr lang="pt-BR" sz="1200" b="1" i="0" u="none" strike="noStrike" baseline="0"/>
              <a:t>0.1 mol/L </a:t>
            </a:r>
            <a:r>
              <a:rPr lang="pt-BR" sz="1300" b="1" i="0" strike="noStrike">
                <a:solidFill>
                  <a:srgbClr val="000000"/>
                </a:solidFill>
                <a:latin typeface="Arial"/>
                <a:cs typeface="Arial"/>
              </a:rPr>
              <a:t>acetic acid with 0.100 mol/L strong base</a:t>
            </a:r>
          </a:p>
        </c:rich>
      </c:tx>
      <c:layout>
        <c:manualLayout>
          <c:xMode val="edge"/>
          <c:yMode val="edge"/>
          <c:x val="0.10244296803096158"/>
          <c:y val="1.9697233108584219E-2"/>
        </c:manualLayout>
      </c:layout>
      <c:overlay val="0"/>
      <c:spPr>
        <a:noFill/>
        <a:ln w="25400">
          <a:noFill/>
        </a:ln>
      </c:spPr>
    </c:title>
    <c:autoTitleDeleted val="0"/>
    <c:plotArea>
      <c:layout>
        <c:manualLayout>
          <c:layoutTarget val="inner"/>
          <c:xMode val="edge"/>
          <c:yMode val="edge"/>
          <c:x val="0.10192860685269106"/>
          <c:y val="9.1363868324025793E-2"/>
          <c:w val="0.86733983421390948"/>
          <c:h val="0.77763167456896465"/>
        </c:manualLayout>
      </c:layout>
      <c:scatterChart>
        <c:scatterStyle val="smoothMarker"/>
        <c:varyColors val="0"/>
        <c:ser>
          <c:idx val="0"/>
          <c:order val="0"/>
          <c:tx>
            <c:v>pH_sim</c:v>
          </c:tx>
          <c:spPr>
            <a:ln w="28575">
              <a:solidFill>
                <a:srgbClr val="002060"/>
              </a:solidFill>
              <a:prstDash val="solid"/>
            </a:ln>
          </c:spPr>
          <c:marker>
            <c:symbol val="square"/>
            <c:size val="3"/>
            <c:spPr>
              <a:solidFill>
                <a:srgbClr val="FFFF00"/>
              </a:solidFill>
              <a:ln>
                <a:solidFill>
                  <a:srgbClr val="FF0000"/>
                </a:solidFill>
                <a:prstDash val="solid"/>
              </a:ln>
            </c:spPr>
          </c:marker>
          <c:xVal>
            <c:numRef>
              <c:f>Titration!$C$41:$C$162</c:f>
              <c:numCache>
                <c:formatCode>0.000</c:formatCode>
                <c:ptCount val="122"/>
                <c:pt idx="0">
                  <c:v>0</c:v>
                </c:pt>
                <c:pt idx="1">
                  <c:v>2</c:v>
                </c:pt>
                <c:pt idx="2">
                  <c:v>4</c:v>
                </c:pt>
                <c:pt idx="3">
                  <c:v>6</c:v>
                </c:pt>
                <c:pt idx="4">
                  <c:v>8</c:v>
                </c:pt>
                <c:pt idx="5">
                  <c:v>10</c:v>
                </c:pt>
                <c:pt idx="6">
                  <c:v>12</c:v>
                </c:pt>
                <c:pt idx="7">
                  <c:v>13</c:v>
                </c:pt>
                <c:pt idx="8">
                  <c:v>14</c:v>
                </c:pt>
                <c:pt idx="9">
                  <c:v>15</c:v>
                </c:pt>
                <c:pt idx="10">
                  <c:v>16</c:v>
                </c:pt>
                <c:pt idx="11">
                  <c:v>16.5</c:v>
                </c:pt>
                <c:pt idx="12">
                  <c:v>17</c:v>
                </c:pt>
                <c:pt idx="13">
                  <c:v>17.5</c:v>
                </c:pt>
                <c:pt idx="14">
                  <c:v>18</c:v>
                </c:pt>
                <c:pt idx="15">
                  <c:v>18.5</c:v>
                </c:pt>
                <c:pt idx="16">
                  <c:v>19</c:v>
                </c:pt>
                <c:pt idx="17">
                  <c:v>19.5</c:v>
                </c:pt>
                <c:pt idx="18">
                  <c:v>19.7</c:v>
                </c:pt>
                <c:pt idx="19">
                  <c:v>19.8</c:v>
                </c:pt>
                <c:pt idx="20">
                  <c:v>19.900000000000002</c:v>
                </c:pt>
                <c:pt idx="21">
                  <c:v>19.950000000000003</c:v>
                </c:pt>
                <c:pt idx="22">
                  <c:v>19.970000000000002</c:v>
                </c:pt>
                <c:pt idx="23">
                  <c:v>19.980000000000004</c:v>
                </c:pt>
                <c:pt idx="24">
                  <c:v>19.990000000000006</c:v>
                </c:pt>
                <c:pt idx="25">
                  <c:v>20.000000000000007</c:v>
                </c:pt>
                <c:pt idx="26">
                  <c:v>20.010000000000009</c:v>
                </c:pt>
                <c:pt idx="27">
                  <c:v>20.02000000000001</c:v>
                </c:pt>
                <c:pt idx="28">
                  <c:v>20.030000000000012</c:v>
                </c:pt>
                <c:pt idx="29">
                  <c:v>20.040000000000013</c:v>
                </c:pt>
                <c:pt idx="30">
                  <c:v>20.060000000000013</c:v>
                </c:pt>
                <c:pt idx="31">
                  <c:v>20.110000000000014</c:v>
                </c:pt>
                <c:pt idx="32">
                  <c:v>20.210000000000015</c:v>
                </c:pt>
                <c:pt idx="33">
                  <c:v>20.410000000000014</c:v>
                </c:pt>
                <c:pt idx="34">
                  <c:v>20.910000000000014</c:v>
                </c:pt>
                <c:pt idx="35">
                  <c:v>21.410000000000014</c:v>
                </c:pt>
                <c:pt idx="36">
                  <c:v>21.910000000000014</c:v>
                </c:pt>
                <c:pt idx="37">
                  <c:v>22.910000000000014</c:v>
                </c:pt>
                <c:pt idx="38">
                  <c:v>23.910000000000014</c:v>
                </c:pt>
                <c:pt idx="39">
                  <c:v>25.910000000000014</c:v>
                </c:pt>
                <c:pt idx="40">
                  <c:v>27.910000000000014</c:v>
                </c:pt>
              </c:numCache>
            </c:numRef>
          </c:xVal>
          <c:yVal>
            <c:numRef>
              <c:f>Titration!$D$41:$D$162</c:f>
              <c:numCache>
                <c:formatCode>0.000</c:formatCode>
                <c:ptCount val="122"/>
                <c:pt idx="0">
                  <c:v>2.8732302361167967</c:v>
                </c:pt>
                <c:pt idx="1">
                  <c:v>3.8085675346665084</c:v>
                </c:pt>
                <c:pt idx="2">
                  <c:v>4.1558583942241967</c:v>
                </c:pt>
                <c:pt idx="3">
                  <c:v>4.3890868783928454</c:v>
                </c:pt>
                <c:pt idx="4">
                  <c:v>4.5806689499877393</c:v>
                </c:pt>
                <c:pt idx="5">
                  <c:v>4.756587051320821</c:v>
                </c:pt>
                <c:pt idx="6">
                  <c:v>4.9325233497656882</c:v>
                </c:pt>
                <c:pt idx="7">
                  <c:v>5.0251862998120487</c:v>
                </c:pt>
                <c:pt idx="8">
                  <c:v>5.1242044870741665</c:v>
                </c:pt>
                <c:pt idx="9">
                  <c:v>5.2331966585479677</c:v>
                </c:pt>
                <c:pt idx="10">
                  <c:v>5.357911869417876</c:v>
                </c:pt>
                <c:pt idx="11">
                  <c:v>5.4291094332002103</c:v>
                </c:pt>
                <c:pt idx="12">
                  <c:v>5.508810659404844</c:v>
                </c:pt>
                <c:pt idx="13">
                  <c:v>5.6002865410409868</c:v>
                </c:pt>
                <c:pt idx="14">
                  <c:v>5.7089888504706323</c:v>
                </c:pt>
                <c:pt idx="15">
                  <c:v>5.8450874635018408</c:v>
                </c:pt>
                <c:pt idx="16">
                  <c:v>6.0312710306607187</c:v>
                </c:pt>
                <c:pt idx="17">
                  <c:v>6.3390276008285582</c:v>
                </c:pt>
                <c:pt idx="18">
                  <c:v>6.5590608413331211</c:v>
                </c:pt>
                <c:pt idx="19">
                  <c:v>6.729320949409157</c:v>
                </c:pt>
                <c:pt idx="20">
                  <c:v>7.0075858007185161</c:v>
                </c:pt>
                <c:pt idx="21">
                  <c:v>7.2593171945773065</c:v>
                </c:pt>
                <c:pt idx="22">
                  <c:v>7.4183593583293259</c:v>
                </c:pt>
                <c:pt idx="23">
                  <c:v>7.524222097825259</c:v>
                </c:pt>
                <c:pt idx="24">
                  <c:v>7.6604494755156338</c:v>
                </c:pt>
                <c:pt idx="25">
                  <c:v>7.8499296265654266</c:v>
                </c:pt>
                <c:pt idx="26">
                  <c:v>8.1557883764617145</c:v>
                </c:pt>
                <c:pt idx="27">
                  <c:v>8.8002537922002375</c:v>
                </c:pt>
                <c:pt idx="28">
                  <c:v>9.420395974535495</c:v>
                </c:pt>
                <c:pt idx="29">
                  <c:v>9.7021594396792352</c:v>
                </c:pt>
                <c:pt idx="30">
                  <c:v>9.9977490934543312</c:v>
                </c:pt>
                <c:pt idx="31">
                  <c:v>10.347956786397845</c:v>
                </c:pt>
                <c:pt idx="32">
                  <c:v>10.671109877061099</c:v>
                </c:pt>
                <c:pt idx="33">
                  <c:v>10.981203193310648</c:v>
                </c:pt>
                <c:pt idx="34">
                  <c:v>11.334167880471796</c:v>
                </c:pt>
                <c:pt idx="35">
                  <c:v>11.522510181646794</c:v>
                </c:pt>
                <c:pt idx="36">
                  <c:v>11.65073959948495</c:v>
                </c:pt>
                <c:pt idx="37">
                  <c:v>11.824925706256181</c:v>
                </c:pt>
                <c:pt idx="38">
                  <c:v>11.943964170757681</c:v>
                </c:pt>
                <c:pt idx="39">
                  <c:v>12.104770549107343</c:v>
                </c:pt>
                <c:pt idx="40">
                  <c:v>12.21319927694276</c:v>
                </c:pt>
              </c:numCache>
            </c:numRef>
          </c:yVal>
          <c:smooth val="1"/>
          <c:extLst>
            <c:ext xmlns:c16="http://schemas.microsoft.com/office/drawing/2014/chart" uri="{C3380CC4-5D6E-409C-BE32-E72D297353CC}">
              <c16:uniqueId val="{00000000-4AD0-4DA8-B9FA-584F0D5D3A12}"/>
            </c:ext>
          </c:extLst>
        </c:ser>
        <c:dLbls>
          <c:showLegendKey val="0"/>
          <c:showVal val="0"/>
          <c:showCatName val="0"/>
          <c:showSerName val="0"/>
          <c:showPercent val="0"/>
          <c:showBubbleSize val="0"/>
        </c:dLbls>
        <c:axId val="277063200"/>
        <c:axId val="277058304"/>
      </c:scatterChart>
      <c:valAx>
        <c:axId val="277063200"/>
        <c:scaling>
          <c:orientation val="minMax"/>
          <c:min val="0"/>
        </c:scaling>
        <c:delete val="0"/>
        <c:axPos val="b"/>
        <c:majorGridlines/>
        <c:title>
          <c:tx>
            <c:rich>
              <a:bodyPr/>
              <a:lstStyle/>
              <a:p>
                <a:pPr>
                  <a:defRPr sz="1200" b="1" i="0" u="none" strike="noStrike" baseline="0">
                    <a:solidFill>
                      <a:srgbClr val="000000"/>
                    </a:solidFill>
                    <a:latin typeface="Arial"/>
                    <a:ea typeface="Arial"/>
                    <a:cs typeface="Arial"/>
                  </a:defRPr>
                </a:pPr>
                <a:r>
                  <a:rPr lang="pt-BR"/>
                  <a:t>Volume of titrant (mL)</a:t>
                </a:r>
              </a:p>
            </c:rich>
          </c:tx>
          <c:layout>
            <c:manualLayout>
              <c:xMode val="edge"/>
              <c:yMode val="edge"/>
              <c:x val="0.43567588534192492"/>
              <c:y val="0.92794750656168956"/>
            </c:manualLayout>
          </c:layout>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nl-NL"/>
          </a:p>
        </c:txPr>
        <c:crossAx val="277058304"/>
        <c:crosses val="autoZero"/>
        <c:crossBetween val="midCat"/>
      </c:valAx>
      <c:valAx>
        <c:axId val="277058304"/>
        <c:scaling>
          <c:orientation val="minMax"/>
          <c:max val="13"/>
          <c:min val="1"/>
        </c:scaling>
        <c:delete val="0"/>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pt-BR"/>
                  <a:t>pH</a:t>
                </a:r>
              </a:p>
            </c:rich>
          </c:tx>
          <c:layout>
            <c:manualLayout>
              <c:xMode val="edge"/>
              <c:yMode val="edge"/>
              <c:x val="1.6520305651448883E-2"/>
              <c:y val="0.42650608446671434"/>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nl-NL"/>
          </a:p>
        </c:txPr>
        <c:crossAx val="277063200"/>
        <c:crosses val="autoZero"/>
        <c:crossBetween val="midCat"/>
      </c:valAx>
      <c:spPr>
        <a:noFill/>
        <a:ln w="12700">
          <a:solidFill>
            <a:schemeClr val="tx1"/>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0.98425196899999956" l="0.78740157499999996" r="0.78740157499999996" t="0.98425196899999956" header="0.49212598500001148" footer="0.49212598500001148"/>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pt-BR" sz="1200" baseline="0"/>
              <a:t>Buffer capacity along a titration</a:t>
            </a:r>
          </a:p>
        </c:rich>
      </c:tx>
      <c:layout>
        <c:manualLayout>
          <c:xMode val="edge"/>
          <c:yMode val="edge"/>
          <c:x val="8.930656517739069E-2"/>
          <c:y val="1.3089120689733225E-2"/>
        </c:manualLayout>
      </c:layout>
      <c:overlay val="0"/>
      <c:spPr>
        <a:noFill/>
        <a:ln w="25400">
          <a:noFill/>
        </a:ln>
      </c:spPr>
    </c:title>
    <c:autoTitleDeleted val="0"/>
    <c:plotArea>
      <c:layout>
        <c:manualLayout>
          <c:layoutTarget val="inner"/>
          <c:xMode val="edge"/>
          <c:yMode val="edge"/>
          <c:x val="9.1178963750244243E-2"/>
          <c:y val="9.6858762550571728E-2"/>
          <c:w val="0.86390746920659922"/>
          <c:h val="0.77645696858577373"/>
        </c:manualLayout>
      </c:layout>
      <c:scatterChart>
        <c:scatterStyle val="smoothMarker"/>
        <c:varyColors val="0"/>
        <c:ser>
          <c:idx val="0"/>
          <c:order val="0"/>
          <c:tx>
            <c:v>bufferVol</c:v>
          </c:tx>
          <c:spPr>
            <a:ln w="38100">
              <a:solidFill>
                <a:srgbClr val="09007E"/>
              </a:solidFill>
              <a:prstDash val="solid"/>
            </a:ln>
          </c:spPr>
          <c:marker>
            <c:symbol val="circle"/>
            <c:size val="5"/>
            <c:spPr>
              <a:solidFill>
                <a:srgbClr val="F4EE00"/>
              </a:solidFill>
              <a:ln>
                <a:solidFill>
                  <a:srgbClr val="FF0000"/>
                </a:solidFill>
                <a:prstDash val="solid"/>
              </a:ln>
            </c:spPr>
          </c:marker>
          <c:xVal>
            <c:numRef>
              <c:f>Distribution!$Y$12:$Y$135</c:f>
              <c:numCache>
                <c:formatCode>0.000</c:formatCode>
                <c:ptCount val="124"/>
                <c:pt idx="0">
                  <c:v>0</c:v>
                </c:pt>
                <c:pt idx="1">
                  <c:v>2.3004448812571354</c:v>
                </c:pt>
                <c:pt idx="2">
                  <c:v>4.3254298929241486</c:v>
                </c:pt>
                <c:pt idx="3">
                  <c:v>5.9982889695675112</c:v>
                </c:pt>
                <c:pt idx="4">
                  <c:v>7.2857926934375428</c:v>
                </c:pt>
                <c:pt idx="5">
                  <c:v>8.2150732792797498</c:v>
                </c:pt>
                <c:pt idx="6">
                  <c:v>8.852646873856429</c:v>
                </c:pt>
                <c:pt idx="7">
                  <c:v>9.2745251997257583</c:v>
                </c:pt>
                <c:pt idx="8">
                  <c:v>9.5472193221212365</c:v>
                </c:pt>
                <c:pt idx="9">
                  <c:v>9.7213898246991448</c:v>
                </c:pt>
                <c:pt idx="10">
                  <c:v>9.8327682426315732</c:v>
                </c:pt>
                <c:pt idx="11">
                  <c:v>9.9056407503667288</c:v>
                </c:pt>
                <c:pt idx="12">
                  <c:v>9.956512633652892</c:v>
                </c:pt>
                <c:pt idx="13">
                  <c:v>9.9971799951163121</c:v>
                </c:pt>
                <c:pt idx="14">
                  <c:v>10.037190483126324</c:v>
                </c:pt>
                <c:pt idx="15">
                  <c:v>10.085949620406609</c:v>
                </c:pt>
                <c:pt idx="16">
                  <c:v>10.154803957266267</c:v>
                </c:pt>
                <c:pt idx="17">
                  <c:v>10.259427917480934</c:v>
                </c:pt>
                <c:pt idx="18">
                  <c:v>10.422738817578647</c:v>
                </c:pt>
                <c:pt idx="19">
                  <c:v>10.678157336951699</c:v>
                </c:pt>
                <c:pt idx="20">
                  <c:v>11.071775054733735</c:v>
                </c:pt>
                <c:pt idx="21">
                  <c:v>11.659035268530715</c:v>
                </c:pt>
                <c:pt idx="22">
                  <c:v>12.487507292826194</c:v>
                </c:pt>
                <c:pt idx="23">
                  <c:v>13.560292513284367</c:v>
                </c:pt>
                <c:pt idx="24">
                  <c:v>14.799194350780454</c:v>
                </c:pt>
                <c:pt idx="25">
                  <c:v>16.054576211899985</c:v>
                </c:pt>
                <c:pt idx="26">
                  <c:v>17.173922529036645</c:v>
                </c:pt>
                <c:pt idx="27">
                  <c:v>18.068469061108772</c:v>
                </c:pt>
                <c:pt idx="28">
                  <c:v>18.725484058086295</c:v>
                </c:pt>
                <c:pt idx="29">
                  <c:v>19.179874857945833</c:v>
                </c:pt>
                <c:pt idx="30">
                  <c:v>19.48181740444852</c:v>
                </c:pt>
                <c:pt idx="31">
                  <c:v>19.677734184369911</c:v>
                </c:pt>
                <c:pt idx="32">
                  <c:v>19.803712518478278</c:v>
                </c:pt>
                <c:pt idx="33">
                  <c:v>19.885540132236201</c:v>
                </c:pt>
                <c:pt idx="34">
                  <c:v>19.941073826339561</c:v>
                </c:pt>
                <c:pt idx="35">
                  <c:v>19.982924718351569</c:v>
                </c:pt>
                <c:pt idx="36">
                  <c:v>20.020832466252614</c:v>
                </c:pt>
                <c:pt idx="37">
                  <c:v>20.063731157279108</c:v>
                </c:pt>
                <c:pt idx="38">
                  <c:v>20.121755062427837</c:v>
                </c:pt>
                <c:pt idx="39">
                  <c:v>20.208536063728388</c:v>
                </c:pt>
                <c:pt idx="40">
                  <c:v>20.344214436772745</c:v>
                </c:pt>
                <c:pt idx="41">
                  <c:v>20.55962798622204</c:v>
                </c:pt>
                <c:pt idx="42">
                  <c:v>20.902049214055296</c:v>
                </c:pt>
                <c:pt idx="43">
                  <c:v>21.442285725788679</c:v>
                </c:pt>
                <c:pt idx="44">
                  <c:v>22.281442677194718</c:v>
                </c:pt>
                <c:pt idx="45">
                  <c:v>23.553723619261291</c:v>
                </c:pt>
                <c:pt idx="46">
                  <c:v>25.425947584153619</c:v>
                </c:pt>
                <c:pt idx="47">
                  <c:v>28.122492051625159</c:v>
                </c:pt>
                <c:pt idx="48">
                  <c:v>32.065280988172162</c:v>
                </c:pt>
                <c:pt idx="49">
                  <c:v>38.31748273660196</c:v>
                </c:pt>
                <c:pt idx="50">
                  <c:v>49.999999998544808</c:v>
                </c:pt>
              </c:numCache>
            </c:numRef>
          </c:xVal>
          <c:yVal>
            <c:numRef>
              <c:f>Distribution!$AL$12:$AL$135</c:f>
              <c:numCache>
                <c:formatCode>0.000</c:formatCode>
                <c:ptCount val="124"/>
                <c:pt idx="0">
                  <c:v>0.10251703173390742</c:v>
                </c:pt>
                <c:pt idx="1">
                  <c:v>8.6683304414929385E-2</c:v>
                </c:pt>
                <c:pt idx="2">
                  <c:v>7.1436920118297983E-2</c:v>
                </c:pt>
                <c:pt idx="3">
                  <c:v>5.5631047331840974E-2</c:v>
                </c:pt>
                <c:pt idx="4">
                  <c:v>4.0718690174928997E-2</c:v>
                </c:pt>
                <c:pt idx="5">
                  <c:v>2.8268511240845413E-2</c:v>
                </c:pt>
                <c:pt idx="6">
                  <c:v>1.8870739205928962E-2</c:v>
                </c:pt>
                <c:pt idx="7">
                  <c:v>1.2277422512061016E-2</c:v>
                </c:pt>
                <c:pt idx="8">
                  <c:v>7.8855867062566122E-3</c:v>
                </c:pt>
                <c:pt idx="9">
                  <c:v>5.0777183694843868E-3</c:v>
                </c:pt>
                <c:pt idx="10">
                  <c:v>3.3635885677255973E-3</c:v>
                </c:pt>
                <c:pt idx="11">
                  <c:v>2.4061257913568306E-3</c:v>
                </c:pt>
                <c:pt idx="12">
                  <c:v>2.0041947750685132E-3</c:v>
                </c:pt>
                <c:pt idx="13">
                  <c:v>2.0701265063632845E-3</c:v>
                </c:pt>
                <c:pt idx="14">
                  <c:v>2.6167592589254425E-3</c:v>
                </c:pt>
                <c:pt idx="15">
                  <c:v>3.7577038512558131E-3</c:v>
                </c:pt>
                <c:pt idx="16">
                  <c:v>5.7184422263458412E-3</c:v>
                </c:pt>
                <c:pt idx="17">
                  <c:v>8.8475804211573233E-3</c:v>
                </c:pt>
                <c:pt idx="18">
                  <c:v>1.3599564947747413E-2</c:v>
                </c:pt>
                <c:pt idx="19">
                  <c:v>2.0426605452487964E-2</c:v>
                </c:pt>
                <c:pt idx="20">
                  <c:v>2.9482181557288992E-2</c:v>
                </c:pt>
                <c:pt idx="21">
                  <c:v>4.0083711620936199E-2</c:v>
                </c:pt>
                <c:pt idx="22">
                  <c:v>5.0182661686161686E-2</c:v>
                </c:pt>
                <c:pt idx="23">
                  <c:v>5.6620516248900223E-2</c:v>
                </c:pt>
                <c:pt idx="24">
                  <c:v>5.6801221251091313E-2</c:v>
                </c:pt>
                <c:pt idx="25">
                  <c:v>5.0663130026491296E-2</c:v>
                </c:pt>
                <c:pt idx="26">
                  <c:v>4.0712689287526034E-2</c:v>
                </c:pt>
                <c:pt idx="27">
                  <c:v>3.0101300522318894E-2</c:v>
                </c:pt>
                <c:pt idx="28">
                  <c:v>2.0937370852789204E-2</c:v>
                </c:pt>
                <c:pt idx="29">
                  <c:v>1.3971285891724097E-2</c:v>
                </c:pt>
                <c:pt idx="30">
                  <c:v>9.0895024566001945E-3</c:v>
                </c:pt>
                <c:pt idx="31">
                  <c:v>5.8514373680934777E-3</c:v>
                </c:pt>
                <c:pt idx="32">
                  <c:v>3.7976668512049406E-3</c:v>
                </c:pt>
                <c:pt idx="33">
                  <c:v>2.5668140430031984E-3</c:v>
                </c:pt>
                <c:pt idx="34">
                  <c:v>1.9160856448971017E-3</c:v>
                </c:pt>
                <c:pt idx="35">
                  <c:v>1.7092382844294443E-3</c:v>
                </c:pt>
                <c:pt idx="36">
                  <c:v>1.902114852590626E-3</c:v>
                </c:pt>
                <c:pt idx="37">
                  <c:v>2.5371637300328153E-3</c:v>
                </c:pt>
                <c:pt idx="38">
                  <c:v>3.7500662528696009E-3</c:v>
                </c:pt>
                <c:pt idx="39">
                  <c:v>5.7869642000559279E-3</c:v>
                </c:pt>
                <c:pt idx="40">
                  <c:v>9.0237242972199313E-3</c:v>
                </c:pt>
                <c:pt idx="41">
                  <c:v>1.3962587989361388E-2</c:v>
                </c:pt>
                <c:pt idx="42">
                  <c:v>2.1150985142444165E-2</c:v>
                </c:pt>
                <c:pt idx="43">
                  <c:v>3.0933696563526972E-2</c:v>
                </c:pt>
                <c:pt idx="44">
                  <c:v>4.2984919636895227E-2</c:v>
                </c:pt>
                <c:pt idx="45">
                  <c:v>5.5830074549314442E-2</c:v>
                </c:pt>
                <c:pt idx="46">
                  <c:v>6.7068080091408272E-2</c:v>
                </c:pt>
                <c:pt idx="47">
                  <c:v>7.4993596825257733E-2</c:v>
                </c:pt>
                <c:pt idx="48">
                  <c:v>8.0828580821342616E-2</c:v>
                </c:pt>
                <c:pt idx="49">
                  <c:v>8.9460769676293711E-2</c:v>
                </c:pt>
                <c:pt idx="50">
                  <c:v>0.10834408139173239</c:v>
                </c:pt>
              </c:numCache>
            </c:numRef>
          </c:yVal>
          <c:smooth val="1"/>
          <c:extLst>
            <c:ext xmlns:c16="http://schemas.microsoft.com/office/drawing/2014/chart" uri="{C3380CC4-5D6E-409C-BE32-E72D297353CC}">
              <c16:uniqueId val="{00000000-44E9-4C7B-8687-4AE2FC4A173E}"/>
            </c:ext>
          </c:extLst>
        </c:ser>
        <c:ser>
          <c:idx val="1"/>
          <c:order val="1"/>
          <c:tx>
            <c:v>n*pH/14</c:v>
          </c:tx>
          <c:spPr>
            <a:ln w="12700">
              <a:solidFill>
                <a:srgbClr val="002060"/>
              </a:solidFill>
              <a:prstDash val="sysDash"/>
            </a:ln>
          </c:spPr>
          <c:marker>
            <c:symbol val="circle"/>
            <c:size val="4"/>
            <c:spPr>
              <a:noFill/>
              <a:ln>
                <a:solidFill>
                  <a:srgbClr val="0000FF"/>
                </a:solidFill>
                <a:prstDash val="solid"/>
              </a:ln>
            </c:spPr>
          </c:marker>
          <c:xVal>
            <c:numRef>
              <c:f>Distribution!$Y$12:$Y$135</c:f>
              <c:numCache>
                <c:formatCode>0.000</c:formatCode>
                <c:ptCount val="124"/>
                <c:pt idx="0">
                  <c:v>0</c:v>
                </c:pt>
                <c:pt idx="1">
                  <c:v>2.3004448812571354</c:v>
                </c:pt>
                <c:pt idx="2">
                  <c:v>4.3254298929241486</c:v>
                </c:pt>
                <c:pt idx="3">
                  <c:v>5.9982889695675112</c:v>
                </c:pt>
                <c:pt idx="4">
                  <c:v>7.2857926934375428</c:v>
                </c:pt>
                <c:pt idx="5">
                  <c:v>8.2150732792797498</c:v>
                </c:pt>
                <c:pt idx="6">
                  <c:v>8.852646873856429</c:v>
                </c:pt>
                <c:pt idx="7">
                  <c:v>9.2745251997257583</c:v>
                </c:pt>
                <c:pt idx="8">
                  <c:v>9.5472193221212365</c:v>
                </c:pt>
                <c:pt idx="9">
                  <c:v>9.7213898246991448</c:v>
                </c:pt>
                <c:pt idx="10">
                  <c:v>9.8327682426315732</c:v>
                </c:pt>
                <c:pt idx="11">
                  <c:v>9.9056407503667288</c:v>
                </c:pt>
                <c:pt idx="12">
                  <c:v>9.956512633652892</c:v>
                </c:pt>
                <c:pt idx="13">
                  <c:v>9.9971799951163121</c:v>
                </c:pt>
                <c:pt idx="14">
                  <c:v>10.037190483126324</c:v>
                </c:pt>
                <c:pt idx="15">
                  <c:v>10.085949620406609</c:v>
                </c:pt>
                <c:pt idx="16">
                  <c:v>10.154803957266267</c:v>
                </c:pt>
                <c:pt idx="17">
                  <c:v>10.259427917480934</c:v>
                </c:pt>
                <c:pt idx="18">
                  <c:v>10.422738817578647</c:v>
                </c:pt>
                <c:pt idx="19">
                  <c:v>10.678157336951699</c:v>
                </c:pt>
                <c:pt idx="20">
                  <c:v>11.071775054733735</c:v>
                </c:pt>
                <c:pt idx="21">
                  <c:v>11.659035268530715</c:v>
                </c:pt>
                <c:pt idx="22">
                  <c:v>12.487507292826194</c:v>
                </c:pt>
                <c:pt idx="23">
                  <c:v>13.560292513284367</c:v>
                </c:pt>
                <c:pt idx="24">
                  <c:v>14.799194350780454</c:v>
                </c:pt>
                <c:pt idx="25">
                  <c:v>16.054576211899985</c:v>
                </c:pt>
                <c:pt idx="26">
                  <c:v>17.173922529036645</c:v>
                </c:pt>
                <c:pt idx="27">
                  <c:v>18.068469061108772</c:v>
                </c:pt>
                <c:pt idx="28">
                  <c:v>18.725484058086295</c:v>
                </c:pt>
                <c:pt idx="29">
                  <c:v>19.179874857945833</c:v>
                </c:pt>
                <c:pt idx="30">
                  <c:v>19.48181740444852</c:v>
                </c:pt>
                <c:pt idx="31">
                  <c:v>19.677734184369911</c:v>
                </c:pt>
                <c:pt idx="32">
                  <c:v>19.803712518478278</c:v>
                </c:pt>
                <c:pt idx="33">
                  <c:v>19.885540132236201</c:v>
                </c:pt>
                <c:pt idx="34">
                  <c:v>19.941073826339561</c:v>
                </c:pt>
                <c:pt idx="35">
                  <c:v>19.982924718351569</c:v>
                </c:pt>
                <c:pt idx="36">
                  <c:v>20.020832466252614</c:v>
                </c:pt>
                <c:pt idx="37">
                  <c:v>20.063731157279108</c:v>
                </c:pt>
                <c:pt idx="38">
                  <c:v>20.121755062427837</c:v>
                </c:pt>
                <c:pt idx="39">
                  <c:v>20.208536063728388</c:v>
                </c:pt>
                <c:pt idx="40">
                  <c:v>20.344214436772745</c:v>
                </c:pt>
                <c:pt idx="41">
                  <c:v>20.55962798622204</c:v>
                </c:pt>
                <c:pt idx="42">
                  <c:v>20.902049214055296</c:v>
                </c:pt>
                <c:pt idx="43">
                  <c:v>21.442285725788679</c:v>
                </c:pt>
                <c:pt idx="44">
                  <c:v>22.281442677194718</c:v>
                </c:pt>
                <c:pt idx="45">
                  <c:v>23.553723619261291</c:v>
                </c:pt>
                <c:pt idx="46">
                  <c:v>25.425947584153619</c:v>
                </c:pt>
                <c:pt idx="47">
                  <c:v>28.122492051625159</c:v>
                </c:pt>
                <c:pt idx="48">
                  <c:v>32.065280988172162</c:v>
                </c:pt>
                <c:pt idx="49">
                  <c:v>38.31748273660196</c:v>
                </c:pt>
                <c:pt idx="50">
                  <c:v>49.999999998544808</c:v>
                </c:pt>
              </c:numCache>
            </c:numRef>
          </c:xVal>
          <c:yVal>
            <c:numRef>
              <c:f>Distribution!$AK$12:$AK$135</c:f>
              <c:numCache>
                <c:formatCode>0.000</c:formatCode>
                <c:ptCount val="124"/>
                <c:pt idx="0">
                  <c:v>6.4896688574009834E-2</c:v>
                </c:pt>
                <c:pt idx="1">
                  <c:v>7.2573137402257862E-2</c:v>
                </c:pt>
                <c:pt idx="2">
                  <c:v>8.0219272122767443E-2</c:v>
                </c:pt>
                <c:pt idx="3">
                  <c:v>8.7831562196981391E-2</c:v>
                </c:pt>
                <c:pt idx="4">
                  <c:v>9.5413717749519233E-2</c:v>
                </c:pt>
                <c:pt idx="5">
                  <c:v>0.10297249915094329</c:v>
                </c:pt>
                <c:pt idx="6">
                  <c:v>0.11051466578901417</c:v>
                </c:pt>
                <c:pt idx="7">
                  <c:v>0.1180456671274283</c:v>
                </c:pt>
                <c:pt idx="8">
                  <c:v>0.12556944747815366</c:v>
                </c:pt>
                <c:pt idx="9">
                  <c:v>0.13308870705640816</c:v>
                </c:pt>
                <c:pt idx="10">
                  <c:v>0.14060525825562725</c:v>
                </c:pt>
                <c:pt idx="11">
                  <c:v>0.14812034112462363</c:v>
                </c:pt>
                <c:pt idx="12">
                  <c:v>0.15563487235591594</c:v>
                </c:pt>
                <c:pt idx="13">
                  <c:v>0.16314964367546597</c:v>
                </c:pt>
                <c:pt idx="14">
                  <c:v>0.17066549712874929</c:v>
                </c:pt>
                <c:pt idx="15">
                  <c:v>0.17818350547087849</c:v>
                </c:pt>
                <c:pt idx="16">
                  <c:v>0.18570518070351225</c:v>
                </c:pt>
                <c:pt idx="17">
                  <c:v>0.19323271660909308</c:v>
                </c:pt>
                <c:pt idx="18">
                  <c:v>0.20076922167218458</c:v>
                </c:pt>
                <c:pt idx="19">
                  <c:v>0.20831877896907061</c:v>
                </c:pt>
                <c:pt idx="20">
                  <c:v>0.21588594698361613</c:v>
                </c:pt>
                <c:pt idx="21">
                  <c:v>0.22347410216890989</c:v>
                </c:pt>
                <c:pt idx="22">
                  <c:v>0.23108240432185873</c:v>
                </c:pt>
                <c:pt idx="23">
                  <c:v>0.2387030444237877</c:v>
                </c:pt>
                <c:pt idx="24">
                  <c:v>0.24632251639998323</c:v>
                </c:pt>
                <c:pt idx="25">
                  <c:v>0.25392787388928434</c:v>
                </c:pt>
                <c:pt idx="26">
                  <c:v>0.26151246778905995</c:v>
                </c:pt>
                <c:pt idx="27">
                  <c:v>0.269076381453413</c:v>
                </c:pt>
                <c:pt idx="28">
                  <c:v>0.27662338133028086</c:v>
                </c:pt>
                <c:pt idx="29">
                  <c:v>0.28415803379472804</c:v>
                </c:pt>
                <c:pt idx="30">
                  <c:v>0.29168426710985501</c:v>
                </c:pt>
                <c:pt idx="31">
                  <c:v>0.2992050021486003</c:v>
                </c:pt>
                <c:pt idx="32">
                  <c:v>0.30672225866688968</c:v>
                </c:pt>
                <c:pt idx="33">
                  <c:v>0.31423738927640654</c:v>
                </c:pt>
                <c:pt idx="34">
                  <c:v>0.32175130234729149</c:v>
                </c:pt>
                <c:pt idx="35">
                  <c:v>0.3292646392867225</c:v>
                </c:pt>
                <c:pt idx="36">
                  <c:v>0.33677791146291441</c:v>
                </c:pt>
                <c:pt idx="37">
                  <c:v>0.34429161365250593</c:v>
                </c:pt>
                <c:pt idx="38">
                  <c:v>0.35180633245327525</c:v>
                </c:pt>
                <c:pt idx="39">
                  <c:v>0.35932286595552876</c:v>
                </c:pt>
                <c:pt idx="40">
                  <c:v>0.36684236393991471</c:v>
                </c:pt>
                <c:pt idx="41">
                  <c:v>0.37436647716432697</c:v>
                </c:pt>
                <c:pt idx="42">
                  <c:v>0.38189745022153498</c:v>
                </c:pt>
                <c:pt idx="43">
                  <c:v>0.38943797766412908</c:v>
                </c:pt>
                <c:pt idx="44">
                  <c:v>0.39699048046689384</c:v>
                </c:pt>
                <c:pt idx="45">
                  <c:v>0.40455546995878455</c:v>
                </c:pt>
                <c:pt idx="46">
                  <c:v>0.41212943061590707</c:v>
                </c:pt>
                <c:pt idx="47">
                  <c:v>0.41970422047591044</c:v>
                </c:pt>
                <c:pt idx="48">
                  <c:v>0.42726979878747473</c:v>
                </c:pt>
                <c:pt idx="49">
                  <c:v>0.43481817134220691</c:v>
                </c:pt>
                <c:pt idx="50">
                  <c:v>0.44234442627305409</c:v>
                </c:pt>
              </c:numCache>
            </c:numRef>
          </c:yVal>
          <c:smooth val="1"/>
          <c:extLst>
            <c:ext xmlns:c16="http://schemas.microsoft.com/office/drawing/2014/chart" uri="{C3380CC4-5D6E-409C-BE32-E72D297353CC}">
              <c16:uniqueId val="{00000001-44E9-4C7B-8687-4AE2FC4A173E}"/>
            </c:ext>
          </c:extLst>
        </c:ser>
        <c:dLbls>
          <c:showLegendKey val="0"/>
          <c:showVal val="0"/>
          <c:showCatName val="0"/>
          <c:showSerName val="0"/>
          <c:showPercent val="0"/>
          <c:showBubbleSize val="0"/>
        </c:dLbls>
        <c:axId val="392157136"/>
        <c:axId val="392163664"/>
      </c:scatterChart>
      <c:valAx>
        <c:axId val="392157136"/>
        <c:scaling>
          <c:orientation val="minMax"/>
        </c:scaling>
        <c:delete val="0"/>
        <c:axPos val="b"/>
        <c:majorGridlines/>
        <c:title>
          <c:tx>
            <c:rich>
              <a:bodyPr/>
              <a:lstStyle/>
              <a:p>
                <a:pPr>
                  <a:defRPr sz="1200" b="1" i="0" u="none" strike="noStrike" baseline="0">
                    <a:solidFill>
                      <a:srgbClr val="000000"/>
                    </a:solidFill>
                    <a:latin typeface="Arial"/>
                    <a:ea typeface="Arial"/>
                    <a:cs typeface="Arial"/>
                  </a:defRPr>
                </a:pPr>
                <a:r>
                  <a:rPr lang="pt-BR"/>
                  <a:t>Volume (mL)</a:t>
                </a:r>
              </a:p>
            </c:rich>
          </c:tx>
          <c:layout>
            <c:manualLayout>
              <c:xMode val="edge"/>
              <c:yMode val="edge"/>
              <c:x val="0.46149066229107111"/>
              <c:y val="0.9387827568674334"/>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nl-NL"/>
          </a:p>
        </c:txPr>
        <c:crossAx val="392163664"/>
        <c:crosses val="autoZero"/>
        <c:crossBetween val="midCat"/>
      </c:valAx>
      <c:valAx>
        <c:axId val="392163664"/>
        <c:scaling>
          <c:orientation val="minMax"/>
          <c:max val="0.5"/>
          <c:min val="-1.0000000000000005E-2"/>
        </c:scaling>
        <c:delete val="0"/>
        <c:axPos val="l"/>
        <c:majorGridlines>
          <c:spPr>
            <a:ln w="3175">
              <a:solidFill>
                <a:srgbClr val="000000"/>
              </a:solidFill>
              <a:prstDash val="solid"/>
            </a:ln>
          </c:spPr>
        </c:majorGridlines>
        <c:title>
          <c:tx>
            <c:rich>
              <a:bodyPr/>
              <a:lstStyle/>
              <a:p>
                <a:pPr>
                  <a:defRPr sz="1050" b="1" i="0" u="none" strike="noStrike" baseline="0">
                    <a:solidFill>
                      <a:srgbClr val="000000"/>
                    </a:solidFill>
                    <a:latin typeface="Arial"/>
                    <a:ea typeface="Arial"/>
                    <a:cs typeface="Arial"/>
                  </a:defRPr>
                </a:pPr>
                <a:r>
                  <a:rPr lang="pt-BR"/>
                  <a:t>buffer</a:t>
                </a:r>
                <a:r>
                  <a:rPr lang="pt-BR" baseline="0"/>
                  <a:t> capacity</a:t>
                </a:r>
                <a:endParaRPr lang="pt-BR"/>
              </a:p>
            </c:rich>
          </c:tx>
          <c:layout>
            <c:manualLayout>
              <c:xMode val="edge"/>
              <c:yMode val="edge"/>
              <c:x val="8.7978452234755058E-3"/>
              <c:y val="0.38141869700843339"/>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nl-NL"/>
          </a:p>
        </c:txPr>
        <c:crossAx val="392157136"/>
        <c:crosses val="autoZero"/>
        <c:crossBetween val="midCat"/>
      </c:valAx>
      <c:spPr>
        <a:noFill/>
        <a:ln w="12700">
          <a:solidFill>
            <a:schemeClr val="tx1"/>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0.98425196899999956" l="0.78740157499999996" r="0.78740157499999996" t="0.98425196899999956" header="0.49212598500001248" footer="0.49212598500001248"/>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pt-BR" sz="1200" baseline="0"/>
              <a:t>log buffer capacity</a:t>
            </a:r>
          </a:p>
        </c:rich>
      </c:tx>
      <c:layout>
        <c:manualLayout>
          <c:xMode val="edge"/>
          <c:yMode val="edge"/>
          <c:x val="0.10159156999468442"/>
          <c:y val="1.3054655966012981E-2"/>
        </c:manualLayout>
      </c:layout>
      <c:overlay val="0"/>
      <c:spPr>
        <a:noFill/>
        <a:ln w="25400">
          <a:noFill/>
        </a:ln>
      </c:spPr>
    </c:title>
    <c:autoTitleDeleted val="0"/>
    <c:plotArea>
      <c:layout>
        <c:manualLayout>
          <c:layoutTarget val="inner"/>
          <c:xMode val="edge"/>
          <c:yMode val="edge"/>
          <c:x val="0.10600773824186002"/>
          <c:y val="8.3550913838120244E-2"/>
          <c:w val="0.86318420624699665"/>
          <c:h val="0.76834824322610873"/>
        </c:manualLayout>
      </c:layout>
      <c:scatterChart>
        <c:scatterStyle val="smoothMarker"/>
        <c:varyColors val="0"/>
        <c:ser>
          <c:idx val="0"/>
          <c:order val="0"/>
          <c:tx>
            <c:v>log_buffer</c:v>
          </c:tx>
          <c:spPr>
            <a:ln w="38100">
              <a:solidFill>
                <a:srgbClr val="09007E"/>
              </a:solidFill>
              <a:prstDash val="solid"/>
            </a:ln>
          </c:spPr>
          <c:marker>
            <c:symbol val="none"/>
          </c:marker>
          <c:xVal>
            <c:numRef>
              <c:f>Distribution!$O$12:$O$135</c:f>
              <c:numCache>
                <c:formatCode>0.000</c:formatCode>
                <c:ptCount val="124"/>
                <c:pt idx="0">
                  <c:v>0</c:v>
                </c:pt>
                <c:pt idx="1">
                  <c:v>0.2</c:v>
                </c:pt>
                <c:pt idx="2">
                  <c:v>0.4</c:v>
                </c:pt>
                <c:pt idx="3">
                  <c:v>0.60000000000000009</c:v>
                </c:pt>
                <c:pt idx="4">
                  <c:v>0.8</c:v>
                </c:pt>
                <c:pt idx="5">
                  <c:v>1</c:v>
                </c:pt>
                <c:pt idx="6">
                  <c:v>1.2</c:v>
                </c:pt>
                <c:pt idx="7">
                  <c:v>1.4</c:v>
                </c:pt>
                <c:pt idx="8">
                  <c:v>1.5999999999999999</c:v>
                </c:pt>
                <c:pt idx="9">
                  <c:v>1.7999999999999998</c:v>
                </c:pt>
                <c:pt idx="10">
                  <c:v>1.9999999999999998</c:v>
                </c:pt>
                <c:pt idx="11">
                  <c:v>2.1999999999999997</c:v>
                </c:pt>
                <c:pt idx="12">
                  <c:v>2.4</c:v>
                </c:pt>
                <c:pt idx="13">
                  <c:v>2.6</c:v>
                </c:pt>
                <c:pt idx="14">
                  <c:v>2.8000000000000003</c:v>
                </c:pt>
                <c:pt idx="15">
                  <c:v>3.0000000000000004</c:v>
                </c:pt>
                <c:pt idx="16">
                  <c:v>3.2000000000000006</c:v>
                </c:pt>
                <c:pt idx="17">
                  <c:v>3.4000000000000008</c:v>
                </c:pt>
                <c:pt idx="18">
                  <c:v>3.600000000000001</c:v>
                </c:pt>
                <c:pt idx="19">
                  <c:v>3.8000000000000012</c:v>
                </c:pt>
                <c:pt idx="20">
                  <c:v>4.0000000000000009</c:v>
                </c:pt>
                <c:pt idx="21">
                  <c:v>4.2000000000000011</c:v>
                </c:pt>
                <c:pt idx="22">
                  <c:v>4.4000000000000012</c:v>
                </c:pt>
                <c:pt idx="23">
                  <c:v>4.6000000000000014</c:v>
                </c:pt>
                <c:pt idx="24">
                  <c:v>4.8000000000000016</c:v>
                </c:pt>
                <c:pt idx="25">
                  <c:v>5.0000000000000018</c:v>
                </c:pt>
                <c:pt idx="26">
                  <c:v>5.200000000000002</c:v>
                </c:pt>
                <c:pt idx="27">
                  <c:v>5.4000000000000021</c:v>
                </c:pt>
                <c:pt idx="28">
                  <c:v>5.6000000000000023</c:v>
                </c:pt>
                <c:pt idx="29">
                  <c:v>5.8000000000000025</c:v>
                </c:pt>
                <c:pt idx="30">
                  <c:v>6.0000000000000027</c:v>
                </c:pt>
                <c:pt idx="31">
                  <c:v>6.2000000000000028</c:v>
                </c:pt>
                <c:pt idx="32">
                  <c:v>6.400000000000003</c:v>
                </c:pt>
                <c:pt idx="33">
                  <c:v>6.6000000000000032</c:v>
                </c:pt>
                <c:pt idx="34">
                  <c:v>6.8000000000000034</c:v>
                </c:pt>
                <c:pt idx="35">
                  <c:v>7.0000000000000036</c:v>
                </c:pt>
                <c:pt idx="36">
                  <c:v>7.2000000000000037</c:v>
                </c:pt>
                <c:pt idx="37">
                  <c:v>7.4000000000000039</c:v>
                </c:pt>
                <c:pt idx="38">
                  <c:v>7.6000000000000041</c:v>
                </c:pt>
                <c:pt idx="39">
                  <c:v>7.8000000000000043</c:v>
                </c:pt>
                <c:pt idx="40">
                  <c:v>8.0000000000000036</c:v>
                </c:pt>
                <c:pt idx="41">
                  <c:v>8.2000000000000028</c:v>
                </c:pt>
                <c:pt idx="42">
                  <c:v>8.4000000000000021</c:v>
                </c:pt>
                <c:pt idx="43">
                  <c:v>8.6000000000000014</c:v>
                </c:pt>
                <c:pt idx="44">
                  <c:v>8.8000000000000007</c:v>
                </c:pt>
                <c:pt idx="45">
                  <c:v>9</c:v>
                </c:pt>
                <c:pt idx="46">
                  <c:v>9.1999999999999993</c:v>
                </c:pt>
                <c:pt idx="47">
                  <c:v>9.3999999999999986</c:v>
                </c:pt>
                <c:pt idx="48">
                  <c:v>9.5999999999999979</c:v>
                </c:pt>
                <c:pt idx="49">
                  <c:v>9.7999999999999972</c:v>
                </c:pt>
                <c:pt idx="50">
                  <c:v>9.9999999999999964</c:v>
                </c:pt>
                <c:pt idx="51">
                  <c:v>10.199999999999996</c:v>
                </c:pt>
                <c:pt idx="52">
                  <c:v>10.399999999999995</c:v>
                </c:pt>
                <c:pt idx="53">
                  <c:v>10.599999999999994</c:v>
                </c:pt>
                <c:pt idx="54">
                  <c:v>10.799999999999994</c:v>
                </c:pt>
                <c:pt idx="55">
                  <c:v>10.999999999999993</c:v>
                </c:pt>
                <c:pt idx="56">
                  <c:v>11.199999999999992</c:v>
                </c:pt>
                <c:pt idx="57">
                  <c:v>11.399999999999991</c:v>
                </c:pt>
                <c:pt idx="58">
                  <c:v>11.599999999999991</c:v>
                </c:pt>
                <c:pt idx="59">
                  <c:v>11.79999999999999</c:v>
                </c:pt>
                <c:pt idx="60">
                  <c:v>11.999999999999989</c:v>
                </c:pt>
                <c:pt idx="61">
                  <c:v>12.199999999999989</c:v>
                </c:pt>
                <c:pt idx="62">
                  <c:v>12.399999999999988</c:v>
                </c:pt>
                <c:pt idx="63">
                  <c:v>12.599999999999987</c:v>
                </c:pt>
                <c:pt idx="64">
                  <c:v>12.799999999999986</c:v>
                </c:pt>
                <c:pt idx="65">
                  <c:v>12.999999999999986</c:v>
                </c:pt>
                <c:pt idx="66">
                  <c:v>13.199999999999985</c:v>
                </c:pt>
                <c:pt idx="67">
                  <c:v>13.399999999999984</c:v>
                </c:pt>
                <c:pt idx="68">
                  <c:v>13.599999999999984</c:v>
                </c:pt>
                <c:pt idx="69">
                  <c:v>13.799999999999983</c:v>
                </c:pt>
                <c:pt idx="70">
                  <c:v>13.999999999999982</c:v>
                </c:pt>
              </c:numCache>
            </c:numRef>
          </c:xVal>
          <c:yVal>
            <c:numRef>
              <c:f>Distribution!$AU$12:$AU$135</c:f>
              <c:numCache>
                <c:formatCode>0.000</c:formatCode>
                <c:ptCount val="124"/>
                <c:pt idx="0">
                  <c:v>0.49683784262224956</c:v>
                </c:pt>
                <c:pt idx="1">
                  <c:v>0.29728818246716965</c:v>
                </c:pt>
                <c:pt idx="2">
                  <c:v>9.8390954116562304E-2</c:v>
                </c:pt>
                <c:pt idx="3">
                  <c:v>-9.8946259308254556E-2</c:v>
                </c:pt>
                <c:pt idx="4">
                  <c:v>-0.29267448685369912</c:v>
                </c:pt>
                <c:pt idx="5">
                  <c:v>-0.47851717532913202</c:v>
                </c:pt>
                <c:pt idx="6">
                  <c:v>-0.64874899668761832</c:v>
                </c:pt>
                <c:pt idx="7">
                  <c:v>-0.79277986132961276</c:v>
                </c:pt>
                <c:pt idx="8">
                  <c:v>-0.90288086834999737</c:v>
                </c:pt>
                <c:pt idx="9">
                  <c:v>-0.9832110873443346</c:v>
                </c:pt>
                <c:pt idx="10">
                  <c:v>-1.0509639494198226</c:v>
                </c:pt>
                <c:pt idx="11">
                  <c:v>-1.1261164559213934</c:v>
                </c:pt>
                <c:pt idx="12">
                  <c:v>-1.2216547712011616</c:v>
                </c:pt>
                <c:pt idx="13">
                  <c:v>-1.3416096765343324</c:v>
                </c:pt>
                <c:pt idx="14">
                  <c:v>-1.4839406491127689</c:v>
                </c:pt>
                <c:pt idx="15">
                  <c:v>-1.643978585678681</c:v>
                </c:pt>
                <c:pt idx="16">
                  <c:v>-1.8166007681072209</c:v>
                </c:pt>
                <c:pt idx="17">
                  <c:v>-1.9969689134885644</c:v>
                </c:pt>
                <c:pt idx="18">
                  <c:v>-2.1800689877840971</c:v>
                </c:pt>
                <c:pt idx="19">
                  <c:v>-2.3589977760717327</c:v>
                </c:pt>
                <c:pt idx="20">
                  <c:v>-2.5215825210584151</c:v>
                </c:pt>
                <c:pt idx="21">
                  <c:v>-2.6461222369797843</c:v>
                </c:pt>
                <c:pt idx="22">
                  <c:v>-2.703119239319439</c:v>
                </c:pt>
                <c:pt idx="23">
                  <c:v>-2.6735845904529354</c:v>
                </c:pt>
                <c:pt idx="24">
                  <c:v>-2.5681948656121656</c:v>
                </c:pt>
                <c:pt idx="25">
                  <c:v>-2.4160679105478882</c:v>
                </c:pt>
                <c:pt idx="26">
                  <c:v>-2.2424801403113128</c:v>
                </c:pt>
                <c:pt idx="27">
                  <c:v>-2.0626122561549995</c:v>
                </c:pt>
                <c:pt idx="28">
                  <c:v>-1.8851611920525837</c:v>
                </c:pt>
                <c:pt idx="29">
                  <c:v>-1.7163465554567656</c:v>
                </c:pt>
                <c:pt idx="30">
                  <c:v>-1.5622481686181029</c:v>
                </c:pt>
                <c:pt idx="31">
                  <c:v>-1.4298454437830439</c:v>
                </c:pt>
                <c:pt idx="32">
                  <c:v>-1.3270454783245937</c:v>
                </c:pt>
                <c:pt idx="33">
                  <c:v>-1.261701081266194</c:v>
                </c:pt>
                <c:pt idx="34">
                  <c:v>-1.2397858441017922</c:v>
                </c:pt>
                <c:pt idx="35">
                  <c:v>-1.2635008320858065</c:v>
                </c:pt>
                <c:pt idx="36">
                  <c:v>-1.330474620911404</c:v>
                </c:pt>
                <c:pt idx="37">
                  <c:v>-1.4346285442231814</c:v>
                </c:pt>
                <c:pt idx="38">
                  <c:v>-1.5680965864864231</c:v>
                </c:pt>
                <c:pt idx="39">
                  <c:v>-1.7230438304007814</c:v>
                </c:pt>
                <c:pt idx="40">
                  <c:v>-1.8926494601929622</c:v>
                </c:pt>
                <c:pt idx="41">
                  <c:v>-2.0711375874444218</c:v>
                </c:pt>
                <c:pt idx="42">
                  <c:v>-2.2529186812977184</c:v>
                </c:pt>
                <c:pt idx="43">
                  <c:v>-2.4306298240449578</c:v>
                </c:pt>
                <c:pt idx="44">
                  <c:v>-2.5915778641273337</c:v>
                </c:pt>
                <c:pt idx="45">
                  <c:v>-2.713463665791414</c:v>
                </c:pt>
                <c:pt idx="46">
                  <c:v>-2.7665950335375187</c:v>
                </c:pt>
                <c:pt idx="47">
                  <c:v>-2.7328413880533664</c:v>
                </c:pt>
                <c:pt idx="48">
                  <c:v>-2.6239785923924064</c:v>
                </c:pt>
                <c:pt idx="49">
                  <c:v>-2.4691906919545175</c:v>
                </c:pt>
                <c:pt idx="50">
                  <c:v>-2.2930986939205926</c:v>
                </c:pt>
                <c:pt idx="51">
                  <c:v>-2.1101331385916806</c:v>
                </c:pt>
                <c:pt idx="52">
                  <c:v>-1.9282442393653614</c:v>
                </c:pt>
                <c:pt idx="53">
                  <c:v>-1.7527866267266567</c:v>
                </c:pt>
                <c:pt idx="54">
                  <c:v>-1.5887354714957325</c:v>
                </c:pt>
                <c:pt idx="55">
                  <c:v>-1.4416467706365239</c:v>
                </c:pt>
                <c:pt idx="56">
                  <c:v>-1.3176116994325013</c:v>
                </c:pt>
                <c:pt idx="57">
                  <c:v>-1.2220250671192143</c:v>
                </c:pt>
                <c:pt idx="58">
                  <c:v>-1.1568962933699545</c:v>
                </c:pt>
                <c:pt idx="59">
                  <c:v>-1.1169848243308262</c:v>
                </c:pt>
                <c:pt idx="60">
                  <c:v>-1.0865349382722105</c:v>
                </c:pt>
                <c:pt idx="61">
                  <c:v>-1.0409255936028192</c:v>
                </c:pt>
                <c:pt idx="62">
                  <c:v>-0.95770997637215816</c:v>
                </c:pt>
                <c:pt idx="63">
                  <c:v>-0.83045171701186549</c:v>
                </c:pt>
                <c:pt idx="64">
                  <c:v>-0.66885745970022181</c:v>
                </c:pt>
                <c:pt idx="65">
                  <c:v>-0.48691872813758985</c:v>
                </c:pt>
                <c:pt idx="66">
                  <c:v>-0.29483259020804176</c:v>
                </c:pt>
                <c:pt idx="67">
                  <c:v>-9.816300790313498E-2</c:v>
                </c:pt>
                <c:pt idx="68">
                  <c:v>0.10046663132831973</c:v>
                </c:pt>
                <c:pt idx="69">
                  <c:v>0.29990961712052278</c:v>
                </c:pt>
                <c:pt idx="70">
                  <c:v>0.499684459838586</c:v>
                </c:pt>
              </c:numCache>
            </c:numRef>
          </c:yVal>
          <c:smooth val="1"/>
          <c:extLst>
            <c:ext xmlns:c16="http://schemas.microsoft.com/office/drawing/2014/chart" uri="{C3380CC4-5D6E-409C-BE32-E72D297353CC}">
              <c16:uniqueId val="{00000000-4D6B-421B-8828-6AFFDD721E49}"/>
            </c:ext>
          </c:extLst>
        </c:ser>
        <c:dLbls>
          <c:showLegendKey val="0"/>
          <c:showVal val="0"/>
          <c:showCatName val="0"/>
          <c:showSerName val="0"/>
          <c:showPercent val="0"/>
          <c:showBubbleSize val="0"/>
        </c:dLbls>
        <c:axId val="392151152"/>
        <c:axId val="392153872"/>
      </c:scatterChart>
      <c:valAx>
        <c:axId val="392151152"/>
        <c:scaling>
          <c:orientation val="minMax"/>
          <c:max val="14"/>
          <c:min val="0"/>
        </c:scaling>
        <c:delete val="0"/>
        <c:axPos val="b"/>
        <c:majorGridlines/>
        <c:title>
          <c:tx>
            <c:rich>
              <a:bodyPr/>
              <a:lstStyle/>
              <a:p>
                <a:pPr>
                  <a:defRPr sz="1200" b="1" i="0" u="none" strike="noStrike" baseline="0">
                    <a:solidFill>
                      <a:srgbClr val="000000"/>
                    </a:solidFill>
                    <a:latin typeface="Arial"/>
                    <a:ea typeface="Arial"/>
                    <a:cs typeface="Arial"/>
                  </a:defRPr>
                </a:pPr>
                <a:r>
                  <a:rPr lang="pt-BR"/>
                  <a:t>pH</a:t>
                </a:r>
              </a:p>
            </c:rich>
          </c:tx>
          <c:layout>
            <c:manualLayout>
              <c:xMode val="edge"/>
              <c:yMode val="edge"/>
              <c:x val="0.50506551386959064"/>
              <c:y val="0.93235643994113149"/>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nl-NL"/>
          </a:p>
        </c:txPr>
        <c:crossAx val="392153872"/>
        <c:crossesAt val="-8"/>
        <c:crossBetween val="midCat"/>
        <c:majorUnit val="1"/>
        <c:minorUnit val="1"/>
      </c:valAx>
      <c:valAx>
        <c:axId val="392153872"/>
        <c:scaling>
          <c:orientation val="minMax"/>
        </c:scaling>
        <c:delete val="0"/>
        <c:axPos val="l"/>
        <c:majorGridlines>
          <c:spPr>
            <a:ln w="3175">
              <a:solidFill>
                <a:srgbClr val="000000"/>
              </a:solidFill>
              <a:prstDash val="solid"/>
            </a:ln>
          </c:spPr>
        </c:majorGridlines>
        <c:title>
          <c:tx>
            <c:rich>
              <a:bodyPr/>
              <a:lstStyle/>
              <a:p>
                <a:pPr>
                  <a:defRPr sz="1075" b="1" i="0" u="none" strike="noStrike" baseline="0">
                    <a:solidFill>
                      <a:srgbClr val="000000"/>
                    </a:solidFill>
                    <a:latin typeface="Arial"/>
                    <a:ea typeface="Arial"/>
                    <a:cs typeface="Arial"/>
                  </a:defRPr>
                </a:pPr>
                <a:r>
                  <a:rPr lang="pt-BR"/>
                  <a:t>log buffer</a:t>
                </a:r>
                <a:r>
                  <a:rPr lang="pt-BR" baseline="0"/>
                  <a:t> capacity</a:t>
                </a:r>
                <a:endParaRPr lang="pt-BR"/>
              </a:p>
            </c:rich>
          </c:tx>
          <c:layout>
            <c:manualLayout>
              <c:xMode val="edge"/>
              <c:yMode val="edge"/>
              <c:x val="7.2358602233545807E-3"/>
              <c:y val="0.376528515330943"/>
            </c:manualLayout>
          </c:layout>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nl-NL"/>
          </a:p>
        </c:txPr>
        <c:crossAx val="392151152"/>
        <c:crosses val="autoZero"/>
        <c:crossBetween val="midCat"/>
      </c:valAx>
      <c:spPr>
        <a:noFill/>
        <a:ln w="12700">
          <a:solidFill>
            <a:schemeClr val="tx1"/>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0.98425196899999956" l="0.78740157499999996" r="0.78740157499999996" t="0.98425196899999956" header="0.49212598500001264" footer="0.49212598500001264"/>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pt-BR" sz="1200" baseline="0"/>
              <a:t>log buffer capacity along a titration</a:t>
            </a:r>
          </a:p>
        </c:rich>
      </c:tx>
      <c:layout>
        <c:manualLayout>
          <c:xMode val="edge"/>
          <c:yMode val="edge"/>
          <c:x val="0.10881820467134741"/>
          <c:y val="9.5507577640305315E-3"/>
        </c:manualLayout>
      </c:layout>
      <c:overlay val="0"/>
      <c:spPr>
        <a:noFill/>
        <a:ln w="25400">
          <a:noFill/>
        </a:ln>
      </c:spPr>
    </c:title>
    <c:autoTitleDeleted val="0"/>
    <c:plotArea>
      <c:layout>
        <c:manualLayout>
          <c:layoutTarget val="inner"/>
          <c:xMode val="edge"/>
          <c:yMode val="edge"/>
          <c:x val="0.10530915371520309"/>
          <c:y val="7.5072355069758429E-2"/>
          <c:w val="0.84977723321360055"/>
          <c:h val="0.7930458642816951"/>
        </c:manualLayout>
      </c:layout>
      <c:scatterChart>
        <c:scatterStyle val="smoothMarker"/>
        <c:varyColors val="0"/>
        <c:ser>
          <c:idx val="0"/>
          <c:order val="0"/>
          <c:tx>
            <c:v>log_bufferVol</c:v>
          </c:tx>
          <c:spPr>
            <a:ln w="38100">
              <a:solidFill>
                <a:srgbClr val="09007E"/>
              </a:solidFill>
              <a:prstDash val="solid"/>
            </a:ln>
          </c:spPr>
          <c:marker>
            <c:symbol val="circle"/>
            <c:size val="5"/>
            <c:spPr>
              <a:solidFill>
                <a:srgbClr val="F4EE00"/>
              </a:solidFill>
              <a:ln>
                <a:solidFill>
                  <a:srgbClr val="FF0000"/>
                </a:solidFill>
                <a:prstDash val="solid"/>
              </a:ln>
            </c:spPr>
          </c:marker>
          <c:xVal>
            <c:numRef>
              <c:f>Distribution!$Y$12:$Y$135</c:f>
              <c:numCache>
                <c:formatCode>0.000</c:formatCode>
                <c:ptCount val="124"/>
                <c:pt idx="0">
                  <c:v>0</c:v>
                </c:pt>
                <c:pt idx="1">
                  <c:v>2.3004448812571354</c:v>
                </c:pt>
                <c:pt idx="2">
                  <c:v>4.3254298929241486</c:v>
                </c:pt>
                <c:pt idx="3">
                  <c:v>5.9982889695675112</c:v>
                </c:pt>
                <c:pt idx="4">
                  <c:v>7.2857926934375428</c:v>
                </c:pt>
                <c:pt idx="5">
                  <c:v>8.2150732792797498</c:v>
                </c:pt>
                <c:pt idx="6">
                  <c:v>8.852646873856429</c:v>
                </c:pt>
                <c:pt idx="7">
                  <c:v>9.2745251997257583</c:v>
                </c:pt>
                <c:pt idx="8">
                  <c:v>9.5472193221212365</c:v>
                </c:pt>
                <c:pt idx="9">
                  <c:v>9.7213898246991448</c:v>
                </c:pt>
                <c:pt idx="10">
                  <c:v>9.8327682426315732</c:v>
                </c:pt>
                <c:pt idx="11">
                  <c:v>9.9056407503667288</c:v>
                </c:pt>
                <c:pt idx="12">
                  <c:v>9.956512633652892</c:v>
                </c:pt>
                <c:pt idx="13">
                  <c:v>9.9971799951163121</c:v>
                </c:pt>
                <c:pt idx="14">
                  <c:v>10.037190483126324</c:v>
                </c:pt>
                <c:pt idx="15">
                  <c:v>10.085949620406609</c:v>
                </c:pt>
                <c:pt idx="16">
                  <c:v>10.154803957266267</c:v>
                </c:pt>
                <c:pt idx="17">
                  <c:v>10.259427917480934</c:v>
                </c:pt>
                <c:pt idx="18">
                  <c:v>10.422738817578647</c:v>
                </c:pt>
                <c:pt idx="19">
                  <c:v>10.678157336951699</c:v>
                </c:pt>
                <c:pt idx="20">
                  <c:v>11.071775054733735</c:v>
                </c:pt>
                <c:pt idx="21">
                  <c:v>11.659035268530715</c:v>
                </c:pt>
                <c:pt idx="22">
                  <c:v>12.487507292826194</c:v>
                </c:pt>
                <c:pt idx="23">
                  <c:v>13.560292513284367</c:v>
                </c:pt>
                <c:pt idx="24">
                  <c:v>14.799194350780454</c:v>
                </c:pt>
                <c:pt idx="25">
                  <c:v>16.054576211899985</c:v>
                </c:pt>
                <c:pt idx="26">
                  <c:v>17.173922529036645</c:v>
                </c:pt>
                <c:pt idx="27">
                  <c:v>18.068469061108772</c:v>
                </c:pt>
                <c:pt idx="28">
                  <c:v>18.725484058086295</c:v>
                </c:pt>
                <c:pt idx="29">
                  <c:v>19.179874857945833</c:v>
                </c:pt>
                <c:pt idx="30">
                  <c:v>19.48181740444852</c:v>
                </c:pt>
                <c:pt idx="31">
                  <c:v>19.677734184369911</c:v>
                </c:pt>
                <c:pt idx="32">
                  <c:v>19.803712518478278</c:v>
                </c:pt>
                <c:pt idx="33">
                  <c:v>19.885540132236201</c:v>
                </c:pt>
                <c:pt idx="34">
                  <c:v>19.941073826339561</c:v>
                </c:pt>
                <c:pt idx="35">
                  <c:v>19.982924718351569</c:v>
                </c:pt>
                <c:pt idx="36">
                  <c:v>20.020832466252614</c:v>
                </c:pt>
                <c:pt idx="37">
                  <c:v>20.063731157279108</c:v>
                </c:pt>
                <c:pt idx="38">
                  <c:v>20.121755062427837</c:v>
                </c:pt>
                <c:pt idx="39">
                  <c:v>20.208536063728388</c:v>
                </c:pt>
                <c:pt idx="40">
                  <c:v>20.344214436772745</c:v>
                </c:pt>
                <c:pt idx="41">
                  <c:v>20.55962798622204</c:v>
                </c:pt>
                <c:pt idx="42">
                  <c:v>20.902049214055296</c:v>
                </c:pt>
                <c:pt idx="43">
                  <c:v>21.442285725788679</c:v>
                </c:pt>
                <c:pt idx="44">
                  <c:v>22.281442677194718</c:v>
                </c:pt>
                <c:pt idx="45">
                  <c:v>23.553723619261291</c:v>
                </c:pt>
                <c:pt idx="46">
                  <c:v>25.425947584153619</c:v>
                </c:pt>
                <c:pt idx="47">
                  <c:v>28.122492051625159</c:v>
                </c:pt>
                <c:pt idx="48">
                  <c:v>32.065280988172162</c:v>
                </c:pt>
                <c:pt idx="49">
                  <c:v>38.31748273660196</c:v>
                </c:pt>
                <c:pt idx="50">
                  <c:v>49.999999998544808</c:v>
                </c:pt>
              </c:numCache>
            </c:numRef>
          </c:xVal>
          <c:yVal>
            <c:numRef>
              <c:f>Distribution!$BG$12:$BG$135</c:f>
              <c:numCache>
                <c:formatCode>0.000</c:formatCode>
                <c:ptCount val="124"/>
                <c:pt idx="0">
                  <c:v>-0.98919757272197772</c:v>
                </c:pt>
                <c:pt idx="1">
                  <c:v>-1.0620576657000593</c:v>
                </c:pt>
                <c:pt idx="2">
                  <c:v>-1.1460698578950819</c:v>
                </c:pt>
                <c:pt idx="3">
                  <c:v>-1.2546746409827401</c:v>
                </c:pt>
                <c:pt idx="4">
                  <c:v>-1.3901972005058225</c:v>
                </c:pt>
                <c:pt idx="5">
                  <c:v>-1.5486870367495422</c:v>
                </c:pt>
                <c:pt idx="6">
                  <c:v>-1.7241999247649638</c:v>
                </c:pt>
                <c:pt idx="7">
                  <c:v>-1.9108804271034623</c:v>
                </c:pt>
                <c:pt idx="8">
                  <c:v>-2.1031523727263486</c:v>
                </c:pt>
                <c:pt idx="9">
                  <c:v>-2.2943165370236014</c:v>
                </c:pt>
                <c:pt idx="10">
                  <c:v>-2.4731811208339844</c:v>
                </c:pt>
                <c:pt idx="11">
                  <c:v>-2.618664718334438</c:v>
                </c:pt>
                <c:pt idx="12">
                  <c:v>-2.6980426071981696</c:v>
                </c:pt>
                <c:pt idx="13">
                  <c:v>-2.6839857375953677</c:v>
                </c:pt>
                <c:pt idx="14">
                  <c:v>-2.5822195131179457</c:v>
                </c:pt>
                <c:pt idx="15">
                  <c:v>-2.4250617501856602</c:v>
                </c:pt>
                <c:pt idx="16">
                  <c:v>-2.2427077428700595</c:v>
                </c:pt>
                <c:pt idx="17">
                  <c:v>-2.0531621888655573</c:v>
                </c:pt>
                <c:pt idx="18">
                  <c:v>-1.8664629010197229</c:v>
                </c:pt>
                <c:pt idx="19">
                  <c:v>-1.6897928598106833</c:v>
                </c:pt>
                <c:pt idx="20">
                  <c:v>-1.5304304756076039</c:v>
                </c:pt>
                <c:pt idx="21">
                  <c:v>-1.3970230266569772</c:v>
                </c:pt>
                <c:pt idx="22">
                  <c:v>-1.2994378948498715</c:v>
                </c:pt>
                <c:pt idx="23">
                  <c:v>-1.2470181019527826</c:v>
                </c:pt>
                <c:pt idx="24">
                  <c:v>-1.2456342623932413</c:v>
                </c:pt>
                <c:pt idx="25">
                  <c:v>-1.2952995966945955</c:v>
                </c:pt>
                <c:pt idx="26">
                  <c:v>-1.3902612086421298</c:v>
                </c:pt>
                <c:pt idx="27">
                  <c:v>-1.5214048907492108</c:v>
                </c:pt>
                <c:pt idx="28">
                  <c:v>-1.6790669841226737</c:v>
                </c:pt>
                <c:pt idx="29">
                  <c:v>-1.8547516126542216</c:v>
                </c:pt>
                <c:pt idx="30">
                  <c:v>-2.041446672256702</c:v>
                </c:pt>
                <c:pt idx="31">
                  <c:v>-2.2327229844397816</c:v>
                </c:pt>
                <c:pt idx="32">
                  <c:v>-2.4204674660565133</c:v>
                </c:pt>
                <c:pt idx="33">
                  <c:v>-2.5905888218045434</c:v>
                </c:pt>
                <c:pt idx="34">
                  <c:v>-2.7175674891820401</c:v>
                </c:pt>
                <c:pt idx="35">
                  <c:v>-2.7671794733826753</c:v>
                </c:pt>
                <c:pt idx="36">
                  <c:v>-2.7207456490547539</c:v>
                </c:pt>
                <c:pt idx="37">
                  <c:v>-2.595634701459185</c:v>
                </c:pt>
                <c:pt idx="38">
                  <c:v>-2.425945353827843</c:v>
                </c:pt>
                <c:pt idx="39">
                  <c:v>-2.237534718439806</c:v>
                </c:pt>
                <c:pt idx="40">
                  <c:v>-2.0446009453934413</c:v>
                </c:pt>
                <c:pt idx="41">
                  <c:v>-1.8550220675637872</c:v>
                </c:pt>
                <c:pt idx="42">
                  <c:v>-1.6746585580368465</c:v>
                </c:pt>
                <c:pt idx="43">
                  <c:v>-1.5095584059635347</c:v>
                </c:pt>
                <c:pt idx="44">
                  <c:v>-1.3666750329710169</c:v>
                </c:pt>
                <c:pt idx="45">
                  <c:v>-1.2531236794794747</c:v>
                </c:pt>
                <c:pt idx="46">
                  <c:v>-1.1734765285873106</c:v>
                </c:pt>
                <c:pt idx="47">
                  <c:v>-1.1249685332900923</c:v>
                </c:pt>
                <c:pt idx="48">
                  <c:v>-1.092427974013686</c:v>
                </c:pt>
                <c:pt idx="49">
                  <c:v>-1.0483605825736755</c:v>
                </c:pt>
                <c:pt idx="50">
                  <c:v>-0.96518855962608252</c:v>
                </c:pt>
              </c:numCache>
            </c:numRef>
          </c:yVal>
          <c:smooth val="1"/>
          <c:extLst>
            <c:ext xmlns:c16="http://schemas.microsoft.com/office/drawing/2014/chart" uri="{C3380CC4-5D6E-409C-BE32-E72D297353CC}">
              <c16:uniqueId val="{00000000-53D5-46FA-8918-FF7372C08300}"/>
            </c:ext>
          </c:extLst>
        </c:ser>
        <c:ser>
          <c:idx val="1"/>
          <c:order val="1"/>
          <c:tx>
            <c:v>n*pH/14</c:v>
          </c:tx>
          <c:spPr>
            <a:ln w="12700">
              <a:solidFill>
                <a:srgbClr val="002060"/>
              </a:solidFill>
              <a:prstDash val="sysDash"/>
            </a:ln>
          </c:spPr>
          <c:marker>
            <c:symbol val="circle"/>
            <c:size val="4"/>
            <c:spPr>
              <a:noFill/>
              <a:ln>
                <a:solidFill>
                  <a:srgbClr val="0000FF"/>
                </a:solidFill>
                <a:prstDash val="solid"/>
              </a:ln>
            </c:spPr>
          </c:marker>
          <c:xVal>
            <c:numRef>
              <c:f>Distribution!$Y$12:$Y$135</c:f>
              <c:numCache>
                <c:formatCode>0.000</c:formatCode>
                <c:ptCount val="124"/>
                <c:pt idx="0">
                  <c:v>0</c:v>
                </c:pt>
                <c:pt idx="1">
                  <c:v>2.3004448812571354</c:v>
                </c:pt>
                <c:pt idx="2">
                  <c:v>4.3254298929241486</c:v>
                </c:pt>
                <c:pt idx="3">
                  <c:v>5.9982889695675112</c:v>
                </c:pt>
                <c:pt idx="4">
                  <c:v>7.2857926934375428</c:v>
                </c:pt>
                <c:pt idx="5">
                  <c:v>8.2150732792797498</c:v>
                </c:pt>
                <c:pt idx="6">
                  <c:v>8.852646873856429</c:v>
                </c:pt>
                <c:pt idx="7">
                  <c:v>9.2745251997257583</c:v>
                </c:pt>
                <c:pt idx="8">
                  <c:v>9.5472193221212365</c:v>
                </c:pt>
                <c:pt idx="9">
                  <c:v>9.7213898246991448</c:v>
                </c:pt>
                <c:pt idx="10">
                  <c:v>9.8327682426315732</c:v>
                </c:pt>
                <c:pt idx="11">
                  <c:v>9.9056407503667288</c:v>
                </c:pt>
                <c:pt idx="12">
                  <c:v>9.956512633652892</c:v>
                </c:pt>
                <c:pt idx="13">
                  <c:v>9.9971799951163121</c:v>
                </c:pt>
                <c:pt idx="14">
                  <c:v>10.037190483126324</c:v>
                </c:pt>
                <c:pt idx="15">
                  <c:v>10.085949620406609</c:v>
                </c:pt>
                <c:pt idx="16">
                  <c:v>10.154803957266267</c:v>
                </c:pt>
                <c:pt idx="17">
                  <c:v>10.259427917480934</c:v>
                </c:pt>
                <c:pt idx="18">
                  <c:v>10.422738817578647</c:v>
                </c:pt>
                <c:pt idx="19">
                  <c:v>10.678157336951699</c:v>
                </c:pt>
                <c:pt idx="20">
                  <c:v>11.071775054733735</c:v>
                </c:pt>
                <c:pt idx="21">
                  <c:v>11.659035268530715</c:v>
                </c:pt>
                <c:pt idx="22">
                  <c:v>12.487507292826194</c:v>
                </c:pt>
                <c:pt idx="23">
                  <c:v>13.560292513284367</c:v>
                </c:pt>
                <c:pt idx="24">
                  <c:v>14.799194350780454</c:v>
                </c:pt>
                <c:pt idx="25">
                  <c:v>16.054576211899985</c:v>
                </c:pt>
                <c:pt idx="26">
                  <c:v>17.173922529036645</c:v>
                </c:pt>
                <c:pt idx="27">
                  <c:v>18.068469061108772</c:v>
                </c:pt>
                <c:pt idx="28">
                  <c:v>18.725484058086295</c:v>
                </c:pt>
                <c:pt idx="29">
                  <c:v>19.179874857945833</c:v>
                </c:pt>
                <c:pt idx="30">
                  <c:v>19.48181740444852</c:v>
                </c:pt>
                <c:pt idx="31">
                  <c:v>19.677734184369911</c:v>
                </c:pt>
                <c:pt idx="32">
                  <c:v>19.803712518478278</c:v>
                </c:pt>
                <c:pt idx="33">
                  <c:v>19.885540132236201</c:v>
                </c:pt>
                <c:pt idx="34">
                  <c:v>19.941073826339561</c:v>
                </c:pt>
                <c:pt idx="35">
                  <c:v>19.982924718351569</c:v>
                </c:pt>
                <c:pt idx="36">
                  <c:v>20.020832466252614</c:v>
                </c:pt>
                <c:pt idx="37">
                  <c:v>20.063731157279108</c:v>
                </c:pt>
                <c:pt idx="38">
                  <c:v>20.121755062427837</c:v>
                </c:pt>
                <c:pt idx="39">
                  <c:v>20.208536063728388</c:v>
                </c:pt>
                <c:pt idx="40">
                  <c:v>20.344214436772745</c:v>
                </c:pt>
                <c:pt idx="41">
                  <c:v>20.55962798622204</c:v>
                </c:pt>
                <c:pt idx="42">
                  <c:v>20.902049214055296</c:v>
                </c:pt>
                <c:pt idx="43">
                  <c:v>21.442285725788679</c:v>
                </c:pt>
                <c:pt idx="44">
                  <c:v>22.281442677194718</c:v>
                </c:pt>
                <c:pt idx="45">
                  <c:v>23.553723619261291</c:v>
                </c:pt>
                <c:pt idx="46">
                  <c:v>25.425947584153619</c:v>
                </c:pt>
                <c:pt idx="47">
                  <c:v>28.122492051625159</c:v>
                </c:pt>
                <c:pt idx="48">
                  <c:v>32.065280988172162</c:v>
                </c:pt>
                <c:pt idx="49">
                  <c:v>38.31748273660196</c:v>
                </c:pt>
                <c:pt idx="50">
                  <c:v>49.999999998544808</c:v>
                </c:pt>
              </c:numCache>
            </c:numRef>
          </c:xVal>
          <c:yVal>
            <c:numRef>
              <c:f>Distribution!$BF$12:$BF$135</c:f>
              <c:numCache>
                <c:formatCode>0.000</c:formatCode>
                <c:ptCount val="124"/>
                <c:pt idx="0">
                  <c:v>-3.4808264914079214</c:v>
                </c:pt>
                <c:pt idx="1">
                  <c:v>-3.4194149007819372</c:v>
                </c:pt>
                <c:pt idx="2">
                  <c:v>-3.3582458230178602</c:v>
                </c:pt>
                <c:pt idx="3">
                  <c:v>-3.2973475024241488</c:v>
                </c:pt>
                <c:pt idx="4">
                  <c:v>-3.2366902580038461</c:v>
                </c:pt>
                <c:pt idx="5">
                  <c:v>-3.1762200067924535</c:v>
                </c:pt>
                <c:pt idx="6">
                  <c:v>-3.1158826736878869</c:v>
                </c:pt>
                <c:pt idx="7">
                  <c:v>-3.0556346629805735</c:v>
                </c:pt>
                <c:pt idx="8">
                  <c:v>-2.9954444201747705</c:v>
                </c:pt>
                <c:pt idx="9">
                  <c:v>-2.9352903435487345</c:v>
                </c:pt>
                <c:pt idx="10">
                  <c:v>-2.875157933954982</c:v>
                </c:pt>
                <c:pt idx="11">
                  <c:v>-2.8150372710030109</c:v>
                </c:pt>
                <c:pt idx="12">
                  <c:v>-2.7549210211526725</c:v>
                </c:pt>
                <c:pt idx="13">
                  <c:v>-2.6948028505962722</c:v>
                </c:pt>
                <c:pt idx="14">
                  <c:v>-2.6346760229700057</c:v>
                </c:pt>
                <c:pt idx="15">
                  <c:v>-2.5745319562329723</c:v>
                </c:pt>
                <c:pt idx="16">
                  <c:v>-2.5143585543719018</c:v>
                </c:pt>
                <c:pt idx="17">
                  <c:v>-2.4541382671272554</c:v>
                </c:pt>
                <c:pt idx="18">
                  <c:v>-2.3938462266225233</c:v>
                </c:pt>
                <c:pt idx="19">
                  <c:v>-2.3334497682474353</c:v>
                </c:pt>
                <c:pt idx="20">
                  <c:v>-2.272912424131071</c:v>
                </c:pt>
                <c:pt idx="21">
                  <c:v>-2.2122071826487208</c:v>
                </c:pt>
                <c:pt idx="22">
                  <c:v>-2.1513407654251302</c:v>
                </c:pt>
                <c:pt idx="23">
                  <c:v>-2.0903756446096984</c:v>
                </c:pt>
                <c:pt idx="24">
                  <c:v>-2.0294198688001339</c:v>
                </c:pt>
                <c:pt idx="25">
                  <c:v>-1.9685770088857253</c:v>
                </c:pt>
                <c:pt idx="26">
                  <c:v>-1.9079002576875204</c:v>
                </c:pt>
                <c:pt idx="27">
                  <c:v>-1.847388948372696</c:v>
                </c:pt>
                <c:pt idx="28">
                  <c:v>-1.7870129493577531</c:v>
                </c:pt>
                <c:pt idx="29">
                  <c:v>-1.7267357296421757</c:v>
                </c:pt>
                <c:pt idx="30">
                  <c:v>-1.6665258631211599</c:v>
                </c:pt>
                <c:pt idx="31">
                  <c:v>-1.6063599828111976</c:v>
                </c:pt>
                <c:pt idx="32">
                  <c:v>-1.5462219306648826</c:v>
                </c:pt>
                <c:pt idx="33">
                  <c:v>-1.4861008857887477</c:v>
                </c:pt>
                <c:pt idx="34">
                  <c:v>-1.4259895812216681</c:v>
                </c:pt>
                <c:pt idx="35">
                  <c:v>-1.36588288570622</c:v>
                </c:pt>
                <c:pt idx="36">
                  <c:v>-1.3057767082966847</c:v>
                </c:pt>
                <c:pt idx="37">
                  <c:v>-1.2456670907799525</c:v>
                </c:pt>
                <c:pt idx="38">
                  <c:v>-1.185549340373798</c:v>
                </c:pt>
                <c:pt idx="39">
                  <c:v>-1.1254170723557699</c:v>
                </c:pt>
                <c:pt idx="40">
                  <c:v>-1.0652610884806823</c:v>
                </c:pt>
                <c:pt idx="41">
                  <c:v>-1.0050681826853842</c:v>
                </c:pt>
                <c:pt idx="42">
                  <c:v>-0.94482039822772013</c:v>
                </c:pt>
                <c:pt idx="43">
                  <c:v>-0.88449617868696739</c:v>
                </c:pt>
                <c:pt idx="44">
                  <c:v>-0.82407615626484931</c:v>
                </c:pt>
                <c:pt idx="45">
                  <c:v>-0.76355624032972358</c:v>
                </c:pt>
                <c:pt idx="46">
                  <c:v>-0.70296455507274347</c:v>
                </c:pt>
                <c:pt idx="47">
                  <c:v>-0.64236623619271649</c:v>
                </c:pt>
                <c:pt idx="48">
                  <c:v>-0.58184160970020216</c:v>
                </c:pt>
                <c:pt idx="49">
                  <c:v>-0.52145462926234476</c:v>
                </c:pt>
                <c:pt idx="50">
                  <c:v>-0.46124458981556726</c:v>
                </c:pt>
              </c:numCache>
            </c:numRef>
          </c:yVal>
          <c:smooth val="1"/>
          <c:extLst>
            <c:ext xmlns:c16="http://schemas.microsoft.com/office/drawing/2014/chart" uri="{C3380CC4-5D6E-409C-BE32-E72D297353CC}">
              <c16:uniqueId val="{00000001-53D5-46FA-8918-FF7372C08300}"/>
            </c:ext>
          </c:extLst>
        </c:ser>
        <c:dLbls>
          <c:showLegendKey val="0"/>
          <c:showVal val="0"/>
          <c:showCatName val="0"/>
          <c:showSerName val="0"/>
          <c:showPercent val="0"/>
          <c:showBubbleSize val="0"/>
        </c:dLbls>
        <c:axId val="392152784"/>
        <c:axId val="392156048"/>
      </c:scatterChart>
      <c:valAx>
        <c:axId val="392152784"/>
        <c:scaling>
          <c:orientation val="minMax"/>
        </c:scaling>
        <c:delete val="0"/>
        <c:axPos val="b"/>
        <c:majorGridlines/>
        <c:title>
          <c:tx>
            <c:rich>
              <a:bodyPr/>
              <a:lstStyle/>
              <a:p>
                <a:pPr>
                  <a:defRPr sz="1200" b="1" i="0" u="none" strike="noStrike" baseline="0">
                    <a:solidFill>
                      <a:srgbClr val="000000"/>
                    </a:solidFill>
                    <a:latin typeface="Arial"/>
                    <a:ea typeface="Arial"/>
                    <a:cs typeface="Arial"/>
                  </a:defRPr>
                </a:pPr>
                <a:r>
                  <a:rPr lang="pt-BR"/>
                  <a:t>Volume (mL)</a:t>
                </a:r>
              </a:p>
            </c:rich>
          </c:tx>
          <c:layout>
            <c:manualLayout>
              <c:xMode val="edge"/>
              <c:yMode val="edge"/>
              <c:x val="0.45442566406948576"/>
              <c:y val="0.93881483886679162"/>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nl-NL"/>
          </a:p>
        </c:txPr>
        <c:crossAx val="392156048"/>
        <c:crossesAt val="-8"/>
        <c:crossBetween val="midCat"/>
      </c:valAx>
      <c:valAx>
        <c:axId val="392156048"/>
        <c:scaling>
          <c:orientation val="minMax"/>
          <c:max val="0.1"/>
          <c:min val="-4"/>
        </c:scaling>
        <c:delete val="0"/>
        <c:axPos val="l"/>
        <c:majorGridlines>
          <c:spPr>
            <a:ln w="3175">
              <a:solidFill>
                <a:srgbClr val="000000"/>
              </a:solidFill>
              <a:prstDash val="solid"/>
            </a:ln>
          </c:spPr>
        </c:majorGridlines>
        <c:title>
          <c:tx>
            <c:rich>
              <a:bodyPr/>
              <a:lstStyle/>
              <a:p>
                <a:pPr>
                  <a:defRPr sz="1050" b="1" i="0" u="none" strike="noStrike" baseline="0">
                    <a:solidFill>
                      <a:srgbClr val="000000"/>
                    </a:solidFill>
                    <a:latin typeface="Arial"/>
                    <a:ea typeface="Arial"/>
                    <a:cs typeface="Arial"/>
                  </a:defRPr>
                </a:pPr>
                <a:r>
                  <a:rPr lang="pt-BR"/>
                  <a:t>log buffer capacity</a:t>
                </a:r>
              </a:p>
            </c:rich>
          </c:tx>
          <c:layout>
            <c:manualLayout>
              <c:xMode val="edge"/>
              <c:yMode val="edge"/>
              <c:x val="8.7978727789916316E-3"/>
              <c:y val="0.38141867575832311"/>
            </c:manualLayout>
          </c:layout>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nl-NL"/>
          </a:p>
        </c:txPr>
        <c:crossAx val="392152784"/>
        <c:crosses val="autoZero"/>
        <c:crossBetween val="midCat"/>
      </c:valAx>
      <c:spPr>
        <a:noFill/>
        <a:ln w="12700">
          <a:solidFill>
            <a:schemeClr val="tx1"/>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0.98425196899999956" l="0.78740157499999996" r="0.78740157499999996" t="0.98425196899999956" header="0.49212598500001264" footer="0.49212598500001264"/>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pt-BR"/>
              <a:t>Mean charge of species </a:t>
            </a:r>
            <a:r>
              <a:rPr lang="pt-BR" baseline="0"/>
              <a:t>HiB</a:t>
            </a:r>
            <a:endParaRPr lang="pt-BR"/>
          </a:p>
        </c:rich>
      </c:tx>
      <c:layout>
        <c:manualLayout>
          <c:xMode val="edge"/>
          <c:yMode val="edge"/>
          <c:x val="7.8100524119825432E-2"/>
          <c:y val="5.4957995348505926E-3"/>
        </c:manualLayout>
      </c:layout>
      <c:overlay val="0"/>
      <c:spPr>
        <a:noFill/>
        <a:ln w="25400">
          <a:noFill/>
        </a:ln>
      </c:spPr>
    </c:title>
    <c:autoTitleDeleted val="0"/>
    <c:plotArea>
      <c:layout>
        <c:manualLayout>
          <c:layoutTarget val="inner"/>
          <c:xMode val="edge"/>
          <c:yMode val="edge"/>
          <c:x val="8.393641970565674E-2"/>
          <c:y val="7.8553241700468457E-2"/>
          <c:w val="0.88422638458922442"/>
          <c:h val="0.7848420127717336"/>
        </c:manualLayout>
      </c:layout>
      <c:scatterChart>
        <c:scatterStyle val="smoothMarker"/>
        <c:varyColors val="0"/>
        <c:ser>
          <c:idx val="1"/>
          <c:order val="0"/>
          <c:tx>
            <c:v>"mean charge"</c:v>
          </c:tx>
          <c:marker>
            <c:symbol val="none"/>
          </c:marker>
          <c:xVal>
            <c:numRef>
              <c:f>Distribution!$O$12:$O$135</c:f>
              <c:numCache>
                <c:formatCode>0.000</c:formatCode>
                <c:ptCount val="124"/>
                <c:pt idx="0">
                  <c:v>0</c:v>
                </c:pt>
                <c:pt idx="1">
                  <c:v>0.2</c:v>
                </c:pt>
                <c:pt idx="2">
                  <c:v>0.4</c:v>
                </c:pt>
                <c:pt idx="3">
                  <c:v>0.60000000000000009</c:v>
                </c:pt>
                <c:pt idx="4">
                  <c:v>0.8</c:v>
                </c:pt>
                <c:pt idx="5">
                  <c:v>1</c:v>
                </c:pt>
                <c:pt idx="6">
                  <c:v>1.2</c:v>
                </c:pt>
                <c:pt idx="7">
                  <c:v>1.4</c:v>
                </c:pt>
                <c:pt idx="8">
                  <c:v>1.5999999999999999</c:v>
                </c:pt>
                <c:pt idx="9">
                  <c:v>1.7999999999999998</c:v>
                </c:pt>
                <c:pt idx="10">
                  <c:v>1.9999999999999998</c:v>
                </c:pt>
                <c:pt idx="11">
                  <c:v>2.1999999999999997</c:v>
                </c:pt>
                <c:pt idx="12">
                  <c:v>2.4</c:v>
                </c:pt>
                <c:pt idx="13">
                  <c:v>2.6</c:v>
                </c:pt>
                <c:pt idx="14">
                  <c:v>2.8000000000000003</c:v>
                </c:pt>
                <c:pt idx="15">
                  <c:v>3.0000000000000004</c:v>
                </c:pt>
                <c:pt idx="16">
                  <c:v>3.2000000000000006</c:v>
                </c:pt>
                <c:pt idx="17">
                  <c:v>3.4000000000000008</c:v>
                </c:pt>
                <c:pt idx="18">
                  <c:v>3.600000000000001</c:v>
                </c:pt>
                <c:pt idx="19">
                  <c:v>3.8000000000000012</c:v>
                </c:pt>
                <c:pt idx="20">
                  <c:v>4.0000000000000009</c:v>
                </c:pt>
                <c:pt idx="21">
                  <c:v>4.2000000000000011</c:v>
                </c:pt>
                <c:pt idx="22">
                  <c:v>4.4000000000000012</c:v>
                </c:pt>
                <c:pt idx="23">
                  <c:v>4.6000000000000014</c:v>
                </c:pt>
                <c:pt idx="24">
                  <c:v>4.8000000000000016</c:v>
                </c:pt>
                <c:pt idx="25">
                  <c:v>5.0000000000000018</c:v>
                </c:pt>
                <c:pt idx="26">
                  <c:v>5.200000000000002</c:v>
                </c:pt>
                <c:pt idx="27">
                  <c:v>5.4000000000000021</c:v>
                </c:pt>
                <c:pt idx="28">
                  <c:v>5.6000000000000023</c:v>
                </c:pt>
                <c:pt idx="29">
                  <c:v>5.8000000000000025</c:v>
                </c:pt>
                <c:pt idx="30">
                  <c:v>6.0000000000000027</c:v>
                </c:pt>
                <c:pt idx="31">
                  <c:v>6.2000000000000028</c:v>
                </c:pt>
                <c:pt idx="32">
                  <c:v>6.400000000000003</c:v>
                </c:pt>
                <c:pt idx="33">
                  <c:v>6.6000000000000032</c:v>
                </c:pt>
                <c:pt idx="34">
                  <c:v>6.8000000000000034</c:v>
                </c:pt>
                <c:pt idx="35">
                  <c:v>7.0000000000000036</c:v>
                </c:pt>
                <c:pt idx="36">
                  <c:v>7.2000000000000037</c:v>
                </c:pt>
                <c:pt idx="37">
                  <c:v>7.4000000000000039</c:v>
                </c:pt>
                <c:pt idx="38">
                  <c:v>7.6000000000000041</c:v>
                </c:pt>
                <c:pt idx="39">
                  <c:v>7.8000000000000043</c:v>
                </c:pt>
                <c:pt idx="40">
                  <c:v>8.0000000000000036</c:v>
                </c:pt>
                <c:pt idx="41">
                  <c:v>8.2000000000000028</c:v>
                </c:pt>
                <c:pt idx="42">
                  <c:v>8.4000000000000021</c:v>
                </c:pt>
                <c:pt idx="43">
                  <c:v>8.6000000000000014</c:v>
                </c:pt>
                <c:pt idx="44">
                  <c:v>8.8000000000000007</c:v>
                </c:pt>
                <c:pt idx="45">
                  <c:v>9</c:v>
                </c:pt>
                <c:pt idx="46">
                  <c:v>9.1999999999999993</c:v>
                </c:pt>
                <c:pt idx="47">
                  <c:v>9.3999999999999986</c:v>
                </c:pt>
                <c:pt idx="48">
                  <c:v>9.5999999999999979</c:v>
                </c:pt>
                <c:pt idx="49">
                  <c:v>9.7999999999999972</c:v>
                </c:pt>
                <c:pt idx="50">
                  <c:v>9.9999999999999964</c:v>
                </c:pt>
                <c:pt idx="51">
                  <c:v>10.199999999999996</c:v>
                </c:pt>
                <c:pt idx="52">
                  <c:v>10.399999999999995</c:v>
                </c:pt>
                <c:pt idx="53">
                  <c:v>10.599999999999994</c:v>
                </c:pt>
                <c:pt idx="54">
                  <c:v>10.799999999999994</c:v>
                </c:pt>
                <c:pt idx="55">
                  <c:v>10.999999999999993</c:v>
                </c:pt>
                <c:pt idx="56">
                  <c:v>11.199999999999992</c:v>
                </c:pt>
                <c:pt idx="57">
                  <c:v>11.399999999999991</c:v>
                </c:pt>
                <c:pt idx="58">
                  <c:v>11.599999999999991</c:v>
                </c:pt>
                <c:pt idx="59">
                  <c:v>11.79999999999999</c:v>
                </c:pt>
                <c:pt idx="60">
                  <c:v>11.999999999999989</c:v>
                </c:pt>
                <c:pt idx="61">
                  <c:v>12.199999999999989</c:v>
                </c:pt>
                <c:pt idx="62">
                  <c:v>12.399999999999988</c:v>
                </c:pt>
                <c:pt idx="63">
                  <c:v>12.599999999999987</c:v>
                </c:pt>
                <c:pt idx="64">
                  <c:v>12.799999999999986</c:v>
                </c:pt>
                <c:pt idx="65">
                  <c:v>12.999999999999986</c:v>
                </c:pt>
                <c:pt idx="66">
                  <c:v>13.199999999999985</c:v>
                </c:pt>
                <c:pt idx="67">
                  <c:v>13.399999999999984</c:v>
                </c:pt>
                <c:pt idx="68">
                  <c:v>13.599999999999984</c:v>
                </c:pt>
                <c:pt idx="69">
                  <c:v>13.799999999999983</c:v>
                </c:pt>
                <c:pt idx="70">
                  <c:v>13.999999999999982</c:v>
                </c:pt>
              </c:numCache>
            </c:numRef>
          </c:xVal>
          <c:yVal>
            <c:numRef>
              <c:f>Distribution!$BI$12:$BI$135</c:f>
              <c:numCache>
                <c:formatCode>0.000</c:formatCode>
                <c:ptCount val="124"/>
                <c:pt idx="0">
                  <c:v>-9.5969185898807652E-3</c:v>
                </c:pt>
                <c:pt idx="1">
                  <c:v>-1.5125193461762443E-2</c:v>
                </c:pt>
                <c:pt idx="2">
                  <c:v>-2.3761613202825771E-2</c:v>
                </c:pt>
                <c:pt idx="3">
                  <c:v>-3.7143417157204262E-2</c:v>
                </c:pt>
                <c:pt idx="4">
                  <c:v>-5.7616674061898632E-2</c:v>
                </c:pt>
                <c:pt idx="5">
                  <c:v>-8.8339378767543497E-2</c:v>
                </c:pt>
                <c:pt idx="6">
                  <c:v>-0.13313002671792118</c:v>
                </c:pt>
                <c:pt idx="7">
                  <c:v>-0.19575467678221825</c:v>
                </c:pt>
                <c:pt idx="8">
                  <c:v>-0.27837852742836944</c:v>
                </c:pt>
                <c:pt idx="9">
                  <c:v>-0.37942471064634509</c:v>
                </c:pt>
                <c:pt idx="10">
                  <c:v>-0.49213749915088956</c:v>
                </c:pt>
                <c:pt idx="11">
                  <c:v>-0.60566030386259451</c:v>
                </c:pt>
                <c:pt idx="12">
                  <c:v>-0.70883075527808259</c:v>
                </c:pt>
                <c:pt idx="13">
                  <c:v>-0.79419893371359906</c:v>
                </c:pt>
                <c:pt idx="14">
                  <c:v>-0.85952942040616831</c:v>
                </c:pt>
                <c:pt idx="15">
                  <c:v>-0.90661235028836584</c:v>
                </c:pt>
                <c:pt idx="16">
                  <c:v>-0.93911833466828876</c:v>
                </c:pt>
                <c:pt idx="17">
                  <c:v>-0.96093759610437246</c:v>
                </c:pt>
                <c:pt idx="18">
                  <c:v>-0.97536823670501382</c:v>
                </c:pt>
                <c:pt idx="19">
                  <c:v>-0.98491499226334733</c:v>
                </c:pt>
                <c:pt idx="20">
                  <c:v>-0.99138211296346901</c:v>
                </c:pt>
                <c:pt idx="21">
                  <c:v>-0.996059052155855</c:v>
                </c:pt>
                <c:pt idx="22">
                  <c:v>-0.99990979105880218</c:v>
                </c:pt>
                <c:pt idx="23">
                  <c:v>-1.003741562609807</c:v>
                </c:pt>
                <c:pt idx="24">
                  <c:v>-1.0083579528861661</c:v>
                </c:pt>
                <c:pt idx="25">
                  <c:v>-1.0147115971181146</c:v>
                </c:pt>
                <c:pt idx="26">
                  <c:v>-1.0240718942754761</c:v>
                </c:pt>
                <c:pt idx="27">
                  <c:v>-1.0382135479825481</c:v>
                </c:pt>
                <c:pt idx="28">
                  <c:v>-1.0596037903824751</c:v>
                </c:pt>
                <c:pt idx="29">
                  <c:v>-1.091503369783315</c:v>
                </c:pt>
                <c:pt idx="30">
                  <c:v>-1.137786291855269</c:v>
                </c:pt>
                <c:pt idx="31">
                  <c:v>-1.2021654844110217</c:v>
                </c:pt>
                <c:pt idx="32">
                  <c:v>-1.2865724028754451</c:v>
                </c:pt>
                <c:pt idx="33">
                  <c:v>-1.3890109656518663</c:v>
                </c:pt>
                <c:pt idx="34">
                  <c:v>-1.5022767288449221</c:v>
                </c:pt>
                <c:pt idx="35">
                  <c:v>-1.6153083662499439</c:v>
                </c:pt>
                <c:pt idx="36">
                  <c:v>-1.7171331524252078</c:v>
                </c:pt>
                <c:pt idx="37">
                  <c:v>-1.8007478321897488</c:v>
                </c:pt>
                <c:pt idx="38">
                  <c:v>-1.864347359898386</c:v>
                </c:pt>
                <c:pt idx="39">
                  <c:v>-1.9099724388729313</c:v>
                </c:pt>
                <c:pt idx="40">
                  <c:v>-1.9413647684049959</c:v>
                </c:pt>
                <c:pt idx="41">
                  <c:v>-1.9623794658698717</c:v>
                </c:pt>
                <c:pt idx="42">
                  <c:v>-1.9762397335899051</c:v>
                </c:pt>
                <c:pt idx="43">
                  <c:v>-1.9853716661358622</c:v>
                </c:pt>
                <c:pt idx="44">
                  <c:v>-1.9915092323874295</c:v>
                </c:pt>
                <c:pt idx="45">
                  <c:v>-1.9958790893264371</c:v>
                </c:pt>
                <c:pt idx="46">
                  <c:v>-1.9993830599592677</c:v>
                </c:pt>
                <c:pt idx="47">
                  <c:v>-2.0027569495227047</c:v>
                </c:pt>
                <c:pt idx="48">
                  <c:v>-2.0067112291988636</c:v>
                </c:pt>
                <c:pt idx="49">
                  <c:v>-2.0120686094813709</c:v>
                </c:pt>
                <c:pt idx="50">
                  <c:v>-2.0199147061806055</c:v>
                </c:pt>
                <c:pt idx="51">
                  <c:v>-2.031772225974886</c:v>
                </c:pt>
                <c:pt idx="52">
                  <c:v>-2.0497902906152996</c:v>
                </c:pt>
                <c:pt idx="53">
                  <c:v>-2.0768945543689874</c:v>
                </c:pt>
                <c:pt idx="54">
                  <c:v>-2.1167532665087512</c:v>
                </c:pt>
                <c:pt idx="55">
                  <c:v>-2.173288126483504</c:v>
                </c:pt>
                <c:pt idx="56">
                  <c:v>-2.2494106621357779</c:v>
                </c:pt>
                <c:pt idx="57">
                  <c:v>-2.3449888150775164</c:v>
                </c:pt>
                <c:pt idx="58">
                  <c:v>-2.4549781517435783</c:v>
                </c:pt>
                <c:pt idx="59">
                  <c:v>-2.5695372632982796</c:v>
                </c:pt>
                <c:pt idx="60">
                  <c:v>-2.6771034972485719</c:v>
                </c:pt>
                <c:pt idx="61">
                  <c:v>-2.7687054248770693</c:v>
                </c:pt>
                <c:pt idx="62">
                  <c:v>-2.8404441337379405</c:v>
                </c:pt>
                <c:pt idx="63">
                  <c:v>-2.8930284476417865</c:v>
                </c:pt>
                <c:pt idx="64">
                  <c:v>-2.9297316031103264</c:v>
                </c:pt>
                <c:pt idx="65">
                  <c:v>-2.9544833318898975</c:v>
                </c:pt>
                <c:pt idx="66">
                  <c:v>-2.9707902844395142</c:v>
                </c:pt>
                <c:pt idx="67">
                  <c:v>-2.9813690864593538</c:v>
                </c:pt>
                <c:pt idx="68">
                  <c:v>-2.9881633060398793</c:v>
                </c:pt>
                <c:pt idx="69">
                  <c:v>-2.9924987847332472</c:v>
                </c:pt>
                <c:pt idx="70">
                  <c:v>-2.9952539150445436</c:v>
                </c:pt>
              </c:numCache>
            </c:numRef>
          </c:yVal>
          <c:smooth val="1"/>
          <c:extLst>
            <c:ext xmlns:c16="http://schemas.microsoft.com/office/drawing/2014/chart" uri="{C3380CC4-5D6E-409C-BE32-E72D297353CC}">
              <c16:uniqueId val="{00000000-AB6F-4FAB-B22A-E40578F8A99B}"/>
            </c:ext>
          </c:extLst>
        </c:ser>
        <c:dLbls>
          <c:showLegendKey val="0"/>
          <c:showVal val="0"/>
          <c:showCatName val="0"/>
          <c:showSerName val="0"/>
          <c:showPercent val="0"/>
          <c:showBubbleSize val="0"/>
        </c:dLbls>
        <c:axId val="392154416"/>
        <c:axId val="392154960"/>
      </c:scatterChart>
      <c:valAx>
        <c:axId val="392154416"/>
        <c:scaling>
          <c:orientation val="minMax"/>
          <c:max val="14"/>
          <c:min val="0"/>
        </c:scaling>
        <c:delete val="0"/>
        <c:axPos val="b"/>
        <c:majorGridlines/>
        <c:title>
          <c:tx>
            <c:rich>
              <a:bodyPr/>
              <a:lstStyle/>
              <a:p>
                <a:pPr>
                  <a:defRPr sz="1200" b="1" i="0" u="none" strike="noStrike" baseline="0">
                    <a:solidFill>
                      <a:srgbClr val="000000"/>
                    </a:solidFill>
                    <a:latin typeface="Arial"/>
                    <a:ea typeface="Arial"/>
                    <a:cs typeface="Arial"/>
                  </a:defRPr>
                </a:pPr>
                <a:r>
                  <a:rPr lang="pt-BR"/>
                  <a:t>pH</a:t>
                </a:r>
              </a:p>
            </c:rich>
          </c:tx>
          <c:layout>
            <c:manualLayout>
              <c:xMode val="edge"/>
              <c:yMode val="edge"/>
              <c:x val="0.50506551386959064"/>
              <c:y val="0.93235636498981989"/>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nl-NL"/>
          </a:p>
        </c:txPr>
        <c:crossAx val="392154960"/>
        <c:crossesAt val="-6"/>
        <c:crossBetween val="midCat"/>
        <c:majorUnit val="1"/>
        <c:minorUnit val="1"/>
      </c:valAx>
      <c:valAx>
        <c:axId val="392154960"/>
        <c:scaling>
          <c:orientation val="minMax"/>
        </c:scaling>
        <c:delete val="0"/>
        <c:axPos val="l"/>
        <c:majorGridlines>
          <c:spPr>
            <a:ln w="3175">
              <a:solidFill>
                <a:srgbClr val="000000"/>
              </a:solidFill>
              <a:prstDash val="solid"/>
            </a:ln>
          </c:spPr>
        </c:majorGridlines>
        <c:title>
          <c:tx>
            <c:rich>
              <a:bodyPr/>
              <a:lstStyle/>
              <a:p>
                <a:pPr>
                  <a:defRPr sz="1075" b="1" i="0" u="none" strike="noStrike" baseline="0">
                    <a:solidFill>
                      <a:srgbClr val="000000"/>
                    </a:solidFill>
                    <a:latin typeface="Arial"/>
                    <a:ea typeface="Arial"/>
                    <a:cs typeface="Arial"/>
                  </a:defRPr>
                </a:pPr>
                <a:r>
                  <a:rPr lang="en-US"/>
                  <a:t>charge</a:t>
                </a:r>
              </a:p>
            </c:rich>
          </c:tx>
          <c:layout>
            <c:manualLayout>
              <c:xMode val="edge"/>
              <c:yMode val="edge"/>
              <c:x val="7.2358602233545807E-3"/>
              <c:y val="0.37652863074268261"/>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nl-NL"/>
          </a:p>
        </c:txPr>
        <c:crossAx val="392154416"/>
        <c:crosses val="autoZero"/>
        <c:crossBetween val="midCat"/>
      </c:valAx>
      <c:spPr>
        <a:noFill/>
        <a:ln w="12700">
          <a:solidFill>
            <a:schemeClr val="tx1"/>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0.98425196899999956" l="0.78740157499999996" r="0.78740157499999996" t="0.98425196899999956" header="0.49212598500001142" footer="0.49212598500001142"/>
    <c:pageSetup paperSize="9" orientation="landscape"/>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pt-BR" sz="1200" b="1" i="0" baseline="0"/>
              <a:t>Mean charge of species HiB along a titration</a:t>
            </a:r>
          </a:p>
        </c:rich>
      </c:tx>
      <c:layout>
        <c:manualLayout>
          <c:xMode val="edge"/>
          <c:yMode val="edge"/>
          <c:x val="8.0323607043028239E-2"/>
          <c:y val="8.8793386808992195E-3"/>
        </c:manualLayout>
      </c:layout>
      <c:overlay val="0"/>
      <c:spPr>
        <a:noFill/>
        <a:ln w="25400">
          <a:noFill/>
        </a:ln>
      </c:spPr>
    </c:title>
    <c:autoTitleDeleted val="0"/>
    <c:plotArea>
      <c:layout>
        <c:manualLayout>
          <c:layoutTarget val="inner"/>
          <c:xMode val="edge"/>
          <c:yMode val="edge"/>
          <c:x val="8.171212556670375E-2"/>
          <c:y val="7.6438476983894083E-2"/>
          <c:w val="0.86640836070287253"/>
          <c:h val="0.77750704068975485"/>
        </c:manualLayout>
      </c:layout>
      <c:scatterChart>
        <c:scatterStyle val="smoothMarker"/>
        <c:varyColors val="0"/>
        <c:ser>
          <c:idx val="1"/>
          <c:order val="0"/>
          <c:tx>
            <c:v>n*pH/14</c:v>
          </c:tx>
          <c:spPr>
            <a:ln w="12700">
              <a:solidFill>
                <a:srgbClr val="0000FF"/>
              </a:solidFill>
              <a:prstDash val="sysDash"/>
            </a:ln>
          </c:spPr>
          <c:marker>
            <c:symbol val="circle"/>
            <c:size val="4"/>
            <c:spPr>
              <a:noFill/>
              <a:ln>
                <a:solidFill>
                  <a:srgbClr val="0000FF"/>
                </a:solidFill>
                <a:prstDash val="solid"/>
              </a:ln>
            </c:spPr>
          </c:marker>
          <c:xVal>
            <c:numRef>
              <c:f>Distribution!$Y$12:$Y$135</c:f>
              <c:numCache>
                <c:formatCode>0.000</c:formatCode>
                <c:ptCount val="124"/>
                <c:pt idx="0">
                  <c:v>0</c:v>
                </c:pt>
                <c:pt idx="1">
                  <c:v>2.3004448812571354</c:v>
                </c:pt>
                <c:pt idx="2">
                  <c:v>4.3254298929241486</c:v>
                </c:pt>
                <c:pt idx="3">
                  <c:v>5.9982889695675112</c:v>
                </c:pt>
                <c:pt idx="4">
                  <c:v>7.2857926934375428</c:v>
                </c:pt>
                <c:pt idx="5">
                  <c:v>8.2150732792797498</c:v>
                </c:pt>
                <c:pt idx="6">
                  <c:v>8.852646873856429</c:v>
                </c:pt>
                <c:pt idx="7">
                  <c:v>9.2745251997257583</c:v>
                </c:pt>
                <c:pt idx="8">
                  <c:v>9.5472193221212365</c:v>
                </c:pt>
                <c:pt idx="9">
                  <c:v>9.7213898246991448</c:v>
                </c:pt>
                <c:pt idx="10">
                  <c:v>9.8327682426315732</c:v>
                </c:pt>
                <c:pt idx="11">
                  <c:v>9.9056407503667288</c:v>
                </c:pt>
                <c:pt idx="12">
                  <c:v>9.956512633652892</c:v>
                </c:pt>
                <c:pt idx="13">
                  <c:v>9.9971799951163121</c:v>
                </c:pt>
                <c:pt idx="14">
                  <c:v>10.037190483126324</c:v>
                </c:pt>
                <c:pt idx="15">
                  <c:v>10.085949620406609</c:v>
                </c:pt>
                <c:pt idx="16">
                  <c:v>10.154803957266267</c:v>
                </c:pt>
                <c:pt idx="17">
                  <c:v>10.259427917480934</c:v>
                </c:pt>
                <c:pt idx="18">
                  <c:v>10.422738817578647</c:v>
                </c:pt>
                <c:pt idx="19">
                  <c:v>10.678157336951699</c:v>
                </c:pt>
                <c:pt idx="20">
                  <c:v>11.071775054733735</c:v>
                </c:pt>
                <c:pt idx="21">
                  <c:v>11.659035268530715</c:v>
                </c:pt>
                <c:pt idx="22">
                  <c:v>12.487507292826194</c:v>
                </c:pt>
                <c:pt idx="23">
                  <c:v>13.560292513284367</c:v>
                </c:pt>
                <c:pt idx="24">
                  <c:v>14.799194350780454</c:v>
                </c:pt>
                <c:pt idx="25">
                  <c:v>16.054576211899985</c:v>
                </c:pt>
                <c:pt idx="26">
                  <c:v>17.173922529036645</c:v>
                </c:pt>
                <c:pt idx="27">
                  <c:v>18.068469061108772</c:v>
                </c:pt>
                <c:pt idx="28">
                  <c:v>18.725484058086295</c:v>
                </c:pt>
                <c:pt idx="29">
                  <c:v>19.179874857945833</c:v>
                </c:pt>
                <c:pt idx="30">
                  <c:v>19.48181740444852</c:v>
                </c:pt>
                <c:pt idx="31">
                  <c:v>19.677734184369911</c:v>
                </c:pt>
                <c:pt idx="32">
                  <c:v>19.803712518478278</c:v>
                </c:pt>
                <c:pt idx="33">
                  <c:v>19.885540132236201</c:v>
                </c:pt>
                <c:pt idx="34">
                  <c:v>19.941073826339561</c:v>
                </c:pt>
                <c:pt idx="35">
                  <c:v>19.982924718351569</c:v>
                </c:pt>
                <c:pt idx="36">
                  <c:v>20.020832466252614</c:v>
                </c:pt>
                <c:pt idx="37">
                  <c:v>20.063731157279108</c:v>
                </c:pt>
                <c:pt idx="38">
                  <c:v>20.121755062427837</c:v>
                </c:pt>
                <c:pt idx="39">
                  <c:v>20.208536063728388</c:v>
                </c:pt>
                <c:pt idx="40">
                  <c:v>20.344214436772745</c:v>
                </c:pt>
                <c:pt idx="41">
                  <c:v>20.55962798622204</c:v>
                </c:pt>
                <c:pt idx="42">
                  <c:v>20.902049214055296</c:v>
                </c:pt>
                <c:pt idx="43">
                  <c:v>21.442285725788679</c:v>
                </c:pt>
                <c:pt idx="44">
                  <c:v>22.281442677194718</c:v>
                </c:pt>
                <c:pt idx="45">
                  <c:v>23.553723619261291</c:v>
                </c:pt>
                <c:pt idx="46">
                  <c:v>25.425947584153619</c:v>
                </c:pt>
                <c:pt idx="47">
                  <c:v>28.122492051625159</c:v>
                </c:pt>
                <c:pt idx="48">
                  <c:v>32.065280988172162</c:v>
                </c:pt>
                <c:pt idx="49">
                  <c:v>38.31748273660196</c:v>
                </c:pt>
                <c:pt idx="50">
                  <c:v>49.999999998544808</c:v>
                </c:pt>
              </c:numCache>
            </c:numRef>
          </c:xVal>
          <c:yVal>
            <c:numRef>
              <c:f>Distribution!$BL$12:$BL$135</c:f>
              <c:numCache>
                <c:formatCode>0.000</c:formatCode>
                <c:ptCount val="124"/>
                <c:pt idx="0">
                  <c:v>-2.6106198685559412</c:v>
                </c:pt>
                <c:pt idx="1">
                  <c:v>-2.5645611755864528</c:v>
                </c:pt>
                <c:pt idx="2">
                  <c:v>-2.5186843672633952</c:v>
                </c:pt>
                <c:pt idx="3">
                  <c:v>-2.4730106268181116</c:v>
                </c:pt>
                <c:pt idx="4">
                  <c:v>-2.4275176935028844</c:v>
                </c:pt>
                <c:pt idx="5">
                  <c:v>-2.3821650050943401</c:v>
                </c:pt>
                <c:pt idx="6">
                  <c:v>-2.3369120052659147</c:v>
                </c:pt>
                <c:pt idx="7">
                  <c:v>-2.2917259972354302</c:v>
                </c:pt>
                <c:pt idx="8">
                  <c:v>-2.2465833151310779</c:v>
                </c:pt>
                <c:pt idx="9">
                  <c:v>-2.2014677576615513</c:v>
                </c:pt>
                <c:pt idx="10">
                  <c:v>-2.1563684504662364</c:v>
                </c:pt>
                <c:pt idx="11">
                  <c:v>-2.1112779532522583</c:v>
                </c:pt>
                <c:pt idx="12">
                  <c:v>-2.0661907658645045</c:v>
                </c:pt>
                <c:pt idx="13">
                  <c:v>-2.0211021379472043</c:v>
                </c:pt>
                <c:pt idx="14">
                  <c:v>-1.9760070172275044</c:v>
                </c:pt>
                <c:pt idx="15">
                  <c:v>-1.930898967174729</c:v>
                </c:pt>
                <c:pt idx="16">
                  <c:v>-1.8857689157789266</c:v>
                </c:pt>
                <c:pt idx="17">
                  <c:v>-1.8406037003454416</c:v>
                </c:pt>
                <c:pt idx="18">
                  <c:v>-1.7953846699668925</c:v>
                </c:pt>
                <c:pt idx="19">
                  <c:v>-1.7500873261855763</c:v>
                </c:pt>
                <c:pt idx="20">
                  <c:v>-1.7046843180983033</c:v>
                </c:pt>
                <c:pt idx="21">
                  <c:v>-1.6591553869865407</c:v>
                </c:pt>
                <c:pt idx="22">
                  <c:v>-1.6135055740688475</c:v>
                </c:pt>
                <c:pt idx="23">
                  <c:v>-1.5677817334572737</c:v>
                </c:pt>
                <c:pt idx="24">
                  <c:v>-1.5220649016001004</c:v>
                </c:pt>
                <c:pt idx="25">
                  <c:v>-1.4764327566642943</c:v>
                </c:pt>
                <c:pt idx="26">
                  <c:v>-1.4309251932656402</c:v>
                </c:pt>
                <c:pt idx="27">
                  <c:v>-1.3855417112795219</c:v>
                </c:pt>
                <c:pt idx="28">
                  <c:v>-1.3402597120183146</c:v>
                </c:pt>
                <c:pt idx="29">
                  <c:v>-1.2950517972316316</c:v>
                </c:pt>
                <c:pt idx="30">
                  <c:v>-1.2498943973408703</c:v>
                </c:pt>
                <c:pt idx="31">
                  <c:v>-1.2047699871083981</c:v>
                </c:pt>
                <c:pt idx="32">
                  <c:v>-1.159666447998662</c:v>
                </c:pt>
                <c:pt idx="33">
                  <c:v>-1.1145756643415605</c:v>
                </c:pt>
                <c:pt idx="34">
                  <c:v>-1.0694921859162512</c:v>
                </c:pt>
                <c:pt idx="35">
                  <c:v>-1.0244121642796651</c:v>
                </c:pt>
                <c:pt idx="36">
                  <c:v>-0.97933253122251385</c:v>
                </c:pt>
                <c:pt idx="37">
                  <c:v>-0.93425031808496417</c:v>
                </c:pt>
                <c:pt idx="38">
                  <c:v>-0.88916200528034839</c:v>
                </c:pt>
                <c:pt idx="39">
                  <c:v>-0.84406280426682745</c:v>
                </c:pt>
                <c:pt idx="40">
                  <c:v>-0.79894581636051187</c:v>
                </c:pt>
                <c:pt idx="41">
                  <c:v>-0.75380113701403806</c:v>
                </c:pt>
                <c:pt idx="42">
                  <c:v>-0.70861529867078987</c:v>
                </c:pt>
                <c:pt idx="43">
                  <c:v>-0.66337213401522588</c:v>
                </c:pt>
                <c:pt idx="44">
                  <c:v>-0.61805711719863732</c:v>
                </c:pt>
                <c:pt idx="45">
                  <c:v>-0.57266718024729268</c:v>
                </c:pt>
                <c:pt idx="46">
                  <c:v>-0.52722341630455771</c:v>
                </c:pt>
                <c:pt idx="47">
                  <c:v>-0.48177467714453703</c:v>
                </c:pt>
                <c:pt idx="48">
                  <c:v>-0.43638120727515162</c:v>
                </c:pt>
                <c:pt idx="49">
                  <c:v>-0.39109097194675879</c:v>
                </c:pt>
                <c:pt idx="50">
                  <c:v>-0.34593344236167578</c:v>
                </c:pt>
              </c:numCache>
            </c:numRef>
          </c:yVal>
          <c:smooth val="1"/>
          <c:extLst>
            <c:ext xmlns:c16="http://schemas.microsoft.com/office/drawing/2014/chart" uri="{C3380CC4-5D6E-409C-BE32-E72D297353CC}">
              <c16:uniqueId val="{00000000-7CAF-45F2-8844-7A932D3B9CB1}"/>
            </c:ext>
          </c:extLst>
        </c:ser>
        <c:ser>
          <c:idx val="2"/>
          <c:order val="1"/>
          <c:tx>
            <c:v>"mean charge"</c:v>
          </c:tx>
          <c:xVal>
            <c:numRef>
              <c:f>Distribution!$Y$12:$Y$135</c:f>
              <c:numCache>
                <c:formatCode>0.000</c:formatCode>
                <c:ptCount val="124"/>
                <c:pt idx="0">
                  <c:v>0</c:v>
                </c:pt>
                <c:pt idx="1">
                  <c:v>2.3004448812571354</c:v>
                </c:pt>
                <c:pt idx="2">
                  <c:v>4.3254298929241486</c:v>
                </c:pt>
                <c:pt idx="3">
                  <c:v>5.9982889695675112</c:v>
                </c:pt>
                <c:pt idx="4">
                  <c:v>7.2857926934375428</c:v>
                </c:pt>
                <c:pt idx="5">
                  <c:v>8.2150732792797498</c:v>
                </c:pt>
                <c:pt idx="6">
                  <c:v>8.852646873856429</c:v>
                </c:pt>
                <c:pt idx="7">
                  <c:v>9.2745251997257583</c:v>
                </c:pt>
                <c:pt idx="8">
                  <c:v>9.5472193221212365</c:v>
                </c:pt>
                <c:pt idx="9">
                  <c:v>9.7213898246991448</c:v>
                </c:pt>
                <c:pt idx="10">
                  <c:v>9.8327682426315732</c:v>
                </c:pt>
                <c:pt idx="11">
                  <c:v>9.9056407503667288</c:v>
                </c:pt>
                <c:pt idx="12">
                  <c:v>9.956512633652892</c:v>
                </c:pt>
                <c:pt idx="13">
                  <c:v>9.9971799951163121</c:v>
                </c:pt>
                <c:pt idx="14">
                  <c:v>10.037190483126324</c:v>
                </c:pt>
                <c:pt idx="15">
                  <c:v>10.085949620406609</c:v>
                </c:pt>
                <c:pt idx="16">
                  <c:v>10.154803957266267</c:v>
                </c:pt>
                <c:pt idx="17">
                  <c:v>10.259427917480934</c:v>
                </c:pt>
                <c:pt idx="18">
                  <c:v>10.422738817578647</c:v>
                </c:pt>
                <c:pt idx="19">
                  <c:v>10.678157336951699</c:v>
                </c:pt>
                <c:pt idx="20">
                  <c:v>11.071775054733735</c:v>
                </c:pt>
                <c:pt idx="21">
                  <c:v>11.659035268530715</c:v>
                </c:pt>
                <c:pt idx="22">
                  <c:v>12.487507292826194</c:v>
                </c:pt>
                <c:pt idx="23">
                  <c:v>13.560292513284367</c:v>
                </c:pt>
                <c:pt idx="24">
                  <c:v>14.799194350780454</c:v>
                </c:pt>
                <c:pt idx="25">
                  <c:v>16.054576211899985</c:v>
                </c:pt>
                <c:pt idx="26">
                  <c:v>17.173922529036645</c:v>
                </c:pt>
                <c:pt idx="27">
                  <c:v>18.068469061108772</c:v>
                </c:pt>
                <c:pt idx="28">
                  <c:v>18.725484058086295</c:v>
                </c:pt>
                <c:pt idx="29">
                  <c:v>19.179874857945833</c:v>
                </c:pt>
                <c:pt idx="30">
                  <c:v>19.48181740444852</c:v>
                </c:pt>
                <c:pt idx="31">
                  <c:v>19.677734184369911</c:v>
                </c:pt>
                <c:pt idx="32">
                  <c:v>19.803712518478278</c:v>
                </c:pt>
                <c:pt idx="33">
                  <c:v>19.885540132236201</c:v>
                </c:pt>
                <c:pt idx="34">
                  <c:v>19.941073826339561</c:v>
                </c:pt>
                <c:pt idx="35">
                  <c:v>19.982924718351569</c:v>
                </c:pt>
                <c:pt idx="36">
                  <c:v>20.020832466252614</c:v>
                </c:pt>
                <c:pt idx="37">
                  <c:v>20.063731157279108</c:v>
                </c:pt>
                <c:pt idx="38">
                  <c:v>20.121755062427837</c:v>
                </c:pt>
                <c:pt idx="39">
                  <c:v>20.208536063728388</c:v>
                </c:pt>
                <c:pt idx="40">
                  <c:v>20.344214436772745</c:v>
                </c:pt>
                <c:pt idx="41">
                  <c:v>20.55962798622204</c:v>
                </c:pt>
                <c:pt idx="42">
                  <c:v>20.902049214055296</c:v>
                </c:pt>
                <c:pt idx="43">
                  <c:v>21.442285725788679</c:v>
                </c:pt>
                <c:pt idx="44">
                  <c:v>22.281442677194718</c:v>
                </c:pt>
                <c:pt idx="45">
                  <c:v>23.553723619261291</c:v>
                </c:pt>
                <c:pt idx="46">
                  <c:v>25.425947584153619</c:v>
                </c:pt>
                <c:pt idx="47">
                  <c:v>28.122492051625159</c:v>
                </c:pt>
                <c:pt idx="48">
                  <c:v>32.065280988172162</c:v>
                </c:pt>
                <c:pt idx="49">
                  <c:v>38.31748273660196</c:v>
                </c:pt>
                <c:pt idx="50">
                  <c:v>49.999999998544808</c:v>
                </c:pt>
              </c:numCache>
            </c:numRef>
          </c:xVal>
          <c:yVal>
            <c:numRef>
              <c:f>Distribution!$BK$12:$BK$135</c:f>
              <c:numCache>
                <c:formatCode>0.000</c:formatCode>
                <c:ptCount val="124"/>
                <c:pt idx="0">
                  <c:v>-0.388743136116382</c:v>
                </c:pt>
                <c:pt idx="1">
                  <c:v>-0.51058472184929871</c:v>
                </c:pt>
                <c:pt idx="2">
                  <c:v>-0.63073281061916431</c:v>
                </c:pt>
                <c:pt idx="3">
                  <c:v>-0.73619025523770976</c:v>
                </c:pt>
                <c:pt idx="4">
                  <c:v>-0.81985585560132668</c:v>
                </c:pt>
                <c:pt idx="5">
                  <c:v>-0.88114962828202703</c:v>
                </c:pt>
                <c:pt idx="6">
                  <c:v>-0.92352738596345985</c:v>
                </c:pt>
                <c:pt idx="7">
                  <c:v>-0.95170847988086971</c:v>
                </c:pt>
                <c:pt idx="8">
                  <c:v>-0.9700250423571819</c:v>
                </c:pt>
                <c:pt idx="9">
                  <c:v>-0.98184618344095576</c:v>
                </c:pt>
                <c:pt idx="10">
                  <c:v>-0.98958934922563779</c:v>
                </c:pt>
                <c:pt idx="11">
                  <c:v>-0.99494370427564016</c:v>
                </c:pt>
                <c:pt idx="12">
                  <c:v>-0.9991245010530081</c:v>
                </c:pt>
                <c:pt idx="13">
                  <c:v>-1.0031013766506645</c:v>
                </c:pt>
                <c:pt idx="14">
                  <c:v>-1.0078006810660949</c:v>
                </c:pt>
                <c:pt idx="15">
                  <c:v>-1.0143026438794827</c:v>
                </c:pt>
                <c:pt idx="16">
                  <c:v>-1.0240573624258844</c:v>
                </c:pt>
                <c:pt idx="17">
                  <c:v>-1.0391326124601137</c:v>
                </c:pt>
                <c:pt idx="18">
                  <c:v>-1.0624691121905314</c:v>
                </c:pt>
                <c:pt idx="19">
                  <c:v>-1.0980264004818903</c:v>
                </c:pt>
                <c:pt idx="20">
                  <c:v>-1.1505252544872762</c:v>
                </c:pt>
                <c:pt idx="21">
                  <c:v>-1.2242867568557192</c:v>
                </c:pt>
                <c:pt idx="22">
                  <c:v>-1.3207868919442154</c:v>
                </c:pt>
                <c:pt idx="23">
                  <c:v>-1.4356707819483665</c:v>
                </c:pt>
                <c:pt idx="24">
                  <c:v>-1.5578779915468577</c:v>
                </c:pt>
                <c:pt idx="25">
                  <c:v>-1.6732589936421691</c:v>
                </c:pt>
                <c:pt idx="26">
                  <c:v>-1.7706692743334371</c:v>
                </c:pt>
                <c:pt idx="27">
                  <c:v>-1.8455428731802825</c:v>
                </c:pt>
                <c:pt idx="28">
                  <c:v>-1.8991099986224254</c:v>
                </c:pt>
                <c:pt idx="29">
                  <c:v>-1.9355357026294384</c:v>
                </c:pt>
                <c:pt idx="30">
                  <c:v>-1.9594957287004071</c:v>
                </c:pt>
                <c:pt idx="31">
                  <c:v>-1.9749687709704644</c:v>
                </c:pt>
                <c:pt idx="32">
                  <c:v>-1.9849310857075295</c:v>
                </c:pt>
                <c:pt idx="33">
                  <c:v>-1.9914748099124293</c:v>
                </c:pt>
                <c:pt idx="34">
                  <c:v>-1.9960501657717467</c:v>
                </c:pt>
                <c:pt idx="35">
                  <c:v>-1.9997050501534925</c:v>
                </c:pt>
                <c:pt idx="36">
                  <c:v>-2.0032909711251126</c:v>
                </c:pt>
                <c:pt idx="37">
                  <c:v>-2.0076444936622782</c:v>
                </c:pt>
                <c:pt idx="38">
                  <c:v>-2.0137665934408249</c:v>
                </c:pt>
                <c:pt idx="39">
                  <c:v>-2.0230231109391164</c:v>
                </c:pt>
                <c:pt idx="40">
                  <c:v>-2.0373788851737866</c:v>
                </c:pt>
                <c:pt idx="41">
                  <c:v>-2.0596438858541561</c:v>
                </c:pt>
                <c:pt idx="42">
                  <c:v>-2.093625130324094</c:v>
                </c:pt>
                <c:pt idx="43">
                  <c:v>-2.1439160400274551</c:v>
                </c:pt>
                <c:pt idx="44">
                  <c:v>-2.2148622640167925</c:v>
                </c:pt>
                <c:pt idx="45">
                  <c:v>-2.3083204548287757</c:v>
                </c:pt>
                <c:pt idx="46">
                  <c:v>-2.4207712980247509</c:v>
                </c:pt>
                <c:pt idx="47">
                  <c:v>-2.5420966673414052</c:v>
                </c:pt>
                <c:pt idx="48">
                  <c:v>-2.6584897984438367</c:v>
                </c:pt>
                <c:pt idx="49">
                  <c:v>-2.7582740972427038</c:v>
                </c:pt>
                <c:pt idx="50">
                  <c:v>-2.8359613218339979</c:v>
                </c:pt>
              </c:numCache>
            </c:numRef>
          </c:yVal>
          <c:smooth val="1"/>
          <c:extLst>
            <c:ext xmlns:c16="http://schemas.microsoft.com/office/drawing/2014/chart" uri="{C3380CC4-5D6E-409C-BE32-E72D297353CC}">
              <c16:uniqueId val="{00000001-7CAF-45F2-8844-7A932D3B9CB1}"/>
            </c:ext>
          </c:extLst>
        </c:ser>
        <c:dLbls>
          <c:showLegendKey val="0"/>
          <c:showVal val="0"/>
          <c:showCatName val="0"/>
          <c:showSerName val="0"/>
          <c:showPercent val="0"/>
          <c:showBubbleSize val="0"/>
        </c:dLbls>
        <c:axId val="392155504"/>
        <c:axId val="392156592"/>
      </c:scatterChart>
      <c:valAx>
        <c:axId val="392155504"/>
        <c:scaling>
          <c:orientation val="minMax"/>
        </c:scaling>
        <c:delete val="0"/>
        <c:axPos val="b"/>
        <c:majorGridlines/>
        <c:title>
          <c:tx>
            <c:rich>
              <a:bodyPr/>
              <a:lstStyle/>
              <a:p>
                <a:pPr>
                  <a:defRPr sz="1200" b="1" i="0" u="none" strike="noStrike" baseline="0">
                    <a:solidFill>
                      <a:srgbClr val="000000"/>
                    </a:solidFill>
                    <a:latin typeface="Arial"/>
                    <a:ea typeface="Arial"/>
                    <a:cs typeface="Arial"/>
                  </a:defRPr>
                </a:pPr>
                <a:r>
                  <a:rPr lang="pt-BR"/>
                  <a:t>Volume (mL)</a:t>
                </a:r>
              </a:p>
            </c:rich>
          </c:tx>
          <c:layout>
            <c:manualLayout>
              <c:xMode val="edge"/>
              <c:yMode val="edge"/>
              <c:x val="0.45492112314086391"/>
              <c:y val="0.93235652112828959"/>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nl-NL"/>
          </a:p>
        </c:txPr>
        <c:crossAx val="392156592"/>
        <c:crossesAt val="-6"/>
        <c:crossBetween val="midCat"/>
      </c:valAx>
      <c:valAx>
        <c:axId val="392156592"/>
        <c:scaling>
          <c:orientation val="minMax"/>
        </c:scaling>
        <c:delete val="0"/>
        <c:axPos val="l"/>
        <c:majorGridlines>
          <c:spPr>
            <a:ln w="3175">
              <a:solidFill>
                <a:srgbClr val="000000"/>
              </a:solidFill>
              <a:prstDash val="solid"/>
            </a:ln>
          </c:spPr>
        </c:majorGridlines>
        <c:title>
          <c:tx>
            <c:rich>
              <a:bodyPr/>
              <a:lstStyle/>
              <a:p>
                <a:pPr>
                  <a:defRPr sz="1050" b="1" i="0" u="none" strike="noStrike" baseline="0">
                    <a:solidFill>
                      <a:srgbClr val="000000"/>
                    </a:solidFill>
                    <a:latin typeface="Arial"/>
                    <a:ea typeface="Arial"/>
                    <a:cs typeface="Arial"/>
                  </a:defRPr>
                </a:pPr>
                <a:r>
                  <a:rPr lang="pt-BR"/>
                  <a:t>charge</a:t>
                </a:r>
              </a:p>
            </c:rich>
          </c:tx>
          <c:layout>
            <c:manualLayout>
              <c:xMode val="edge"/>
              <c:yMode val="edge"/>
              <c:x val="1.0564031058617959E-2"/>
              <c:y val="0.38141860004726658"/>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nl-NL"/>
          </a:p>
        </c:txPr>
        <c:crossAx val="392155504"/>
        <c:crosses val="autoZero"/>
        <c:crossBetween val="midCat"/>
      </c:valAx>
      <c:spPr>
        <a:noFill/>
        <a:ln w="12700">
          <a:solidFill>
            <a:schemeClr val="tx1"/>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0.98425196899999956" l="0.78740157499999996" r="0.78740157499999996" t="0.98425196899999956" header="0.49212598500001142" footer="0.49212598500001142"/>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284643026247717E-2"/>
          <c:y val="7.5000091552848702E-2"/>
          <c:w val="0.88008225573789656"/>
          <c:h val="0.81041424425376918"/>
        </c:manualLayout>
      </c:layout>
      <c:scatterChart>
        <c:scatterStyle val="smoothMarker"/>
        <c:varyColors val="0"/>
        <c:ser>
          <c:idx val="1"/>
          <c:order val="0"/>
          <c:tx>
            <c:v>1st derivatives</c:v>
          </c:tx>
          <c:spPr>
            <a:ln w="25400">
              <a:solidFill>
                <a:srgbClr val="FF0000"/>
              </a:solidFill>
              <a:prstDash val="solid"/>
            </a:ln>
          </c:spPr>
          <c:marker>
            <c:symbol val="none"/>
          </c:marker>
          <c:xVal>
            <c:numRef>
              <c:f>Fosforzuurbepaling!$T$6:$T$306</c:f>
              <c:numCache>
                <c:formatCode>0.0000</c:formatCode>
                <c:ptCount val="301"/>
                <c:pt idx="0">
                  <c:v>2.4</c:v>
                </c:pt>
                <c:pt idx="1">
                  <c:v>2.4963333333333333</c:v>
                </c:pt>
                <c:pt idx="2">
                  <c:v>2.5926666666666667</c:v>
                </c:pt>
                <c:pt idx="3">
                  <c:v>2.6890000000000001</c:v>
                </c:pt>
                <c:pt idx="4">
                  <c:v>2.7853333333333334</c:v>
                </c:pt>
                <c:pt idx="5">
                  <c:v>2.8816666666666668</c:v>
                </c:pt>
                <c:pt idx="6">
                  <c:v>2.9779999999999998</c:v>
                </c:pt>
                <c:pt idx="7">
                  <c:v>3.0743333333333331</c:v>
                </c:pt>
                <c:pt idx="8">
                  <c:v>3.1706666666666665</c:v>
                </c:pt>
                <c:pt idx="9">
                  <c:v>3.2669999999999999</c:v>
                </c:pt>
                <c:pt idx="10">
                  <c:v>3.3633333333333333</c:v>
                </c:pt>
                <c:pt idx="11">
                  <c:v>3.4596666666666667</c:v>
                </c:pt>
                <c:pt idx="12">
                  <c:v>3.556</c:v>
                </c:pt>
                <c:pt idx="13">
                  <c:v>3.6523333333333334</c:v>
                </c:pt>
                <c:pt idx="14">
                  <c:v>3.7486666666666668</c:v>
                </c:pt>
                <c:pt idx="15">
                  <c:v>3.8449999999999998</c:v>
                </c:pt>
                <c:pt idx="16">
                  <c:v>3.9413333333333336</c:v>
                </c:pt>
                <c:pt idx="17">
                  <c:v>4.0376666666666665</c:v>
                </c:pt>
                <c:pt idx="18">
                  <c:v>4.1340000000000003</c:v>
                </c:pt>
                <c:pt idx="19">
                  <c:v>4.2303333333333333</c:v>
                </c:pt>
                <c:pt idx="20">
                  <c:v>4.3266666666666662</c:v>
                </c:pt>
                <c:pt idx="21">
                  <c:v>4.423</c:v>
                </c:pt>
                <c:pt idx="22">
                  <c:v>4.5193333333333339</c:v>
                </c:pt>
                <c:pt idx="23">
                  <c:v>4.6156666666666668</c:v>
                </c:pt>
                <c:pt idx="24">
                  <c:v>4.7119999999999997</c:v>
                </c:pt>
                <c:pt idx="25">
                  <c:v>4.8083333333333336</c:v>
                </c:pt>
                <c:pt idx="26">
                  <c:v>4.9046666666666674</c:v>
                </c:pt>
                <c:pt idx="27">
                  <c:v>5.0009999999999994</c:v>
                </c:pt>
                <c:pt idx="28">
                  <c:v>5.0973333333333333</c:v>
                </c:pt>
                <c:pt idx="29">
                  <c:v>5.1936666666666671</c:v>
                </c:pt>
                <c:pt idx="30">
                  <c:v>5.29</c:v>
                </c:pt>
                <c:pt idx="31">
                  <c:v>5.386333333333333</c:v>
                </c:pt>
                <c:pt idx="32">
                  <c:v>5.4826666666666668</c:v>
                </c:pt>
                <c:pt idx="33">
                  <c:v>5.5790000000000006</c:v>
                </c:pt>
                <c:pt idx="34">
                  <c:v>5.6753333333333336</c:v>
                </c:pt>
                <c:pt idx="35">
                  <c:v>5.7716666666666665</c:v>
                </c:pt>
                <c:pt idx="36">
                  <c:v>5.8680000000000003</c:v>
                </c:pt>
                <c:pt idx="37">
                  <c:v>5.9643333333333342</c:v>
                </c:pt>
                <c:pt idx="38">
                  <c:v>6.0606666666666662</c:v>
                </c:pt>
                <c:pt idx="39">
                  <c:v>6.157</c:v>
                </c:pt>
                <c:pt idx="40">
                  <c:v>6.2533333333333339</c:v>
                </c:pt>
                <c:pt idx="41">
                  <c:v>6.3496666666666668</c:v>
                </c:pt>
                <c:pt idx="42">
                  <c:v>6.4459999999999997</c:v>
                </c:pt>
                <c:pt idx="43">
                  <c:v>6.5423333333333336</c:v>
                </c:pt>
                <c:pt idx="44">
                  <c:v>6.6386666666666674</c:v>
                </c:pt>
                <c:pt idx="45">
                  <c:v>6.7349999999999994</c:v>
                </c:pt>
                <c:pt idx="46">
                  <c:v>6.8313333333333333</c:v>
                </c:pt>
                <c:pt idx="47">
                  <c:v>6.9276666666666671</c:v>
                </c:pt>
                <c:pt idx="48">
                  <c:v>7.0240000000000009</c:v>
                </c:pt>
                <c:pt idx="49">
                  <c:v>7.120333333333333</c:v>
                </c:pt>
                <c:pt idx="50">
                  <c:v>7.2166666666666668</c:v>
                </c:pt>
                <c:pt idx="51">
                  <c:v>7.3130000000000006</c:v>
                </c:pt>
                <c:pt idx="52">
                  <c:v>7.4093333333333344</c:v>
                </c:pt>
                <c:pt idx="53">
                  <c:v>7.5056666666666665</c:v>
                </c:pt>
                <c:pt idx="54">
                  <c:v>7.6020000000000003</c:v>
                </c:pt>
                <c:pt idx="55">
                  <c:v>7.6983333333333341</c:v>
                </c:pt>
                <c:pt idx="56">
                  <c:v>7.7946666666666662</c:v>
                </c:pt>
                <c:pt idx="57">
                  <c:v>7.891</c:v>
                </c:pt>
                <c:pt idx="58">
                  <c:v>7.9873333333333338</c:v>
                </c:pt>
                <c:pt idx="59">
                  <c:v>8.0836666666666677</c:v>
                </c:pt>
                <c:pt idx="60">
                  <c:v>8.18</c:v>
                </c:pt>
                <c:pt idx="61">
                  <c:v>8.2763333333333335</c:v>
                </c:pt>
                <c:pt idx="62">
                  <c:v>8.3726666666666674</c:v>
                </c:pt>
                <c:pt idx="63">
                  <c:v>8.4690000000000012</c:v>
                </c:pt>
                <c:pt idx="64">
                  <c:v>8.5653333333333332</c:v>
                </c:pt>
                <c:pt idx="65">
                  <c:v>8.6616666666666671</c:v>
                </c:pt>
                <c:pt idx="66">
                  <c:v>8.7580000000000009</c:v>
                </c:pt>
                <c:pt idx="67">
                  <c:v>8.8543333333333329</c:v>
                </c:pt>
                <c:pt idx="68">
                  <c:v>8.9506666666666668</c:v>
                </c:pt>
                <c:pt idx="69">
                  <c:v>9.0470000000000006</c:v>
                </c:pt>
                <c:pt idx="70">
                  <c:v>9.1433333333333344</c:v>
                </c:pt>
                <c:pt idx="71">
                  <c:v>9.2396666666666665</c:v>
                </c:pt>
                <c:pt idx="72">
                  <c:v>9.3360000000000003</c:v>
                </c:pt>
                <c:pt idx="73">
                  <c:v>9.4323333333333341</c:v>
                </c:pt>
                <c:pt idx="74">
                  <c:v>9.528666666666668</c:v>
                </c:pt>
                <c:pt idx="75">
                  <c:v>9.625</c:v>
                </c:pt>
                <c:pt idx="76">
                  <c:v>9.7213333333333338</c:v>
                </c:pt>
                <c:pt idx="77">
                  <c:v>9.8176666666666677</c:v>
                </c:pt>
                <c:pt idx="78">
                  <c:v>9.9139999999999997</c:v>
                </c:pt>
                <c:pt idx="79">
                  <c:v>10.010333333333334</c:v>
                </c:pt>
                <c:pt idx="80">
                  <c:v>10.106666666666667</c:v>
                </c:pt>
                <c:pt idx="81">
                  <c:v>10.203000000000001</c:v>
                </c:pt>
                <c:pt idx="82">
                  <c:v>10.299333333333333</c:v>
                </c:pt>
                <c:pt idx="83">
                  <c:v>10.395666666666667</c:v>
                </c:pt>
                <c:pt idx="84">
                  <c:v>10.492000000000001</c:v>
                </c:pt>
                <c:pt idx="85">
                  <c:v>10.588333333333335</c:v>
                </c:pt>
                <c:pt idx="86">
                  <c:v>10.684666666666667</c:v>
                </c:pt>
                <c:pt idx="87">
                  <c:v>10.781000000000001</c:v>
                </c:pt>
                <c:pt idx="88">
                  <c:v>10.877333333333334</c:v>
                </c:pt>
                <c:pt idx="89">
                  <c:v>10.973666666666668</c:v>
                </c:pt>
                <c:pt idx="90">
                  <c:v>11.07</c:v>
                </c:pt>
                <c:pt idx="91">
                  <c:v>11.166333333333334</c:v>
                </c:pt>
                <c:pt idx="92">
                  <c:v>11.262666666666668</c:v>
                </c:pt>
                <c:pt idx="93">
                  <c:v>11.359000000000002</c:v>
                </c:pt>
                <c:pt idx="94">
                  <c:v>11.455333333333334</c:v>
                </c:pt>
                <c:pt idx="95">
                  <c:v>11.551666666666668</c:v>
                </c:pt>
                <c:pt idx="96">
                  <c:v>11.648000000000001</c:v>
                </c:pt>
                <c:pt idx="97">
                  <c:v>11.744333333333334</c:v>
                </c:pt>
                <c:pt idx="98">
                  <c:v>11.840666666666667</c:v>
                </c:pt>
                <c:pt idx="99">
                  <c:v>11.937000000000001</c:v>
                </c:pt>
                <c:pt idx="100">
                  <c:v>12.033333333333335</c:v>
                </c:pt>
                <c:pt idx="101">
                  <c:v>12.129666666666667</c:v>
                </c:pt>
                <c:pt idx="102">
                  <c:v>12.226000000000001</c:v>
                </c:pt>
                <c:pt idx="103">
                  <c:v>12.322333333333335</c:v>
                </c:pt>
                <c:pt idx="104">
                  <c:v>12.418666666666669</c:v>
                </c:pt>
                <c:pt idx="105">
                  <c:v>12.515000000000001</c:v>
                </c:pt>
                <c:pt idx="106">
                  <c:v>12.611333333333334</c:v>
                </c:pt>
                <c:pt idx="107">
                  <c:v>12.707666666666668</c:v>
                </c:pt>
                <c:pt idx="108">
                  <c:v>12.804</c:v>
                </c:pt>
                <c:pt idx="109">
                  <c:v>12.900333333333334</c:v>
                </c:pt>
                <c:pt idx="110">
                  <c:v>12.996666666666668</c:v>
                </c:pt>
                <c:pt idx="111">
                  <c:v>13.093000000000002</c:v>
                </c:pt>
                <c:pt idx="112">
                  <c:v>13.189333333333334</c:v>
                </c:pt>
                <c:pt idx="113">
                  <c:v>13.285666666666668</c:v>
                </c:pt>
                <c:pt idx="114">
                  <c:v>13.382000000000001</c:v>
                </c:pt>
                <c:pt idx="115">
                  <c:v>13.478333333333335</c:v>
                </c:pt>
                <c:pt idx="116">
                  <c:v>13.574666666666667</c:v>
                </c:pt>
                <c:pt idx="117">
                  <c:v>13.671000000000001</c:v>
                </c:pt>
                <c:pt idx="118">
                  <c:v>13.767333333333335</c:v>
                </c:pt>
                <c:pt idx="119">
                  <c:v>13.863666666666667</c:v>
                </c:pt>
                <c:pt idx="120">
                  <c:v>13.96</c:v>
                </c:pt>
                <c:pt idx="121">
                  <c:v>14.056333333333335</c:v>
                </c:pt>
                <c:pt idx="122">
                  <c:v>14.152666666666669</c:v>
                </c:pt>
                <c:pt idx="123">
                  <c:v>14.249000000000001</c:v>
                </c:pt>
                <c:pt idx="124">
                  <c:v>14.345333333333334</c:v>
                </c:pt>
                <c:pt idx="125">
                  <c:v>14.441666666666668</c:v>
                </c:pt>
                <c:pt idx="126">
                  <c:v>14.538000000000002</c:v>
                </c:pt>
                <c:pt idx="127">
                  <c:v>14.634333333333334</c:v>
                </c:pt>
                <c:pt idx="128">
                  <c:v>14.730666666666668</c:v>
                </c:pt>
                <c:pt idx="129">
                  <c:v>14.827000000000002</c:v>
                </c:pt>
                <c:pt idx="130">
                  <c:v>14.923333333333334</c:v>
                </c:pt>
                <c:pt idx="131">
                  <c:v>15.019666666666668</c:v>
                </c:pt>
                <c:pt idx="132">
                  <c:v>15.116000000000001</c:v>
                </c:pt>
                <c:pt idx="133">
                  <c:v>15.212333333333335</c:v>
                </c:pt>
                <c:pt idx="134">
                  <c:v>15.308666666666667</c:v>
                </c:pt>
                <c:pt idx="135">
                  <c:v>15.405000000000001</c:v>
                </c:pt>
                <c:pt idx="136">
                  <c:v>15.501333333333335</c:v>
                </c:pt>
                <c:pt idx="137">
                  <c:v>15.597666666666669</c:v>
                </c:pt>
                <c:pt idx="138">
                  <c:v>15.694000000000001</c:v>
                </c:pt>
                <c:pt idx="139">
                  <c:v>15.790333333333335</c:v>
                </c:pt>
                <c:pt idx="140">
                  <c:v>15.886666666666668</c:v>
                </c:pt>
                <c:pt idx="141">
                  <c:v>15.983000000000001</c:v>
                </c:pt>
                <c:pt idx="142">
                  <c:v>16.079333333333334</c:v>
                </c:pt>
                <c:pt idx="143">
                  <c:v>16.175666666666668</c:v>
                </c:pt>
                <c:pt idx="144">
                  <c:v>16.272000000000002</c:v>
                </c:pt>
                <c:pt idx="145">
                  <c:v>16.368333333333332</c:v>
                </c:pt>
                <c:pt idx="146">
                  <c:v>16.464666666666666</c:v>
                </c:pt>
                <c:pt idx="147">
                  <c:v>16.561</c:v>
                </c:pt>
                <c:pt idx="148">
                  <c:v>16.657333333333334</c:v>
                </c:pt>
                <c:pt idx="149">
                  <c:v>16.753666666666668</c:v>
                </c:pt>
                <c:pt idx="150">
                  <c:v>16.850000000000001</c:v>
                </c:pt>
                <c:pt idx="151">
                  <c:v>16.946333333333335</c:v>
                </c:pt>
                <c:pt idx="152">
                  <c:v>17.042666666666666</c:v>
                </c:pt>
                <c:pt idx="153">
                  <c:v>17.138999999999999</c:v>
                </c:pt>
                <c:pt idx="154">
                  <c:v>17.235333333333333</c:v>
                </c:pt>
                <c:pt idx="155">
                  <c:v>17.331666666666667</c:v>
                </c:pt>
                <c:pt idx="156">
                  <c:v>17.428000000000001</c:v>
                </c:pt>
                <c:pt idx="157">
                  <c:v>17.524333333333335</c:v>
                </c:pt>
                <c:pt idx="158">
                  <c:v>17.620666666666668</c:v>
                </c:pt>
                <c:pt idx="159">
                  <c:v>17.717000000000002</c:v>
                </c:pt>
                <c:pt idx="160">
                  <c:v>17.813333333333333</c:v>
                </c:pt>
                <c:pt idx="161">
                  <c:v>17.909666666666666</c:v>
                </c:pt>
                <c:pt idx="162">
                  <c:v>18.006</c:v>
                </c:pt>
                <c:pt idx="163">
                  <c:v>18.102333333333334</c:v>
                </c:pt>
                <c:pt idx="164">
                  <c:v>18.198666666666668</c:v>
                </c:pt>
                <c:pt idx="165">
                  <c:v>18.295000000000002</c:v>
                </c:pt>
                <c:pt idx="166">
                  <c:v>18.391333333333336</c:v>
                </c:pt>
                <c:pt idx="167">
                  <c:v>18.487666666666666</c:v>
                </c:pt>
                <c:pt idx="168">
                  <c:v>18.584</c:v>
                </c:pt>
                <c:pt idx="169">
                  <c:v>18.680333333333333</c:v>
                </c:pt>
                <c:pt idx="170">
                  <c:v>18.776666666666667</c:v>
                </c:pt>
                <c:pt idx="171">
                  <c:v>18.873000000000001</c:v>
                </c:pt>
                <c:pt idx="172">
                  <c:v>18.969333333333331</c:v>
                </c:pt>
                <c:pt idx="173">
                  <c:v>19.065666666666665</c:v>
                </c:pt>
                <c:pt idx="174">
                  <c:v>19.161999999999999</c:v>
                </c:pt>
                <c:pt idx="175">
                  <c:v>19.258333333333333</c:v>
                </c:pt>
                <c:pt idx="176">
                  <c:v>19.354666666666667</c:v>
                </c:pt>
                <c:pt idx="177">
                  <c:v>19.451000000000001</c:v>
                </c:pt>
                <c:pt idx="178">
                  <c:v>19.547333333333334</c:v>
                </c:pt>
                <c:pt idx="179">
                  <c:v>19.643666666666668</c:v>
                </c:pt>
                <c:pt idx="180">
                  <c:v>19.739999999999998</c:v>
                </c:pt>
                <c:pt idx="181">
                  <c:v>19.836333333333332</c:v>
                </c:pt>
                <c:pt idx="182">
                  <c:v>19.932666666666666</c:v>
                </c:pt>
                <c:pt idx="183">
                  <c:v>20.029</c:v>
                </c:pt>
                <c:pt idx="184">
                  <c:v>20.125333333333334</c:v>
                </c:pt>
                <c:pt idx="185">
                  <c:v>20.221666666666668</c:v>
                </c:pt>
                <c:pt idx="186">
                  <c:v>20.318000000000001</c:v>
                </c:pt>
                <c:pt idx="187">
                  <c:v>20.414333333333332</c:v>
                </c:pt>
                <c:pt idx="188">
                  <c:v>20.510666666666665</c:v>
                </c:pt>
                <c:pt idx="189">
                  <c:v>20.606999999999999</c:v>
                </c:pt>
                <c:pt idx="190">
                  <c:v>20.703333333333333</c:v>
                </c:pt>
                <c:pt idx="191">
                  <c:v>20.799666666666667</c:v>
                </c:pt>
                <c:pt idx="192">
                  <c:v>20.896000000000001</c:v>
                </c:pt>
                <c:pt idx="193">
                  <c:v>20.992333333333335</c:v>
                </c:pt>
                <c:pt idx="194">
                  <c:v>21.088666666666665</c:v>
                </c:pt>
                <c:pt idx="195">
                  <c:v>21.184999999999999</c:v>
                </c:pt>
                <c:pt idx="196">
                  <c:v>21.281333333333333</c:v>
                </c:pt>
                <c:pt idx="197">
                  <c:v>21.377666666666666</c:v>
                </c:pt>
                <c:pt idx="198">
                  <c:v>21.474</c:v>
                </c:pt>
                <c:pt idx="199">
                  <c:v>21.570333333333334</c:v>
                </c:pt>
                <c:pt idx="200">
                  <c:v>21.666666666666668</c:v>
                </c:pt>
                <c:pt idx="201">
                  <c:v>21.763000000000002</c:v>
                </c:pt>
                <c:pt idx="202">
                  <c:v>21.859333333333332</c:v>
                </c:pt>
                <c:pt idx="203">
                  <c:v>21.955666666666666</c:v>
                </c:pt>
                <c:pt idx="204">
                  <c:v>22.052</c:v>
                </c:pt>
                <c:pt idx="205">
                  <c:v>22.148333333333333</c:v>
                </c:pt>
                <c:pt idx="206">
                  <c:v>22.244666666666667</c:v>
                </c:pt>
                <c:pt idx="207">
                  <c:v>22.341000000000001</c:v>
                </c:pt>
                <c:pt idx="208">
                  <c:v>22.437333333333335</c:v>
                </c:pt>
                <c:pt idx="209">
                  <c:v>22.533666666666665</c:v>
                </c:pt>
                <c:pt idx="210">
                  <c:v>22.63</c:v>
                </c:pt>
                <c:pt idx="211">
                  <c:v>22.726333333333333</c:v>
                </c:pt>
                <c:pt idx="212">
                  <c:v>22.822666666666667</c:v>
                </c:pt>
                <c:pt idx="213">
                  <c:v>22.919</c:v>
                </c:pt>
                <c:pt idx="214">
                  <c:v>23.015333333333334</c:v>
                </c:pt>
                <c:pt idx="215">
                  <c:v>23.111666666666668</c:v>
                </c:pt>
                <c:pt idx="216">
                  <c:v>23.207999999999998</c:v>
                </c:pt>
                <c:pt idx="217">
                  <c:v>23.304333333333332</c:v>
                </c:pt>
                <c:pt idx="218">
                  <c:v>23.400666666666666</c:v>
                </c:pt>
                <c:pt idx="219">
                  <c:v>23.497</c:v>
                </c:pt>
                <c:pt idx="220">
                  <c:v>23.593333333333334</c:v>
                </c:pt>
                <c:pt idx="221">
                  <c:v>23.689666666666668</c:v>
                </c:pt>
                <c:pt idx="222">
                  <c:v>23.786000000000001</c:v>
                </c:pt>
                <c:pt idx="223">
                  <c:v>23.882333333333335</c:v>
                </c:pt>
                <c:pt idx="224">
                  <c:v>23.978666666666665</c:v>
                </c:pt>
                <c:pt idx="225">
                  <c:v>24.074999999999999</c:v>
                </c:pt>
                <c:pt idx="226">
                  <c:v>24.171333333333333</c:v>
                </c:pt>
                <c:pt idx="227">
                  <c:v>24.267666666666667</c:v>
                </c:pt>
                <c:pt idx="228">
                  <c:v>24.364000000000001</c:v>
                </c:pt>
                <c:pt idx="229">
                  <c:v>24.460333333333335</c:v>
                </c:pt>
                <c:pt idx="230">
                  <c:v>24.556666666666668</c:v>
                </c:pt>
                <c:pt idx="231">
                  <c:v>24.652999999999999</c:v>
                </c:pt>
                <c:pt idx="232">
                  <c:v>24.749333333333333</c:v>
                </c:pt>
                <c:pt idx="233">
                  <c:v>24.845666666666666</c:v>
                </c:pt>
                <c:pt idx="234">
                  <c:v>24.942</c:v>
                </c:pt>
                <c:pt idx="235">
                  <c:v>25.038333333333334</c:v>
                </c:pt>
                <c:pt idx="236">
                  <c:v>25.134666666666668</c:v>
                </c:pt>
                <c:pt idx="237">
                  <c:v>25.231000000000002</c:v>
                </c:pt>
                <c:pt idx="238">
                  <c:v>25.327333333333332</c:v>
                </c:pt>
                <c:pt idx="239">
                  <c:v>25.423666666666666</c:v>
                </c:pt>
                <c:pt idx="240">
                  <c:v>25.52</c:v>
                </c:pt>
                <c:pt idx="241">
                  <c:v>25.616333333333333</c:v>
                </c:pt>
                <c:pt idx="242">
                  <c:v>25.712666666666667</c:v>
                </c:pt>
                <c:pt idx="243">
                  <c:v>25.809000000000001</c:v>
                </c:pt>
                <c:pt idx="244">
                  <c:v>25.905333333333335</c:v>
                </c:pt>
                <c:pt idx="245">
                  <c:v>26.001666666666669</c:v>
                </c:pt>
                <c:pt idx="246">
                  <c:v>26.097999999999999</c:v>
                </c:pt>
                <c:pt idx="247">
                  <c:v>26.194333333333333</c:v>
                </c:pt>
                <c:pt idx="248">
                  <c:v>26.290666666666667</c:v>
                </c:pt>
                <c:pt idx="249">
                  <c:v>26.387</c:v>
                </c:pt>
                <c:pt idx="250">
                  <c:v>26.483333333333334</c:v>
                </c:pt>
                <c:pt idx="251">
                  <c:v>26.579666666666668</c:v>
                </c:pt>
                <c:pt idx="252">
                  <c:v>26.676000000000002</c:v>
                </c:pt>
                <c:pt idx="253">
                  <c:v>26.772333333333332</c:v>
                </c:pt>
                <c:pt idx="254">
                  <c:v>26.868666666666666</c:v>
                </c:pt>
                <c:pt idx="255">
                  <c:v>26.965</c:v>
                </c:pt>
                <c:pt idx="256">
                  <c:v>27.061333333333334</c:v>
                </c:pt>
                <c:pt idx="257">
                  <c:v>27.157666666666668</c:v>
                </c:pt>
                <c:pt idx="258">
                  <c:v>27.254000000000001</c:v>
                </c:pt>
                <c:pt idx="259">
                  <c:v>27.350333333333335</c:v>
                </c:pt>
                <c:pt idx="260">
                  <c:v>27.446666666666665</c:v>
                </c:pt>
                <c:pt idx="261">
                  <c:v>27.542999999999999</c:v>
                </c:pt>
                <c:pt idx="262">
                  <c:v>27.639333333333333</c:v>
                </c:pt>
                <c:pt idx="263">
                  <c:v>27.735666666666667</c:v>
                </c:pt>
                <c:pt idx="264">
                  <c:v>27.832000000000001</c:v>
                </c:pt>
                <c:pt idx="265">
                  <c:v>27.928333333333335</c:v>
                </c:pt>
                <c:pt idx="266">
                  <c:v>28.024666666666668</c:v>
                </c:pt>
                <c:pt idx="267">
                  <c:v>28.120999999999999</c:v>
                </c:pt>
                <c:pt idx="268">
                  <c:v>28.217333333333332</c:v>
                </c:pt>
                <c:pt idx="269">
                  <c:v>28.313666666666666</c:v>
                </c:pt>
                <c:pt idx="270">
                  <c:v>28.41</c:v>
                </c:pt>
                <c:pt idx="271">
                  <c:v>28.506333333333334</c:v>
                </c:pt>
                <c:pt idx="272">
                  <c:v>28.602666666666668</c:v>
                </c:pt>
                <c:pt idx="273">
                  <c:v>28.699000000000002</c:v>
                </c:pt>
                <c:pt idx="274">
                  <c:v>28.795333333333335</c:v>
                </c:pt>
                <c:pt idx="275">
                  <c:v>28.891666666666666</c:v>
                </c:pt>
                <c:pt idx="276">
                  <c:v>28.988</c:v>
                </c:pt>
                <c:pt idx="277">
                  <c:v>29.084333333333333</c:v>
                </c:pt>
                <c:pt idx="278">
                  <c:v>29.180666666666667</c:v>
                </c:pt>
                <c:pt idx="279">
                  <c:v>29.277000000000001</c:v>
                </c:pt>
                <c:pt idx="280">
                  <c:v>29.373333333333335</c:v>
                </c:pt>
                <c:pt idx="281">
                  <c:v>29.469666666666669</c:v>
                </c:pt>
                <c:pt idx="282">
                  <c:v>29.565999999999999</c:v>
                </c:pt>
                <c:pt idx="283">
                  <c:v>29.662333333333333</c:v>
                </c:pt>
                <c:pt idx="284">
                  <c:v>29.758666666666667</c:v>
                </c:pt>
                <c:pt idx="285">
                  <c:v>29.855</c:v>
                </c:pt>
                <c:pt idx="286">
                  <c:v>29.951333333333334</c:v>
                </c:pt>
                <c:pt idx="287">
                  <c:v>30.047666666666668</c:v>
                </c:pt>
                <c:pt idx="288">
                  <c:v>30.144000000000002</c:v>
                </c:pt>
                <c:pt idx="289">
                  <c:v>30.240333333333332</c:v>
                </c:pt>
                <c:pt idx="290">
                  <c:v>30.336666666666666</c:v>
                </c:pt>
                <c:pt idx="291">
                  <c:v>30.433</c:v>
                </c:pt>
                <c:pt idx="292">
                  <c:v>30.529333333333334</c:v>
                </c:pt>
                <c:pt idx="293">
                  <c:v>30.625666666666667</c:v>
                </c:pt>
                <c:pt idx="294">
                  <c:v>30.722000000000001</c:v>
                </c:pt>
                <c:pt idx="295">
                  <c:v>30.818333333333335</c:v>
                </c:pt>
                <c:pt idx="296">
                  <c:v>30.914666666666669</c:v>
                </c:pt>
                <c:pt idx="297">
                  <c:v>31.010999999999999</c:v>
                </c:pt>
                <c:pt idx="298">
                  <c:v>31.107333333333333</c:v>
                </c:pt>
                <c:pt idx="299">
                  <c:v>31.203666666666667</c:v>
                </c:pt>
                <c:pt idx="300">
                  <c:v>31.3</c:v>
                </c:pt>
              </c:numCache>
            </c:numRef>
          </c:xVal>
          <c:yVal>
            <c:numRef>
              <c:f>Fosforzuurbepaling!$V$6:$V$306</c:f>
              <c:numCache>
                <c:formatCode>0.0000</c:formatCode>
                <c:ptCount val="301"/>
                <c:pt idx="0">
                  <c:v>0.25702774581357529</c:v>
                </c:pt>
                <c:pt idx="1">
                  <c:v>0.25905191895179142</c:v>
                </c:pt>
                <c:pt idx="2">
                  <c:v>0.26512039405368881</c:v>
                </c:pt>
                <c:pt idx="3">
                  <c:v>0.27523317112848744</c:v>
                </c:pt>
                <c:pt idx="4">
                  <c:v>0.2893902501669674</c:v>
                </c:pt>
                <c:pt idx="5">
                  <c:v>0.30759163118295846</c:v>
                </c:pt>
                <c:pt idx="6">
                  <c:v>0.32983731416263079</c:v>
                </c:pt>
                <c:pt idx="7">
                  <c:v>0.35612729911059443</c:v>
                </c:pt>
                <c:pt idx="8">
                  <c:v>0.38646158603145925</c:v>
                </c:pt>
                <c:pt idx="9">
                  <c:v>0.42084017491600534</c:v>
                </c:pt>
                <c:pt idx="10">
                  <c:v>0.45926306576884274</c:v>
                </c:pt>
                <c:pt idx="11">
                  <c:v>0.50173025859919118</c:v>
                </c:pt>
                <c:pt idx="12">
                  <c:v>0.54824175339322101</c:v>
                </c:pt>
                <c:pt idx="13">
                  <c:v>0.59879755015554204</c:v>
                </c:pt>
                <c:pt idx="14">
                  <c:v>0.65338712935166054</c:v>
                </c:pt>
                <c:pt idx="15">
                  <c:v>0.71051360052685075</c:v>
                </c:pt>
                <c:pt idx="16">
                  <c:v>0.76911363959028201</c:v>
                </c:pt>
                <c:pt idx="17">
                  <c:v>0.82918724654195419</c:v>
                </c:pt>
                <c:pt idx="18">
                  <c:v>0.89073442137264769</c:v>
                </c:pt>
                <c:pt idx="19">
                  <c:v>0.95375516409158234</c:v>
                </c:pt>
                <c:pt idx="20">
                  <c:v>1.0182494746987578</c:v>
                </c:pt>
                <c:pt idx="21">
                  <c:v>1.0842173531757349</c:v>
                </c:pt>
                <c:pt idx="22">
                  <c:v>1.1516587995593925</c:v>
                </c:pt>
                <c:pt idx="23">
                  <c:v>1.2169657196157331</c:v>
                </c:pt>
                <c:pt idx="24">
                  <c:v>1.2723322620530011</c:v>
                </c:pt>
                <c:pt idx="25">
                  <c:v>1.3174908609433054</c:v>
                </c:pt>
                <c:pt idx="26">
                  <c:v>1.3524415162774261</c:v>
                </c:pt>
                <c:pt idx="27">
                  <c:v>1.3756494815340283</c:v>
                </c:pt>
                <c:pt idx="28">
                  <c:v>1.3815190310863059</c:v>
                </c:pt>
                <c:pt idx="29">
                  <c:v>1.3718431166037448</c:v>
                </c:pt>
                <c:pt idx="30">
                  <c:v>1.3491868959440967</c:v>
                </c:pt>
                <c:pt idx="31">
                  <c:v>1.3135521693558929</c:v>
                </c:pt>
                <c:pt idx="32">
                  <c:v>1.2649389368483539</c:v>
                </c:pt>
                <c:pt idx="33">
                  <c:v>1.2051363441204319</c:v>
                </c:pt>
                <c:pt idx="34">
                  <c:v>1.1375839869913651</c:v>
                </c:pt>
                <c:pt idx="35">
                  <c:v>1.0630081410083534</c:v>
                </c:pt>
                <c:pt idx="36">
                  <c:v>0.98993129725794815</c:v>
                </c:pt>
                <c:pt idx="37">
                  <c:v>0.92101333512494776</c:v>
                </c:pt>
                <c:pt idx="38">
                  <c:v>0.85625425459091231</c:v>
                </c:pt>
                <c:pt idx="39">
                  <c:v>0.79565405565584202</c:v>
                </c:pt>
                <c:pt idx="40">
                  <c:v>0.73921273832895662</c:v>
                </c:pt>
                <c:pt idx="41">
                  <c:v>0.68693030261025623</c:v>
                </c:pt>
                <c:pt idx="42">
                  <c:v>0.63880674849052088</c:v>
                </c:pt>
                <c:pt idx="43">
                  <c:v>0.59484006129527944</c:v>
                </c:pt>
                <c:pt idx="44">
                  <c:v>0.5549796040028514</c:v>
                </c:pt>
                <c:pt idx="45">
                  <c:v>0.51920338155694135</c:v>
                </c:pt>
                <c:pt idx="46">
                  <c:v>0.48751139393910958</c:v>
                </c:pt>
                <c:pt idx="47">
                  <c:v>0.45990364114013621</c:v>
                </c:pt>
                <c:pt idx="48">
                  <c:v>0.43638012318768088</c:v>
                </c:pt>
                <c:pt idx="49">
                  <c:v>0.41694084004486415</c:v>
                </c:pt>
                <c:pt idx="50">
                  <c:v>0.4015857917393455</c:v>
                </c:pt>
                <c:pt idx="51">
                  <c:v>0.39031497825268535</c:v>
                </c:pt>
                <c:pt idx="52">
                  <c:v>0.38312839960332329</c:v>
                </c:pt>
                <c:pt idx="53">
                  <c:v>0.38002605578203957</c:v>
                </c:pt>
                <c:pt idx="54">
                  <c:v>0.3795983990899735</c:v>
                </c:pt>
                <c:pt idx="55">
                  <c:v>0.37941150552591157</c:v>
                </c:pt>
                <c:pt idx="56">
                  <c:v>0.37942264691591365</c:v>
                </c:pt>
                <c:pt idx="57">
                  <c:v>0.37963182326919948</c:v>
                </c:pt>
                <c:pt idx="58">
                  <c:v>0.38003903457654925</c:v>
                </c:pt>
                <c:pt idx="59">
                  <c:v>0.38064428083796298</c:v>
                </c:pt>
                <c:pt idx="60">
                  <c:v>0.38144756206266051</c:v>
                </c:pt>
                <c:pt idx="61">
                  <c:v>0.38244887823220214</c:v>
                </c:pt>
                <c:pt idx="62">
                  <c:v>0.38364822936502752</c:v>
                </c:pt>
                <c:pt idx="63">
                  <c:v>0.38504561544269705</c:v>
                </c:pt>
                <c:pt idx="64">
                  <c:v>0.38664103649287018</c:v>
                </c:pt>
                <c:pt idx="65">
                  <c:v>0.38843449249710726</c:v>
                </c:pt>
                <c:pt idx="66">
                  <c:v>0.39042598344618845</c:v>
                </c:pt>
                <c:pt idx="67">
                  <c:v>0.39261550935855344</c:v>
                </c:pt>
                <c:pt idx="68">
                  <c:v>0.39500307022498238</c:v>
                </c:pt>
                <c:pt idx="69">
                  <c:v>0.39783623934758799</c:v>
                </c:pt>
                <c:pt idx="70">
                  <c:v>0.40267164371054465</c:v>
                </c:pt>
                <c:pt idx="71">
                  <c:v>0.40978095903383516</c:v>
                </c:pt>
                <c:pt idx="72">
                  <c:v>0.41916418531745953</c:v>
                </c:pt>
                <c:pt idx="73">
                  <c:v>0.43082132257063754</c:v>
                </c:pt>
                <c:pt idx="74">
                  <c:v>0.44475237078414942</c:v>
                </c:pt>
                <c:pt idx="75">
                  <c:v>0.46095732996721506</c:v>
                </c:pt>
                <c:pt idx="76">
                  <c:v>0.47943620010139465</c:v>
                </c:pt>
                <c:pt idx="77">
                  <c:v>0.50018898120512789</c:v>
                </c:pt>
                <c:pt idx="78">
                  <c:v>0.52321567327841489</c:v>
                </c:pt>
                <c:pt idx="79">
                  <c:v>0.54851627630281596</c:v>
                </c:pt>
                <c:pt idx="80">
                  <c:v>0.57609079029677057</c:v>
                </c:pt>
                <c:pt idx="81">
                  <c:v>0.60593921526027905</c:v>
                </c:pt>
                <c:pt idx="82">
                  <c:v>0.63806155118412122</c:v>
                </c:pt>
                <c:pt idx="83">
                  <c:v>0.67245779806829731</c:v>
                </c:pt>
                <c:pt idx="84">
                  <c:v>0.70912795589436761</c:v>
                </c:pt>
                <c:pt idx="85">
                  <c:v>0.74807202469921141</c:v>
                </c:pt>
                <c:pt idx="86">
                  <c:v>0.78785665423234297</c:v>
                </c:pt>
                <c:pt idx="87">
                  <c:v>0.82390510085916646</c:v>
                </c:pt>
                <c:pt idx="88">
                  <c:v>0.85587520605671419</c:v>
                </c:pt>
                <c:pt idx="89">
                  <c:v>0.88376696980654623</c:v>
                </c:pt>
                <c:pt idx="90">
                  <c:v>0.90758039209022312</c:v>
                </c:pt>
                <c:pt idx="91">
                  <c:v>0.92667666376375402</c:v>
                </c:pt>
                <c:pt idx="92">
                  <c:v>0.93913398025237593</c:v>
                </c:pt>
                <c:pt idx="93">
                  <c:v>0.94484861140128851</c:v>
                </c:pt>
                <c:pt idx="94">
                  <c:v>0.94392386467226963</c:v>
                </c:pt>
                <c:pt idx="95">
                  <c:v>0.9363702358080026</c:v>
                </c:pt>
                <c:pt idx="96">
                  <c:v>0.92218772480848721</c:v>
                </c:pt>
                <c:pt idx="97">
                  <c:v>0.90137633165528397</c:v>
                </c:pt>
                <c:pt idx="98">
                  <c:v>0.87393605632995319</c:v>
                </c:pt>
                <c:pt idx="99">
                  <c:v>0.83986689886937416</c:v>
                </c:pt>
                <c:pt idx="100">
                  <c:v>0.79916885925510717</c:v>
                </c:pt>
                <c:pt idx="101">
                  <c:v>0.75399823197037474</c:v>
                </c:pt>
                <c:pt idx="102">
                  <c:v>0.71011893138980209</c:v>
                </c:pt>
                <c:pt idx="103">
                  <c:v>0.6678453160456741</c:v>
                </c:pt>
                <c:pt idx="104">
                  <c:v>0.62717738591955097</c:v>
                </c:pt>
                <c:pt idx="105">
                  <c:v>0.58811514101143259</c:v>
                </c:pt>
                <c:pt idx="106">
                  <c:v>0.55065774415937618</c:v>
                </c:pt>
                <c:pt idx="107">
                  <c:v>0.51473272308376228</c:v>
                </c:pt>
                <c:pt idx="108">
                  <c:v>0.48029343739062191</c:v>
                </c:pt>
                <c:pt idx="109">
                  <c:v>0.44733988709839484</c:v>
                </c:pt>
                <c:pt idx="110">
                  <c:v>0.41587207220708089</c:v>
                </c:pt>
                <c:pt idx="111">
                  <c:v>0.38588999271668017</c:v>
                </c:pt>
                <c:pt idx="112">
                  <c:v>0.35739364859031331</c:v>
                </c:pt>
                <c:pt idx="113">
                  <c:v>0.33038303986485962</c:v>
                </c:pt>
                <c:pt idx="114">
                  <c:v>0.3048581665587588</c:v>
                </c:pt>
                <c:pt idx="115">
                  <c:v>0.28081902863513158</c:v>
                </c:pt>
                <c:pt idx="116">
                  <c:v>0.2582656260939778</c:v>
                </c:pt>
                <c:pt idx="117">
                  <c:v>0.23719795897217696</c:v>
                </c:pt>
                <c:pt idx="118">
                  <c:v>0.21761602721440995</c:v>
                </c:pt>
                <c:pt idx="119">
                  <c:v>0.19951983087599581</c:v>
                </c:pt>
                <c:pt idx="120">
                  <c:v>0.18290936990161552</c:v>
                </c:pt>
                <c:pt idx="121">
                  <c:v>0.16778464434658813</c:v>
                </c:pt>
                <c:pt idx="122">
                  <c:v>0.15414565417403422</c:v>
                </c:pt>
                <c:pt idx="123">
                  <c:v>0.14199239940239355</c:v>
                </c:pt>
                <c:pt idx="124">
                  <c:v>0.13132488003166609</c:v>
                </c:pt>
                <c:pt idx="125">
                  <c:v>0.12214309604341214</c:v>
                </c:pt>
                <c:pt idx="126">
                  <c:v>0.1144470474376317</c:v>
                </c:pt>
                <c:pt idx="127">
                  <c:v>0.10823673425120417</c:v>
                </c:pt>
                <c:pt idx="128">
                  <c:v>0.10351215644725015</c:v>
                </c:pt>
                <c:pt idx="129">
                  <c:v>0.10027331404420933</c:v>
                </c:pt>
                <c:pt idx="130">
                  <c:v>9.8520207023642031E-2</c:v>
                </c:pt>
                <c:pt idx="131">
                  <c:v>9.8252835403987951E-2</c:v>
                </c:pt>
                <c:pt idx="132">
                  <c:v>9.9361817671020314E-2</c:v>
                </c:pt>
                <c:pt idx="133">
                  <c:v>0.10070016289344008</c:v>
                </c:pt>
                <c:pt idx="134">
                  <c:v>0.10196195782495554</c:v>
                </c:pt>
                <c:pt idx="135">
                  <c:v>0.10314720244712701</c:v>
                </c:pt>
                <c:pt idx="136">
                  <c:v>0.10425589675995449</c:v>
                </c:pt>
                <c:pt idx="137">
                  <c:v>0.10528804078187767</c:v>
                </c:pt>
                <c:pt idx="138">
                  <c:v>0.10624363449445688</c:v>
                </c:pt>
                <c:pt idx="139">
                  <c:v>0.10712267789769209</c:v>
                </c:pt>
                <c:pt idx="140">
                  <c:v>0.10792517101002301</c:v>
                </c:pt>
                <c:pt idx="141">
                  <c:v>0.10865111381300993</c:v>
                </c:pt>
                <c:pt idx="142">
                  <c:v>0.10930050630665288</c:v>
                </c:pt>
                <c:pt idx="143">
                  <c:v>0.10987334850939152</c:v>
                </c:pt>
                <c:pt idx="144">
                  <c:v>0.11036964040278617</c:v>
                </c:pt>
                <c:pt idx="145">
                  <c:v>0.11078938200527653</c:v>
                </c:pt>
                <c:pt idx="146">
                  <c:v>0.11113257329842291</c:v>
                </c:pt>
                <c:pt idx="147">
                  <c:v>0.1113992142637856</c:v>
                </c:pt>
                <c:pt idx="148">
                  <c:v>0.11158930495668368</c:v>
                </c:pt>
                <c:pt idx="149">
                  <c:v>0.11170284534023778</c:v>
                </c:pt>
                <c:pt idx="150">
                  <c:v>0.11173983541444789</c:v>
                </c:pt>
                <c:pt idx="151">
                  <c:v>0.1117002751977537</c:v>
                </c:pt>
                <c:pt idx="152">
                  <c:v>0.11158416467171553</c:v>
                </c:pt>
                <c:pt idx="153">
                  <c:v>0.11139150383633338</c:v>
                </c:pt>
                <c:pt idx="154">
                  <c:v>0.11112229271004692</c:v>
                </c:pt>
                <c:pt idx="155">
                  <c:v>0.11077653127441647</c:v>
                </c:pt>
                <c:pt idx="156">
                  <c:v>0.11035421954788173</c:v>
                </c:pt>
                <c:pt idx="157">
                  <c:v>0.10985535749356332</c:v>
                </c:pt>
                <c:pt idx="158">
                  <c:v>0.10927994514834059</c:v>
                </c:pt>
                <c:pt idx="159">
                  <c:v>0.10862798251221358</c:v>
                </c:pt>
                <c:pt idx="160">
                  <c:v>0.10789946954830289</c:v>
                </c:pt>
                <c:pt idx="161">
                  <c:v>0.1070944062934879</c:v>
                </c:pt>
                <c:pt idx="162">
                  <c:v>0.10621279274776861</c:v>
                </c:pt>
                <c:pt idx="163">
                  <c:v>0.10525462889270534</c:v>
                </c:pt>
                <c:pt idx="164">
                  <c:v>0.10421991472829807</c:v>
                </c:pt>
                <c:pt idx="165">
                  <c:v>0.10310865025454682</c:v>
                </c:pt>
                <c:pt idx="166">
                  <c:v>0.10192083550833098</c:v>
                </c:pt>
                <c:pt idx="167">
                  <c:v>0.10067768968675349</c:v>
                </c:pt>
                <c:pt idx="168">
                  <c:v>9.9440094119780248E-2</c:v>
                </c:pt>
                <c:pt idx="169">
                  <c:v>9.8211838938250196E-2</c:v>
                </c:pt>
                <c:pt idx="170">
                  <c:v>9.6992924142163303E-2</c:v>
                </c:pt>
                <c:pt idx="171">
                  <c:v>9.578334969464021E-2</c:v>
                </c:pt>
                <c:pt idx="172">
                  <c:v>9.4583115650999985E-2</c:v>
                </c:pt>
                <c:pt idx="173">
                  <c:v>9.3392221974363254E-2</c:v>
                </c:pt>
                <c:pt idx="174">
                  <c:v>9.2210668683169683E-2</c:v>
                </c:pt>
                <c:pt idx="175">
                  <c:v>9.10384557774193E-2</c:v>
                </c:pt>
                <c:pt idx="176">
                  <c:v>8.9875583238672396E-2</c:v>
                </c:pt>
                <c:pt idx="177">
                  <c:v>8.8722051066928972E-2</c:v>
                </c:pt>
                <c:pt idx="178">
                  <c:v>8.7577859299068431E-2</c:v>
                </c:pt>
                <c:pt idx="179">
                  <c:v>8.6443007898211369E-2</c:v>
                </c:pt>
                <c:pt idx="180">
                  <c:v>8.5317496882797481E-2</c:v>
                </c:pt>
                <c:pt idx="181">
                  <c:v>8.4201326234387072E-2</c:v>
                </c:pt>
                <c:pt idx="182">
                  <c:v>8.3094495971419852E-2</c:v>
                </c:pt>
                <c:pt idx="183">
                  <c:v>8.1997006112335485E-2</c:v>
                </c:pt>
                <c:pt idx="184">
                  <c:v>8.0908856601814919E-2</c:v>
                </c:pt>
                <c:pt idx="185">
                  <c:v>7.9830047476737526E-2</c:v>
                </c:pt>
                <c:pt idx="186">
                  <c:v>7.8760578737103321E-2</c:v>
                </c:pt>
                <c:pt idx="187">
                  <c:v>7.7700450364472595E-2</c:v>
                </c:pt>
                <c:pt idx="188">
                  <c:v>7.6649662377285044E-2</c:v>
                </c:pt>
                <c:pt idx="189">
                  <c:v>7.5608214775540666E-2</c:v>
                </c:pt>
                <c:pt idx="190">
                  <c:v>7.4576107540799769E-2</c:v>
                </c:pt>
                <c:pt idx="191">
                  <c:v>7.3553340709941753E-2</c:v>
                </c:pt>
                <c:pt idx="192">
                  <c:v>7.2539914227647523E-2</c:v>
                </c:pt>
                <c:pt idx="193">
                  <c:v>7.1535828130796467E-2</c:v>
                </c:pt>
                <c:pt idx="194">
                  <c:v>7.0541082419388584E-2</c:v>
                </c:pt>
                <c:pt idx="195">
                  <c:v>6.955567709342389E-2</c:v>
                </c:pt>
                <c:pt idx="196">
                  <c:v>6.8579612134462675E-2</c:v>
                </c:pt>
                <c:pt idx="197">
                  <c:v>6.7612887560944634E-2</c:v>
                </c:pt>
                <c:pt idx="198">
                  <c:v>6.6655503372869768E-2</c:v>
                </c:pt>
                <c:pt idx="199">
                  <c:v>6.5707459551798394E-2</c:v>
                </c:pt>
                <c:pt idx="200">
                  <c:v>6.4768756134609876E-2</c:v>
                </c:pt>
                <c:pt idx="201">
                  <c:v>6.383939306598517E-2</c:v>
                </c:pt>
                <c:pt idx="202">
                  <c:v>6.2919370401243319E-2</c:v>
                </c:pt>
                <c:pt idx="203">
                  <c:v>6.200868808506526E-2</c:v>
                </c:pt>
                <c:pt idx="204">
                  <c:v>6.1107346172770069E-2</c:v>
                </c:pt>
                <c:pt idx="205">
                  <c:v>6.0215344627478365E-2</c:v>
                </c:pt>
                <c:pt idx="206">
                  <c:v>5.9332683467629842E-2</c:v>
                </c:pt>
                <c:pt idx="207">
                  <c:v>5.8459362693224493E-2</c:v>
                </c:pt>
                <c:pt idx="208">
                  <c:v>5.7595382304262317E-2</c:v>
                </c:pt>
                <c:pt idx="209">
                  <c:v>5.6740742282303629E-2</c:v>
                </c:pt>
                <c:pt idx="210">
                  <c:v>5.5895442608908733E-2</c:v>
                </c:pt>
                <c:pt idx="211">
                  <c:v>5.5059483357836392E-2</c:v>
                </c:pt>
                <c:pt idx="212">
                  <c:v>5.4232864473767545E-2</c:v>
                </c:pt>
                <c:pt idx="213">
                  <c:v>5.3415585975141865E-2</c:v>
                </c:pt>
                <c:pt idx="214">
                  <c:v>5.2607647843519678E-2</c:v>
                </c:pt>
                <c:pt idx="215">
                  <c:v>5.1809050078900971E-2</c:v>
                </c:pt>
                <c:pt idx="216">
                  <c:v>5.1019792718165133E-2</c:v>
                </c:pt>
                <c:pt idx="217">
                  <c:v>5.0239875742872468E-2</c:v>
                </c:pt>
                <c:pt idx="218">
                  <c:v>4.9469299116143603E-2</c:v>
                </c:pt>
                <c:pt idx="219">
                  <c:v>4.8708062893297606E-2</c:v>
                </c:pt>
                <c:pt idx="220">
                  <c:v>4.7956167019015394E-2</c:v>
                </c:pt>
                <c:pt idx="221">
                  <c:v>4.7213611567055745E-2</c:v>
                </c:pt>
                <c:pt idx="222">
                  <c:v>4.6480396463659895E-2</c:v>
                </c:pt>
                <c:pt idx="223">
                  <c:v>4.575652174570722E-2</c:v>
                </c:pt>
                <c:pt idx="224">
                  <c:v>4.5041987413197718E-2</c:v>
                </c:pt>
                <c:pt idx="225">
                  <c:v>4.433679346613139E-2</c:v>
                </c:pt>
                <c:pt idx="226">
                  <c:v>4.3640939886068549E-2</c:v>
                </c:pt>
                <c:pt idx="227">
                  <c:v>4.2954426691448888E-2</c:v>
                </c:pt>
                <c:pt idx="228">
                  <c:v>4.2277253863832708E-2</c:v>
                </c:pt>
                <c:pt idx="229">
                  <c:v>4.1609421421659708E-2</c:v>
                </c:pt>
                <c:pt idx="230">
                  <c:v>4.0950929364929875E-2</c:v>
                </c:pt>
                <c:pt idx="231">
                  <c:v>4.0301777675203536E-2</c:v>
                </c:pt>
                <c:pt idx="232">
                  <c:v>3.9661966389360065E-2</c:v>
                </c:pt>
                <c:pt idx="233">
                  <c:v>3.9031495452080379E-2</c:v>
                </c:pt>
                <c:pt idx="234">
                  <c:v>3.8410364918683569E-2</c:v>
                </c:pt>
                <c:pt idx="235">
                  <c:v>3.7798574752290238E-2</c:v>
                </c:pt>
                <c:pt idx="236">
                  <c:v>3.7196124971340089E-2</c:v>
                </c:pt>
                <c:pt idx="237">
                  <c:v>3.6603015557393426E-2</c:v>
                </c:pt>
                <c:pt idx="238">
                  <c:v>3.6019246528889937E-2</c:v>
                </c:pt>
                <c:pt idx="239">
                  <c:v>3.5444817885829621E-2</c:v>
                </c:pt>
                <c:pt idx="240">
                  <c:v>3.4879729609772793E-2</c:v>
                </c:pt>
                <c:pt idx="241">
                  <c:v>3.4323981719159138E-2</c:v>
                </c:pt>
                <c:pt idx="242">
                  <c:v>3.3777574213988665E-2</c:v>
                </c:pt>
                <c:pt idx="243">
                  <c:v>3.3240507075821671E-2</c:v>
                </c:pt>
                <c:pt idx="244">
                  <c:v>3.2712780323097858E-2</c:v>
                </c:pt>
                <c:pt idx="245">
                  <c:v>3.2194393955817219E-2</c:v>
                </c:pt>
                <c:pt idx="246">
                  <c:v>3.1685347955540066E-2</c:v>
                </c:pt>
                <c:pt idx="247">
                  <c:v>3.1185642340706088E-2</c:v>
                </c:pt>
                <c:pt idx="248">
                  <c:v>3.0695277092875593E-2</c:v>
                </c:pt>
                <c:pt idx="249">
                  <c:v>3.0214252248927969E-2</c:v>
                </c:pt>
                <c:pt idx="250">
                  <c:v>2.9742567771983829E-2</c:v>
                </c:pt>
                <c:pt idx="251">
                  <c:v>2.9280223680482866E-2</c:v>
                </c:pt>
                <c:pt idx="252">
                  <c:v>2.8827219955985386E-2</c:v>
                </c:pt>
                <c:pt idx="253">
                  <c:v>2.8383556616931083E-2</c:v>
                </c:pt>
                <c:pt idx="254">
                  <c:v>2.7949233663319958E-2</c:v>
                </c:pt>
                <c:pt idx="255">
                  <c:v>2.7524251076712317E-2</c:v>
                </c:pt>
                <c:pt idx="256">
                  <c:v>2.7108608875547852E-2</c:v>
                </c:pt>
                <c:pt idx="257">
                  <c:v>2.6702307041386871E-2</c:v>
                </c:pt>
                <c:pt idx="258">
                  <c:v>2.6305345592669067E-2</c:v>
                </c:pt>
                <c:pt idx="259">
                  <c:v>2.5917724547834132E-2</c:v>
                </c:pt>
                <c:pt idx="260">
                  <c:v>2.5539443851562989E-2</c:v>
                </c:pt>
                <c:pt idx="261">
                  <c:v>2.5170503540735023E-2</c:v>
                </c:pt>
                <c:pt idx="262">
                  <c:v>2.4810903615350235E-2</c:v>
                </c:pt>
                <c:pt idx="263">
                  <c:v>2.446064405696893E-2</c:v>
                </c:pt>
                <c:pt idx="264">
                  <c:v>2.4119724902470493E-2</c:v>
                </c:pt>
                <c:pt idx="265">
                  <c:v>2.3788146114975539E-2</c:v>
                </c:pt>
                <c:pt idx="266">
                  <c:v>2.3465907712923763E-2</c:v>
                </c:pt>
                <c:pt idx="267">
                  <c:v>2.3153009677875473E-2</c:v>
                </c:pt>
                <c:pt idx="268">
                  <c:v>2.2849452028270358E-2</c:v>
                </c:pt>
                <c:pt idx="269">
                  <c:v>2.2555234745668729E-2</c:v>
                </c:pt>
                <c:pt idx="270">
                  <c:v>2.2270357848510274E-2</c:v>
                </c:pt>
                <c:pt idx="271">
                  <c:v>2.1994821318355309E-2</c:v>
                </c:pt>
                <c:pt idx="272">
                  <c:v>2.1728625192083205E-2</c:v>
                </c:pt>
                <c:pt idx="273">
                  <c:v>2.1471769432814591E-2</c:v>
                </c:pt>
                <c:pt idx="274">
                  <c:v>2.1224254058989152E-2</c:v>
                </c:pt>
                <c:pt idx="275">
                  <c:v>2.0986079052167195E-2</c:v>
                </c:pt>
                <c:pt idx="276">
                  <c:v>2.0757244430788416E-2</c:v>
                </c:pt>
                <c:pt idx="277">
                  <c:v>2.0537750194852815E-2</c:v>
                </c:pt>
                <c:pt idx="278">
                  <c:v>2.0327596344360391E-2</c:v>
                </c:pt>
                <c:pt idx="279">
                  <c:v>2.012678286087145E-2</c:v>
                </c:pt>
                <c:pt idx="280">
                  <c:v>1.9935309762825683E-2</c:v>
                </c:pt>
                <c:pt idx="281">
                  <c:v>1.9753177031783406E-2</c:v>
                </c:pt>
                <c:pt idx="282">
                  <c:v>1.9580384686184303E-2</c:v>
                </c:pt>
                <c:pt idx="283">
                  <c:v>1.9416932726028374E-2</c:v>
                </c:pt>
                <c:pt idx="284">
                  <c:v>1.9262821132875932E-2</c:v>
                </c:pt>
                <c:pt idx="285">
                  <c:v>1.9118049943606358E-2</c:v>
                </c:pt>
                <c:pt idx="286">
                  <c:v>1.8982619102900576E-2</c:v>
                </c:pt>
                <c:pt idx="287">
                  <c:v>1.8856528666077663E-2</c:v>
                </c:pt>
                <c:pt idx="288">
                  <c:v>1.8739778596258236E-2</c:v>
                </c:pt>
                <c:pt idx="289">
                  <c:v>1.8632368893442292E-2</c:v>
                </c:pt>
                <c:pt idx="290">
                  <c:v>1.8534299594509217E-2</c:v>
                </c:pt>
                <c:pt idx="291">
                  <c:v>1.8445570662579625E-2</c:v>
                </c:pt>
                <c:pt idx="292">
                  <c:v>1.8366182097653522E-2</c:v>
                </c:pt>
                <c:pt idx="293">
                  <c:v>1.8296133936610282E-2</c:v>
                </c:pt>
                <c:pt idx="294">
                  <c:v>1.823542612413084E-2</c:v>
                </c:pt>
                <c:pt idx="295">
                  <c:v>1.8184058715534263E-2</c:v>
                </c:pt>
                <c:pt idx="296">
                  <c:v>1.814203167394117E-2</c:v>
                </c:pt>
                <c:pt idx="297">
                  <c:v>1.8109345036230944E-2</c:v>
                </c:pt>
                <c:pt idx="298">
                  <c:v>1.8085998747084515E-2</c:v>
                </c:pt>
                <c:pt idx="299">
                  <c:v>1.807199286182095E-2</c:v>
                </c:pt>
                <c:pt idx="300">
                  <c:v>1.8067327325121181E-2</c:v>
                </c:pt>
              </c:numCache>
            </c:numRef>
          </c:yVal>
          <c:smooth val="1"/>
          <c:extLst>
            <c:ext xmlns:c16="http://schemas.microsoft.com/office/drawing/2014/chart" uri="{C3380CC4-5D6E-409C-BE32-E72D297353CC}">
              <c16:uniqueId val="{00000000-152F-4C39-8D1C-45A077131B75}"/>
            </c:ext>
          </c:extLst>
        </c:ser>
        <c:ser>
          <c:idx val="0"/>
          <c:order val="1"/>
          <c:tx>
            <c:v>2nd derivative</c:v>
          </c:tx>
          <c:spPr>
            <a:ln w="25400">
              <a:solidFill>
                <a:srgbClr val="09007E"/>
              </a:solidFill>
              <a:prstDash val="solid"/>
            </a:ln>
          </c:spPr>
          <c:marker>
            <c:symbol val="none"/>
          </c:marker>
          <c:xVal>
            <c:numRef>
              <c:f>Fosforzuurbepaling!$T$6:$T$306</c:f>
              <c:numCache>
                <c:formatCode>0.0000</c:formatCode>
                <c:ptCount val="301"/>
                <c:pt idx="0">
                  <c:v>2.4</c:v>
                </c:pt>
                <c:pt idx="1">
                  <c:v>2.4963333333333333</c:v>
                </c:pt>
                <c:pt idx="2">
                  <c:v>2.5926666666666667</c:v>
                </c:pt>
                <c:pt idx="3">
                  <c:v>2.6890000000000001</c:v>
                </c:pt>
                <c:pt idx="4">
                  <c:v>2.7853333333333334</c:v>
                </c:pt>
                <c:pt idx="5">
                  <c:v>2.8816666666666668</c:v>
                </c:pt>
                <c:pt idx="6">
                  <c:v>2.9779999999999998</c:v>
                </c:pt>
                <c:pt idx="7">
                  <c:v>3.0743333333333331</c:v>
                </c:pt>
                <c:pt idx="8">
                  <c:v>3.1706666666666665</c:v>
                </c:pt>
                <c:pt idx="9">
                  <c:v>3.2669999999999999</c:v>
                </c:pt>
                <c:pt idx="10">
                  <c:v>3.3633333333333333</c:v>
                </c:pt>
                <c:pt idx="11">
                  <c:v>3.4596666666666667</c:v>
                </c:pt>
                <c:pt idx="12">
                  <c:v>3.556</c:v>
                </c:pt>
                <c:pt idx="13">
                  <c:v>3.6523333333333334</c:v>
                </c:pt>
                <c:pt idx="14">
                  <c:v>3.7486666666666668</c:v>
                </c:pt>
                <c:pt idx="15">
                  <c:v>3.8449999999999998</c:v>
                </c:pt>
                <c:pt idx="16">
                  <c:v>3.9413333333333336</c:v>
                </c:pt>
                <c:pt idx="17">
                  <c:v>4.0376666666666665</c:v>
                </c:pt>
                <c:pt idx="18">
                  <c:v>4.1340000000000003</c:v>
                </c:pt>
                <c:pt idx="19">
                  <c:v>4.2303333333333333</c:v>
                </c:pt>
                <c:pt idx="20">
                  <c:v>4.3266666666666662</c:v>
                </c:pt>
                <c:pt idx="21">
                  <c:v>4.423</c:v>
                </c:pt>
                <c:pt idx="22">
                  <c:v>4.5193333333333339</c:v>
                </c:pt>
                <c:pt idx="23">
                  <c:v>4.6156666666666668</c:v>
                </c:pt>
                <c:pt idx="24">
                  <c:v>4.7119999999999997</c:v>
                </c:pt>
                <c:pt idx="25">
                  <c:v>4.8083333333333336</c:v>
                </c:pt>
                <c:pt idx="26">
                  <c:v>4.9046666666666674</c:v>
                </c:pt>
                <c:pt idx="27">
                  <c:v>5.0009999999999994</c:v>
                </c:pt>
                <c:pt idx="28">
                  <c:v>5.0973333333333333</c:v>
                </c:pt>
                <c:pt idx="29">
                  <c:v>5.1936666666666671</c:v>
                </c:pt>
                <c:pt idx="30">
                  <c:v>5.29</c:v>
                </c:pt>
                <c:pt idx="31">
                  <c:v>5.386333333333333</c:v>
                </c:pt>
                <c:pt idx="32">
                  <c:v>5.4826666666666668</c:v>
                </c:pt>
                <c:pt idx="33">
                  <c:v>5.5790000000000006</c:v>
                </c:pt>
                <c:pt idx="34">
                  <c:v>5.6753333333333336</c:v>
                </c:pt>
                <c:pt idx="35">
                  <c:v>5.7716666666666665</c:v>
                </c:pt>
                <c:pt idx="36">
                  <c:v>5.8680000000000003</c:v>
                </c:pt>
                <c:pt idx="37">
                  <c:v>5.9643333333333342</c:v>
                </c:pt>
                <c:pt idx="38">
                  <c:v>6.0606666666666662</c:v>
                </c:pt>
                <c:pt idx="39">
                  <c:v>6.157</c:v>
                </c:pt>
                <c:pt idx="40">
                  <c:v>6.2533333333333339</c:v>
                </c:pt>
                <c:pt idx="41">
                  <c:v>6.3496666666666668</c:v>
                </c:pt>
                <c:pt idx="42">
                  <c:v>6.4459999999999997</c:v>
                </c:pt>
                <c:pt idx="43">
                  <c:v>6.5423333333333336</c:v>
                </c:pt>
                <c:pt idx="44">
                  <c:v>6.6386666666666674</c:v>
                </c:pt>
                <c:pt idx="45">
                  <c:v>6.7349999999999994</c:v>
                </c:pt>
                <c:pt idx="46">
                  <c:v>6.8313333333333333</c:v>
                </c:pt>
                <c:pt idx="47">
                  <c:v>6.9276666666666671</c:v>
                </c:pt>
                <c:pt idx="48">
                  <c:v>7.0240000000000009</c:v>
                </c:pt>
                <c:pt idx="49">
                  <c:v>7.120333333333333</c:v>
                </c:pt>
                <c:pt idx="50">
                  <c:v>7.2166666666666668</c:v>
                </c:pt>
                <c:pt idx="51">
                  <c:v>7.3130000000000006</c:v>
                </c:pt>
                <c:pt idx="52">
                  <c:v>7.4093333333333344</c:v>
                </c:pt>
                <c:pt idx="53">
                  <c:v>7.5056666666666665</c:v>
                </c:pt>
                <c:pt idx="54">
                  <c:v>7.6020000000000003</c:v>
                </c:pt>
                <c:pt idx="55">
                  <c:v>7.6983333333333341</c:v>
                </c:pt>
                <c:pt idx="56">
                  <c:v>7.7946666666666662</c:v>
                </c:pt>
                <c:pt idx="57">
                  <c:v>7.891</c:v>
                </c:pt>
                <c:pt idx="58">
                  <c:v>7.9873333333333338</c:v>
                </c:pt>
                <c:pt idx="59">
                  <c:v>8.0836666666666677</c:v>
                </c:pt>
                <c:pt idx="60">
                  <c:v>8.18</c:v>
                </c:pt>
                <c:pt idx="61">
                  <c:v>8.2763333333333335</c:v>
                </c:pt>
                <c:pt idx="62">
                  <c:v>8.3726666666666674</c:v>
                </c:pt>
                <c:pt idx="63">
                  <c:v>8.4690000000000012</c:v>
                </c:pt>
                <c:pt idx="64">
                  <c:v>8.5653333333333332</c:v>
                </c:pt>
                <c:pt idx="65">
                  <c:v>8.6616666666666671</c:v>
                </c:pt>
                <c:pt idx="66">
                  <c:v>8.7580000000000009</c:v>
                </c:pt>
                <c:pt idx="67">
                  <c:v>8.8543333333333329</c:v>
                </c:pt>
                <c:pt idx="68">
                  <c:v>8.9506666666666668</c:v>
                </c:pt>
                <c:pt idx="69">
                  <c:v>9.0470000000000006</c:v>
                </c:pt>
                <c:pt idx="70">
                  <c:v>9.1433333333333344</c:v>
                </c:pt>
                <c:pt idx="71">
                  <c:v>9.2396666666666665</c:v>
                </c:pt>
                <c:pt idx="72">
                  <c:v>9.3360000000000003</c:v>
                </c:pt>
                <c:pt idx="73">
                  <c:v>9.4323333333333341</c:v>
                </c:pt>
                <c:pt idx="74">
                  <c:v>9.528666666666668</c:v>
                </c:pt>
                <c:pt idx="75">
                  <c:v>9.625</c:v>
                </c:pt>
                <c:pt idx="76">
                  <c:v>9.7213333333333338</c:v>
                </c:pt>
                <c:pt idx="77">
                  <c:v>9.8176666666666677</c:v>
                </c:pt>
                <c:pt idx="78">
                  <c:v>9.9139999999999997</c:v>
                </c:pt>
                <c:pt idx="79">
                  <c:v>10.010333333333334</c:v>
                </c:pt>
                <c:pt idx="80">
                  <c:v>10.106666666666667</c:v>
                </c:pt>
                <c:pt idx="81">
                  <c:v>10.203000000000001</c:v>
                </c:pt>
                <c:pt idx="82">
                  <c:v>10.299333333333333</c:v>
                </c:pt>
                <c:pt idx="83">
                  <c:v>10.395666666666667</c:v>
                </c:pt>
                <c:pt idx="84">
                  <c:v>10.492000000000001</c:v>
                </c:pt>
                <c:pt idx="85">
                  <c:v>10.588333333333335</c:v>
                </c:pt>
                <c:pt idx="86">
                  <c:v>10.684666666666667</c:v>
                </c:pt>
                <c:pt idx="87">
                  <c:v>10.781000000000001</c:v>
                </c:pt>
                <c:pt idx="88">
                  <c:v>10.877333333333334</c:v>
                </c:pt>
                <c:pt idx="89">
                  <c:v>10.973666666666668</c:v>
                </c:pt>
                <c:pt idx="90">
                  <c:v>11.07</c:v>
                </c:pt>
                <c:pt idx="91">
                  <c:v>11.166333333333334</c:v>
                </c:pt>
                <c:pt idx="92">
                  <c:v>11.262666666666668</c:v>
                </c:pt>
                <c:pt idx="93">
                  <c:v>11.359000000000002</c:v>
                </c:pt>
                <c:pt idx="94">
                  <c:v>11.455333333333334</c:v>
                </c:pt>
                <c:pt idx="95">
                  <c:v>11.551666666666668</c:v>
                </c:pt>
                <c:pt idx="96">
                  <c:v>11.648000000000001</c:v>
                </c:pt>
                <c:pt idx="97">
                  <c:v>11.744333333333334</c:v>
                </c:pt>
                <c:pt idx="98">
                  <c:v>11.840666666666667</c:v>
                </c:pt>
                <c:pt idx="99">
                  <c:v>11.937000000000001</c:v>
                </c:pt>
                <c:pt idx="100">
                  <c:v>12.033333333333335</c:v>
                </c:pt>
                <c:pt idx="101">
                  <c:v>12.129666666666667</c:v>
                </c:pt>
                <c:pt idx="102">
                  <c:v>12.226000000000001</c:v>
                </c:pt>
                <c:pt idx="103">
                  <c:v>12.322333333333335</c:v>
                </c:pt>
                <c:pt idx="104">
                  <c:v>12.418666666666669</c:v>
                </c:pt>
                <c:pt idx="105">
                  <c:v>12.515000000000001</c:v>
                </c:pt>
                <c:pt idx="106">
                  <c:v>12.611333333333334</c:v>
                </c:pt>
                <c:pt idx="107">
                  <c:v>12.707666666666668</c:v>
                </c:pt>
                <c:pt idx="108">
                  <c:v>12.804</c:v>
                </c:pt>
                <c:pt idx="109">
                  <c:v>12.900333333333334</c:v>
                </c:pt>
                <c:pt idx="110">
                  <c:v>12.996666666666668</c:v>
                </c:pt>
                <c:pt idx="111">
                  <c:v>13.093000000000002</c:v>
                </c:pt>
                <c:pt idx="112">
                  <c:v>13.189333333333334</c:v>
                </c:pt>
                <c:pt idx="113">
                  <c:v>13.285666666666668</c:v>
                </c:pt>
                <c:pt idx="114">
                  <c:v>13.382000000000001</c:v>
                </c:pt>
                <c:pt idx="115">
                  <c:v>13.478333333333335</c:v>
                </c:pt>
                <c:pt idx="116">
                  <c:v>13.574666666666667</c:v>
                </c:pt>
                <c:pt idx="117">
                  <c:v>13.671000000000001</c:v>
                </c:pt>
                <c:pt idx="118">
                  <c:v>13.767333333333335</c:v>
                </c:pt>
                <c:pt idx="119">
                  <c:v>13.863666666666667</c:v>
                </c:pt>
                <c:pt idx="120">
                  <c:v>13.96</c:v>
                </c:pt>
                <c:pt idx="121">
                  <c:v>14.056333333333335</c:v>
                </c:pt>
                <c:pt idx="122">
                  <c:v>14.152666666666669</c:v>
                </c:pt>
                <c:pt idx="123">
                  <c:v>14.249000000000001</c:v>
                </c:pt>
                <c:pt idx="124">
                  <c:v>14.345333333333334</c:v>
                </c:pt>
                <c:pt idx="125">
                  <c:v>14.441666666666668</c:v>
                </c:pt>
                <c:pt idx="126">
                  <c:v>14.538000000000002</c:v>
                </c:pt>
                <c:pt idx="127">
                  <c:v>14.634333333333334</c:v>
                </c:pt>
                <c:pt idx="128">
                  <c:v>14.730666666666668</c:v>
                </c:pt>
                <c:pt idx="129">
                  <c:v>14.827000000000002</c:v>
                </c:pt>
                <c:pt idx="130">
                  <c:v>14.923333333333334</c:v>
                </c:pt>
                <c:pt idx="131">
                  <c:v>15.019666666666668</c:v>
                </c:pt>
                <c:pt idx="132">
                  <c:v>15.116000000000001</c:v>
                </c:pt>
                <c:pt idx="133">
                  <c:v>15.212333333333335</c:v>
                </c:pt>
                <c:pt idx="134">
                  <c:v>15.308666666666667</c:v>
                </c:pt>
                <c:pt idx="135">
                  <c:v>15.405000000000001</c:v>
                </c:pt>
                <c:pt idx="136">
                  <c:v>15.501333333333335</c:v>
                </c:pt>
                <c:pt idx="137">
                  <c:v>15.597666666666669</c:v>
                </c:pt>
                <c:pt idx="138">
                  <c:v>15.694000000000001</c:v>
                </c:pt>
                <c:pt idx="139">
                  <c:v>15.790333333333335</c:v>
                </c:pt>
                <c:pt idx="140">
                  <c:v>15.886666666666668</c:v>
                </c:pt>
                <c:pt idx="141">
                  <c:v>15.983000000000001</c:v>
                </c:pt>
                <c:pt idx="142">
                  <c:v>16.079333333333334</c:v>
                </c:pt>
                <c:pt idx="143">
                  <c:v>16.175666666666668</c:v>
                </c:pt>
                <c:pt idx="144">
                  <c:v>16.272000000000002</c:v>
                </c:pt>
                <c:pt idx="145">
                  <c:v>16.368333333333332</c:v>
                </c:pt>
                <c:pt idx="146">
                  <c:v>16.464666666666666</c:v>
                </c:pt>
                <c:pt idx="147">
                  <c:v>16.561</c:v>
                </c:pt>
                <c:pt idx="148">
                  <c:v>16.657333333333334</c:v>
                </c:pt>
                <c:pt idx="149">
                  <c:v>16.753666666666668</c:v>
                </c:pt>
                <c:pt idx="150">
                  <c:v>16.850000000000001</c:v>
                </c:pt>
                <c:pt idx="151">
                  <c:v>16.946333333333335</c:v>
                </c:pt>
                <c:pt idx="152">
                  <c:v>17.042666666666666</c:v>
                </c:pt>
                <c:pt idx="153">
                  <c:v>17.138999999999999</c:v>
                </c:pt>
                <c:pt idx="154">
                  <c:v>17.235333333333333</c:v>
                </c:pt>
                <c:pt idx="155">
                  <c:v>17.331666666666667</c:v>
                </c:pt>
                <c:pt idx="156">
                  <c:v>17.428000000000001</c:v>
                </c:pt>
                <c:pt idx="157">
                  <c:v>17.524333333333335</c:v>
                </c:pt>
                <c:pt idx="158">
                  <c:v>17.620666666666668</c:v>
                </c:pt>
                <c:pt idx="159">
                  <c:v>17.717000000000002</c:v>
                </c:pt>
                <c:pt idx="160">
                  <c:v>17.813333333333333</c:v>
                </c:pt>
                <c:pt idx="161">
                  <c:v>17.909666666666666</c:v>
                </c:pt>
                <c:pt idx="162">
                  <c:v>18.006</c:v>
                </c:pt>
                <c:pt idx="163">
                  <c:v>18.102333333333334</c:v>
                </c:pt>
                <c:pt idx="164">
                  <c:v>18.198666666666668</c:v>
                </c:pt>
                <c:pt idx="165">
                  <c:v>18.295000000000002</c:v>
                </c:pt>
                <c:pt idx="166">
                  <c:v>18.391333333333336</c:v>
                </c:pt>
                <c:pt idx="167">
                  <c:v>18.487666666666666</c:v>
                </c:pt>
                <c:pt idx="168">
                  <c:v>18.584</c:v>
                </c:pt>
                <c:pt idx="169">
                  <c:v>18.680333333333333</c:v>
                </c:pt>
                <c:pt idx="170">
                  <c:v>18.776666666666667</c:v>
                </c:pt>
                <c:pt idx="171">
                  <c:v>18.873000000000001</c:v>
                </c:pt>
                <c:pt idx="172">
                  <c:v>18.969333333333331</c:v>
                </c:pt>
                <c:pt idx="173">
                  <c:v>19.065666666666665</c:v>
                </c:pt>
                <c:pt idx="174">
                  <c:v>19.161999999999999</c:v>
                </c:pt>
                <c:pt idx="175">
                  <c:v>19.258333333333333</c:v>
                </c:pt>
                <c:pt idx="176">
                  <c:v>19.354666666666667</c:v>
                </c:pt>
                <c:pt idx="177">
                  <c:v>19.451000000000001</c:v>
                </c:pt>
                <c:pt idx="178">
                  <c:v>19.547333333333334</c:v>
                </c:pt>
                <c:pt idx="179">
                  <c:v>19.643666666666668</c:v>
                </c:pt>
                <c:pt idx="180">
                  <c:v>19.739999999999998</c:v>
                </c:pt>
                <c:pt idx="181">
                  <c:v>19.836333333333332</c:v>
                </c:pt>
                <c:pt idx="182">
                  <c:v>19.932666666666666</c:v>
                </c:pt>
                <c:pt idx="183">
                  <c:v>20.029</c:v>
                </c:pt>
                <c:pt idx="184">
                  <c:v>20.125333333333334</c:v>
                </c:pt>
                <c:pt idx="185">
                  <c:v>20.221666666666668</c:v>
                </c:pt>
                <c:pt idx="186">
                  <c:v>20.318000000000001</c:v>
                </c:pt>
                <c:pt idx="187">
                  <c:v>20.414333333333332</c:v>
                </c:pt>
                <c:pt idx="188">
                  <c:v>20.510666666666665</c:v>
                </c:pt>
                <c:pt idx="189">
                  <c:v>20.606999999999999</c:v>
                </c:pt>
                <c:pt idx="190">
                  <c:v>20.703333333333333</c:v>
                </c:pt>
                <c:pt idx="191">
                  <c:v>20.799666666666667</c:v>
                </c:pt>
                <c:pt idx="192">
                  <c:v>20.896000000000001</c:v>
                </c:pt>
                <c:pt idx="193">
                  <c:v>20.992333333333335</c:v>
                </c:pt>
                <c:pt idx="194">
                  <c:v>21.088666666666665</c:v>
                </c:pt>
                <c:pt idx="195">
                  <c:v>21.184999999999999</c:v>
                </c:pt>
                <c:pt idx="196">
                  <c:v>21.281333333333333</c:v>
                </c:pt>
                <c:pt idx="197">
                  <c:v>21.377666666666666</c:v>
                </c:pt>
                <c:pt idx="198">
                  <c:v>21.474</c:v>
                </c:pt>
                <c:pt idx="199">
                  <c:v>21.570333333333334</c:v>
                </c:pt>
                <c:pt idx="200">
                  <c:v>21.666666666666668</c:v>
                </c:pt>
                <c:pt idx="201">
                  <c:v>21.763000000000002</c:v>
                </c:pt>
                <c:pt idx="202">
                  <c:v>21.859333333333332</c:v>
                </c:pt>
                <c:pt idx="203">
                  <c:v>21.955666666666666</c:v>
                </c:pt>
                <c:pt idx="204">
                  <c:v>22.052</c:v>
                </c:pt>
                <c:pt idx="205">
                  <c:v>22.148333333333333</c:v>
                </c:pt>
                <c:pt idx="206">
                  <c:v>22.244666666666667</c:v>
                </c:pt>
                <c:pt idx="207">
                  <c:v>22.341000000000001</c:v>
                </c:pt>
                <c:pt idx="208">
                  <c:v>22.437333333333335</c:v>
                </c:pt>
                <c:pt idx="209">
                  <c:v>22.533666666666665</c:v>
                </c:pt>
                <c:pt idx="210">
                  <c:v>22.63</c:v>
                </c:pt>
                <c:pt idx="211">
                  <c:v>22.726333333333333</c:v>
                </c:pt>
                <c:pt idx="212">
                  <c:v>22.822666666666667</c:v>
                </c:pt>
                <c:pt idx="213">
                  <c:v>22.919</c:v>
                </c:pt>
                <c:pt idx="214">
                  <c:v>23.015333333333334</c:v>
                </c:pt>
                <c:pt idx="215">
                  <c:v>23.111666666666668</c:v>
                </c:pt>
                <c:pt idx="216">
                  <c:v>23.207999999999998</c:v>
                </c:pt>
                <c:pt idx="217">
                  <c:v>23.304333333333332</c:v>
                </c:pt>
                <c:pt idx="218">
                  <c:v>23.400666666666666</c:v>
                </c:pt>
                <c:pt idx="219">
                  <c:v>23.497</c:v>
                </c:pt>
                <c:pt idx="220">
                  <c:v>23.593333333333334</c:v>
                </c:pt>
                <c:pt idx="221">
                  <c:v>23.689666666666668</c:v>
                </c:pt>
                <c:pt idx="222">
                  <c:v>23.786000000000001</c:v>
                </c:pt>
                <c:pt idx="223">
                  <c:v>23.882333333333335</c:v>
                </c:pt>
                <c:pt idx="224">
                  <c:v>23.978666666666665</c:v>
                </c:pt>
                <c:pt idx="225">
                  <c:v>24.074999999999999</c:v>
                </c:pt>
                <c:pt idx="226">
                  <c:v>24.171333333333333</c:v>
                </c:pt>
                <c:pt idx="227">
                  <c:v>24.267666666666667</c:v>
                </c:pt>
                <c:pt idx="228">
                  <c:v>24.364000000000001</c:v>
                </c:pt>
                <c:pt idx="229">
                  <c:v>24.460333333333335</c:v>
                </c:pt>
                <c:pt idx="230">
                  <c:v>24.556666666666668</c:v>
                </c:pt>
                <c:pt idx="231">
                  <c:v>24.652999999999999</c:v>
                </c:pt>
                <c:pt idx="232">
                  <c:v>24.749333333333333</c:v>
                </c:pt>
                <c:pt idx="233">
                  <c:v>24.845666666666666</c:v>
                </c:pt>
                <c:pt idx="234">
                  <c:v>24.942</c:v>
                </c:pt>
                <c:pt idx="235">
                  <c:v>25.038333333333334</c:v>
                </c:pt>
                <c:pt idx="236">
                  <c:v>25.134666666666668</c:v>
                </c:pt>
                <c:pt idx="237">
                  <c:v>25.231000000000002</c:v>
                </c:pt>
                <c:pt idx="238">
                  <c:v>25.327333333333332</c:v>
                </c:pt>
                <c:pt idx="239">
                  <c:v>25.423666666666666</c:v>
                </c:pt>
                <c:pt idx="240">
                  <c:v>25.52</c:v>
                </c:pt>
                <c:pt idx="241">
                  <c:v>25.616333333333333</c:v>
                </c:pt>
                <c:pt idx="242">
                  <c:v>25.712666666666667</c:v>
                </c:pt>
                <c:pt idx="243">
                  <c:v>25.809000000000001</c:v>
                </c:pt>
                <c:pt idx="244">
                  <c:v>25.905333333333335</c:v>
                </c:pt>
                <c:pt idx="245">
                  <c:v>26.001666666666669</c:v>
                </c:pt>
                <c:pt idx="246">
                  <c:v>26.097999999999999</c:v>
                </c:pt>
                <c:pt idx="247">
                  <c:v>26.194333333333333</c:v>
                </c:pt>
                <c:pt idx="248">
                  <c:v>26.290666666666667</c:v>
                </c:pt>
                <c:pt idx="249">
                  <c:v>26.387</c:v>
                </c:pt>
                <c:pt idx="250">
                  <c:v>26.483333333333334</c:v>
                </c:pt>
                <c:pt idx="251">
                  <c:v>26.579666666666668</c:v>
                </c:pt>
                <c:pt idx="252">
                  <c:v>26.676000000000002</c:v>
                </c:pt>
                <c:pt idx="253">
                  <c:v>26.772333333333332</c:v>
                </c:pt>
                <c:pt idx="254">
                  <c:v>26.868666666666666</c:v>
                </c:pt>
                <c:pt idx="255">
                  <c:v>26.965</c:v>
                </c:pt>
                <c:pt idx="256">
                  <c:v>27.061333333333334</c:v>
                </c:pt>
                <c:pt idx="257">
                  <c:v>27.157666666666668</c:v>
                </c:pt>
                <c:pt idx="258">
                  <c:v>27.254000000000001</c:v>
                </c:pt>
                <c:pt idx="259">
                  <c:v>27.350333333333335</c:v>
                </c:pt>
                <c:pt idx="260">
                  <c:v>27.446666666666665</c:v>
                </c:pt>
                <c:pt idx="261">
                  <c:v>27.542999999999999</c:v>
                </c:pt>
                <c:pt idx="262">
                  <c:v>27.639333333333333</c:v>
                </c:pt>
                <c:pt idx="263">
                  <c:v>27.735666666666667</c:v>
                </c:pt>
                <c:pt idx="264">
                  <c:v>27.832000000000001</c:v>
                </c:pt>
                <c:pt idx="265">
                  <c:v>27.928333333333335</c:v>
                </c:pt>
                <c:pt idx="266">
                  <c:v>28.024666666666668</c:v>
                </c:pt>
                <c:pt idx="267">
                  <c:v>28.120999999999999</c:v>
                </c:pt>
                <c:pt idx="268">
                  <c:v>28.217333333333332</c:v>
                </c:pt>
                <c:pt idx="269">
                  <c:v>28.313666666666666</c:v>
                </c:pt>
                <c:pt idx="270">
                  <c:v>28.41</c:v>
                </c:pt>
                <c:pt idx="271">
                  <c:v>28.506333333333334</c:v>
                </c:pt>
                <c:pt idx="272">
                  <c:v>28.602666666666668</c:v>
                </c:pt>
                <c:pt idx="273">
                  <c:v>28.699000000000002</c:v>
                </c:pt>
                <c:pt idx="274">
                  <c:v>28.795333333333335</c:v>
                </c:pt>
                <c:pt idx="275">
                  <c:v>28.891666666666666</c:v>
                </c:pt>
                <c:pt idx="276">
                  <c:v>28.988</c:v>
                </c:pt>
                <c:pt idx="277">
                  <c:v>29.084333333333333</c:v>
                </c:pt>
                <c:pt idx="278">
                  <c:v>29.180666666666667</c:v>
                </c:pt>
                <c:pt idx="279">
                  <c:v>29.277000000000001</c:v>
                </c:pt>
                <c:pt idx="280">
                  <c:v>29.373333333333335</c:v>
                </c:pt>
                <c:pt idx="281">
                  <c:v>29.469666666666669</c:v>
                </c:pt>
                <c:pt idx="282">
                  <c:v>29.565999999999999</c:v>
                </c:pt>
                <c:pt idx="283">
                  <c:v>29.662333333333333</c:v>
                </c:pt>
                <c:pt idx="284">
                  <c:v>29.758666666666667</c:v>
                </c:pt>
                <c:pt idx="285">
                  <c:v>29.855</c:v>
                </c:pt>
                <c:pt idx="286">
                  <c:v>29.951333333333334</c:v>
                </c:pt>
                <c:pt idx="287">
                  <c:v>30.047666666666668</c:v>
                </c:pt>
                <c:pt idx="288">
                  <c:v>30.144000000000002</c:v>
                </c:pt>
                <c:pt idx="289">
                  <c:v>30.240333333333332</c:v>
                </c:pt>
                <c:pt idx="290">
                  <c:v>30.336666666666666</c:v>
                </c:pt>
                <c:pt idx="291">
                  <c:v>30.433</c:v>
                </c:pt>
                <c:pt idx="292">
                  <c:v>30.529333333333334</c:v>
                </c:pt>
                <c:pt idx="293">
                  <c:v>30.625666666666667</c:v>
                </c:pt>
                <c:pt idx="294">
                  <c:v>30.722000000000001</c:v>
                </c:pt>
                <c:pt idx="295">
                  <c:v>30.818333333333335</c:v>
                </c:pt>
                <c:pt idx="296">
                  <c:v>30.914666666666669</c:v>
                </c:pt>
                <c:pt idx="297">
                  <c:v>31.010999999999999</c:v>
                </c:pt>
                <c:pt idx="298">
                  <c:v>31.107333333333333</c:v>
                </c:pt>
                <c:pt idx="299">
                  <c:v>31.203666666666667</c:v>
                </c:pt>
                <c:pt idx="300">
                  <c:v>31.3</c:v>
                </c:pt>
              </c:numCache>
            </c:numRef>
          </c:xVal>
          <c:yVal>
            <c:numRef>
              <c:f>Fosforzuurbepaling!$W$6:$W$306</c:f>
              <c:numCache>
                <c:formatCode>0.0000</c:formatCode>
                <c:ptCount val="301"/>
                <c:pt idx="0">
                  <c:v>0</c:v>
                </c:pt>
                <c:pt idx="1">
                  <c:v>2.0991194797941138E-2</c:v>
                </c:pt>
                <c:pt idx="2">
                  <c:v>4.1982365668655292E-2</c:v>
                </c:pt>
                <c:pt idx="3">
                  <c:v>6.2973584393535287E-2</c:v>
                </c:pt>
                <c:pt idx="4">
                  <c:v>8.3964731337598714E-2</c:v>
                </c:pt>
                <c:pt idx="5">
                  <c:v>0.10495595006247871</c:v>
                </c:pt>
                <c:pt idx="6">
                  <c:v>0.12594714486013173</c:v>
                </c:pt>
                <c:pt idx="7">
                  <c:v>0.146938315731134</c:v>
                </c:pt>
                <c:pt idx="8">
                  <c:v>0.16792951052907515</c:v>
                </c:pt>
                <c:pt idx="9">
                  <c:v>0.18892068140007742</c:v>
                </c:pt>
                <c:pt idx="10">
                  <c:v>0.2099118522710797</c:v>
                </c:pt>
                <c:pt idx="11">
                  <c:v>0.23090307099567156</c:v>
                </c:pt>
                <c:pt idx="12">
                  <c:v>0.25189426579361274</c:v>
                </c:pt>
                <c:pt idx="13">
                  <c:v>0.27288543666432685</c:v>
                </c:pt>
                <c:pt idx="14">
                  <c:v>0.29267624111689727</c:v>
                </c:pt>
                <c:pt idx="15">
                  <c:v>0.30032448553070024</c:v>
                </c:pt>
                <c:pt idx="16">
                  <c:v>0.30797277779838095</c:v>
                </c:pt>
                <c:pt idx="17">
                  <c:v>0.3156210700654854</c:v>
                </c:pt>
                <c:pt idx="18">
                  <c:v>0.32326931447928836</c:v>
                </c:pt>
                <c:pt idx="19">
                  <c:v>0.33091760674696907</c:v>
                </c:pt>
                <c:pt idx="20">
                  <c:v>0.33856592294072424</c:v>
                </c:pt>
                <c:pt idx="21">
                  <c:v>0.34621407164792423</c:v>
                </c:pt>
                <c:pt idx="22">
                  <c:v>0.35386245962278412</c:v>
                </c:pt>
                <c:pt idx="23">
                  <c:v>0.3138872526557725</c:v>
                </c:pt>
                <c:pt idx="24">
                  <c:v>0.26090483804100345</c:v>
                </c:pt>
                <c:pt idx="25">
                  <c:v>0.20792247128068839</c:v>
                </c:pt>
                <c:pt idx="26">
                  <c:v>0.15494005666591934</c:v>
                </c:pt>
                <c:pt idx="27">
                  <c:v>7.6837519835824444E-2</c:v>
                </c:pt>
                <c:pt idx="28">
                  <c:v>-1.581536831600145E-2</c:v>
                </c:pt>
                <c:pt idx="29">
                  <c:v>-8.3877876567106463E-2</c:v>
                </c:pt>
                <c:pt idx="30">
                  <c:v>-0.15124037844124183</c:v>
                </c:pt>
                <c:pt idx="31">
                  <c:v>-0.21860288031768213</c:v>
                </c:pt>
                <c:pt idx="32">
                  <c:v>-0.28596543004511898</c:v>
                </c:pt>
                <c:pt idx="33">
                  <c:v>-0.33070798287853254</c:v>
                </c:pt>
                <c:pt idx="34">
                  <c:v>-0.370487754650412</c:v>
                </c:pt>
                <c:pt idx="35">
                  <c:v>-0.39009530271540899</c:v>
                </c:pt>
                <c:pt idx="36">
                  <c:v>-0.36850947575734755</c:v>
                </c:pt>
                <c:pt idx="37">
                  <c:v>-0.34692355309037815</c:v>
                </c:pt>
                <c:pt idx="38">
                  <c:v>-0.32533763042456121</c:v>
                </c:pt>
                <c:pt idx="39">
                  <c:v>-0.30375180346592345</c:v>
                </c:pt>
                <c:pt idx="40">
                  <c:v>-0.28216588079953031</c:v>
                </c:pt>
                <c:pt idx="41">
                  <c:v>-0.26057995813313717</c:v>
                </c:pt>
                <c:pt idx="42">
                  <c:v>-0.23899408332062169</c:v>
                </c:pt>
                <c:pt idx="43">
                  <c:v>-0.21749793451039753</c:v>
                </c:pt>
                <c:pt idx="44">
                  <c:v>-0.19629962817288849</c:v>
                </c:pt>
                <c:pt idx="45">
                  <c:v>-0.17510113041986855</c:v>
                </c:pt>
                <c:pt idx="46">
                  <c:v>-0.15390263266684862</c:v>
                </c:pt>
                <c:pt idx="47">
                  <c:v>-0.13270427847574998</c:v>
                </c:pt>
                <c:pt idx="48">
                  <c:v>-0.1115056850149746</c:v>
                </c:pt>
                <c:pt idx="49">
                  <c:v>-9.0307330823299711E-2</c:v>
                </c:pt>
                <c:pt idx="50">
                  <c:v>-6.9108833070567893E-2</c:v>
                </c:pt>
                <c:pt idx="51">
                  <c:v>-4.7910431025303402E-2</c:v>
                </c:pt>
                <c:pt idx="52">
                  <c:v>-2.6711933272283467E-2</c:v>
                </c:pt>
                <c:pt idx="53">
                  <c:v>-5.5135312270189795E-3</c:v>
                </c:pt>
                <c:pt idx="54">
                  <c:v>-1.4845226855755987E-3</c:v>
                </c:pt>
                <c:pt idx="55">
                  <c:v>-4.5666946003266641E-4</c:v>
                </c:pt>
                <c:pt idx="56">
                  <c:v>5.7118376551026603E-4</c:v>
                </c:pt>
                <c:pt idx="57">
                  <c:v>1.5990848449309216E-3</c:v>
                </c:pt>
                <c:pt idx="58">
                  <c:v>2.6269380701857336E-3</c:v>
                </c:pt>
                <c:pt idx="59">
                  <c:v>3.6548391496063893E-3</c:v>
                </c:pt>
                <c:pt idx="60">
                  <c:v>4.6827402290270451E-3</c:v>
                </c:pt>
                <c:pt idx="61">
                  <c:v>5.7105934545699771E-3</c:v>
                </c:pt>
                <c:pt idx="62">
                  <c:v>6.7384466798247897E-3</c:v>
                </c:pt>
                <c:pt idx="63">
                  <c:v>7.7662520517781186E-3</c:v>
                </c:pt>
                <c:pt idx="64">
                  <c:v>8.7941531309106546E-3</c:v>
                </c:pt>
                <c:pt idx="65">
                  <c:v>9.8220542103313099E-3</c:v>
                </c:pt>
                <c:pt idx="66">
                  <c:v>1.0849859581708398E-2</c:v>
                </c:pt>
                <c:pt idx="67">
                  <c:v>1.1877712807251332E-2</c:v>
                </c:pt>
                <c:pt idx="68">
                  <c:v>1.2905566032794264E-2</c:v>
                </c:pt>
                <c:pt idx="69">
                  <c:v>1.9190166631083933E-2</c:v>
                </c:pt>
                <c:pt idx="70">
                  <c:v>3.0992461742890141E-2</c:v>
                </c:pt>
                <c:pt idx="71">
                  <c:v>4.2794756854696345E-2</c:v>
                </c:pt>
                <c:pt idx="72">
                  <c:v>5.4597051966790676E-2</c:v>
                </c:pt>
                <c:pt idx="73">
                  <c:v>6.6399394932186481E-2</c:v>
                </c:pt>
                <c:pt idx="74">
                  <c:v>7.8201690043992689E-2</c:v>
                </c:pt>
                <c:pt idx="75">
                  <c:v>9.0004080863554339E-2</c:v>
                </c:pt>
                <c:pt idx="76">
                  <c:v>0.10180632812148283</c:v>
                </c:pt>
                <c:pt idx="77">
                  <c:v>0.11360862323328903</c:v>
                </c:pt>
                <c:pt idx="78">
                  <c:v>0.12541101405285068</c:v>
                </c:pt>
                <c:pt idx="79">
                  <c:v>0.13721321345690143</c:v>
                </c:pt>
                <c:pt idx="80">
                  <c:v>0.14901550856870766</c:v>
                </c:pt>
                <c:pt idx="81">
                  <c:v>0.16081799509602476</c:v>
                </c:pt>
                <c:pt idx="82">
                  <c:v>0.17262029020783096</c:v>
                </c:pt>
                <c:pt idx="83">
                  <c:v>0.18442258531963718</c:v>
                </c:pt>
                <c:pt idx="84">
                  <c:v>0.19622468901593249</c:v>
                </c:pt>
                <c:pt idx="85">
                  <c:v>0.20802698412773868</c:v>
                </c:pt>
                <c:pt idx="86">
                  <c:v>0.19769724823467036</c:v>
                </c:pt>
                <c:pt idx="87">
                  <c:v>0.17652918554154373</c:v>
                </c:pt>
                <c:pt idx="88">
                  <c:v>0.15536140997168343</c:v>
                </c:pt>
                <c:pt idx="89">
                  <c:v>0.13419363440182314</c:v>
                </c:pt>
                <c:pt idx="90">
                  <c:v>0.1130257631242074</c:v>
                </c:pt>
                <c:pt idx="91">
                  <c:v>8.2241465705618827E-2</c:v>
                </c:pt>
                <c:pt idx="92">
                  <c:v>4.7108304494305253E-2</c:v>
                </c:pt>
                <c:pt idx="93">
                  <c:v>1.2420567082911877E-2</c:v>
                </c:pt>
                <c:pt idx="94">
                  <c:v>-2.1985502462403123E-2</c:v>
                </c:pt>
                <c:pt idx="95">
                  <c:v>-5.6391572007141885E-2</c:v>
                </c:pt>
                <c:pt idx="96">
                  <c:v>-9.0797354429766788E-2</c:v>
                </c:pt>
                <c:pt idx="97">
                  <c:v>-0.12520332826732633</c:v>
                </c:pt>
                <c:pt idx="98">
                  <c:v>-0.1596093978120651</c:v>
                </c:pt>
                <c:pt idx="99">
                  <c:v>-0.19401527594129298</c:v>
                </c:pt>
                <c:pt idx="100">
                  <c:v>-0.22842124977885253</c:v>
                </c:pt>
                <c:pt idx="101">
                  <c:v>-0.23191850614225029</c:v>
                </c:pt>
                <c:pt idx="102">
                  <c:v>-0.22358437224252481</c:v>
                </c:pt>
                <c:pt idx="103">
                  <c:v>-0.21525033404997854</c:v>
                </c:pt>
                <c:pt idx="104">
                  <c:v>-0.206916295856856</c:v>
                </c:pt>
                <c:pt idx="105">
                  <c:v>-0.19858235337264143</c:v>
                </c:pt>
                <c:pt idx="106">
                  <c:v>-0.19032162730520857</c:v>
                </c:pt>
                <c:pt idx="107">
                  <c:v>-0.18261016793218682</c:v>
                </c:pt>
                <c:pt idx="108">
                  <c:v>-0.17489880426720861</c:v>
                </c:pt>
                <c:pt idx="109">
                  <c:v>-0.16718744060165416</c:v>
                </c:pt>
                <c:pt idx="110">
                  <c:v>-0.15947588552116509</c:v>
                </c:pt>
                <c:pt idx="111">
                  <c:v>-0.15176433044038787</c:v>
                </c:pt>
                <c:pt idx="112">
                  <c:v>-0.1440530624825889</c:v>
                </c:pt>
                <c:pt idx="113">
                  <c:v>-0.13634169881732258</c:v>
                </c:pt>
                <c:pt idx="114">
                  <c:v>-0.12863014373683349</c:v>
                </c:pt>
                <c:pt idx="115">
                  <c:v>-0.1209186843635236</c:v>
                </c:pt>
                <c:pt idx="116">
                  <c:v>-0.1132073206985454</c:v>
                </c:pt>
                <c:pt idx="117">
                  <c:v>-0.10549576561762414</c:v>
                </c:pt>
                <c:pt idx="118">
                  <c:v>-9.7784497659969202E-2</c:v>
                </c:pt>
                <c:pt idx="119">
                  <c:v>-9.0072942579336054E-2</c:v>
                </c:pt>
                <c:pt idx="120">
                  <c:v>-8.2361674621681119E-2</c:v>
                </c:pt>
                <c:pt idx="121">
                  <c:v>-7.4650215248659363E-2</c:v>
                </c:pt>
                <c:pt idx="122">
                  <c:v>-6.6938755875781658E-2</c:v>
                </c:pt>
                <c:pt idx="123">
                  <c:v>-5.9227296502615837E-2</c:v>
                </c:pt>
                <c:pt idx="124">
                  <c:v>-5.1515837129594073E-2</c:v>
                </c:pt>
                <c:pt idx="125">
                  <c:v>-4.3804473464327753E-2</c:v>
                </c:pt>
                <c:pt idx="126">
                  <c:v>-3.6093109798989408E-2</c:v>
                </c:pt>
                <c:pt idx="127">
                  <c:v>-2.8381554718212201E-2</c:v>
                </c:pt>
                <c:pt idx="128">
                  <c:v>-2.0670191052945885E-2</c:v>
                </c:pt>
                <c:pt idx="129">
                  <c:v>-1.2958731679924122E-2</c:v>
                </c:pt>
                <c:pt idx="130">
                  <c:v>-5.2472723069743894E-3</c:v>
                </c:pt>
                <c:pt idx="131">
                  <c:v>2.4640913583639568E-3</c:v>
                </c:pt>
                <c:pt idx="132">
                  <c:v>7.1452524097142568E-3</c:v>
                </c:pt>
                <c:pt idx="133">
                  <c:v>6.7479695996909518E-3</c:v>
                </c:pt>
                <c:pt idx="134">
                  <c:v>6.3506867895956167E-3</c:v>
                </c:pt>
                <c:pt idx="135">
                  <c:v>5.953308271744835E-3</c:v>
                </c:pt>
                <c:pt idx="136">
                  <c:v>5.5560254616494999E-3</c:v>
                </c:pt>
                <c:pt idx="137">
                  <c:v>5.1587426515541639E-3</c:v>
                </c:pt>
                <c:pt idx="138">
                  <c:v>4.7614598415308589E-3</c:v>
                </c:pt>
                <c:pt idx="139">
                  <c:v>4.3639856159246315E-3</c:v>
                </c:pt>
                <c:pt idx="140">
                  <c:v>3.9667985135847421E-3</c:v>
                </c:pt>
                <c:pt idx="141">
                  <c:v>3.5694199957339609E-3</c:v>
                </c:pt>
                <c:pt idx="142">
                  <c:v>3.1720414779552093E-3</c:v>
                </c:pt>
                <c:pt idx="143">
                  <c:v>2.7747586678598737E-3</c:v>
                </c:pt>
                <c:pt idx="144">
                  <c:v>2.3773801500090921E-3</c:v>
                </c:pt>
                <c:pt idx="145">
                  <c:v>1.9801930476692035E-3</c:v>
                </c:pt>
                <c:pt idx="146">
                  <c:v>1.5829102375738682E-3</c:v>
                </c:pt>
                <c:pt idx="147">
                  <c:v>1.1854360120396703E-3</c:v>
                </c:pt>
                <c:pt idx="148">
                  <c:v>7.8815320187230488E-4</c:v>
                </c:pt>
                <c:pt idx="149">
                  <c:v>3.9087039177696967E-4</c:v>
                </c:pt>
                <c:pt idx="150">
                  <c:v>-6.5081260738119383E-6</c:v>
                </c:pt>
                <c:pt idx="151">
                  <c:v>-4.0379093609711715E-4</c:v>
                </c:pt>
                <c:pt idx="152">
                  <c:v>-8.0116945394789871E-4</c:v>
                </c:pt>
                <c:pt idx="153">
                  <c:v>-1.1984522639712039E-3</c:v>
                </c:pt>
                <c:pt idx="154">
                  <c:v>-1.5957350740665392E-3</c:v>
                </c:pt>
                <c:pt idx="155">
                  <c:v>-1.9931135919173206E-3</c:v>
                </c:pt>
                <c:pt idx="156">
                  <c:v>-2.3903006943292397E-3</c:v>
                </c:pt>
                <c:pt idx="157">
                  <c:v>-2.7877749198634378E-3</c:v>
                </c:pt>
                <c:pt idx="158">
                  <c:v>-3.1850577299587729E-3</c:v>
                </c:pt>
                <c:pt idx="159">
                  <c:v>-3.5822448322986619E-3</c:v>
                </c:pt>
                <c:pt idx="160">
                  <c:v>-3.9797190578328596E-3</c:v>
                </c:pt>
                <c:pt idx="161">
                  <c:v>-4.3770975756836413E-3</c:v>
                </c:pt>
                <c:pt idx="162">
                  <c:v>-4.7742846780235298E-3</c:v>
                </c:pt>
                <c:pt idx="163">
                  <c:v>-5.1715674881188658E-3</c:v>
                </c:pt>
                <c:pt idx="164">
                  <c:v>-5.5689460059696475E-3</c:v>
                </c:pt>
                <c:pt idx="165">
                  <c:v>-5.9663245238204283E-3</c:v>
                </c:pt>
                <c:pt idx="166">
                  <c:v>-6.3635116261603177E-3</c:v>
                </c:pt>
                <c:pt idx="167">
                  <c:v>-6.44792584888868E-3</c:v>
                </c:pt>
                <c:pt idx="168">
                  <c:v>-6.399402026961579E-3</c:v>
                </c:pt>
                <c:pt idx="169">
                  <c:v>-6.3508782050344789E-3</c:v>
                </c:pt>
                <c:pt idx="170">
                  <c:v>-6.3022586754239622E-3</c:v>
                </c:pt>
                <c:pt idx="171">
                  <c:v>-6.2539262690077552E-3</c:v>
                </c:pt>
                <c:pt idx="172">
                  <c:v>-6.2054024470806551E-3</c:v>
                </c:pt>
                <c:pt idx="173">
                  <c:v>-6.1569743329090007E-3</c:v>
                </c:pt>
                <c:pt idx="174">
                  <c:v>-6.1084505110539306E-3</c:v>
                </c:pt>
                <c:pt idx="175">
                  <c:v>-6.0598309813713839E-3</c:v>
                </c:pt>
                <c:pt idx="176">
                  <c:v>-6.0114028671997303E-3</c:v>
                </c:pt>
                <c:pt idx="177">
                  <c:v>-5.9630704607835225E-3</c:v>
                </c:pt>
                <c:pt idx="178">
                  <c:v>-5.9145466388564223E-3</c:v>
                </c:pt>
                <c:pt idx="179">
                  <c:v>-5.8660228169293222E-3</c:v>
                </c:pt>
                <c:pt idx="180">
                  <c:v>-5.8174989950742521E-3</c:v>
                </c:pt>
                <c:pt idx="181">
                  <c:v>-5.7690708809025985E-3</c:v>
                </c:pt>
                <c:pt idx="182">
                  <c:v>-5.7206427667309441E-3</c:v>
                </c:pt>
                <c:pt idx="183">
                  <c:v>-5.6720232371204275E-3</c:v>
                </c:pt>
                <c:pt idx="184">
                  <c:v>-5.6235951229487739E-3</c:v>
                </c:pt>
                <c:pt idx="185">
                  <c:v>-5.5751670087771203E-3</c:v>
                </c:pt>
                <c:pt idx="186">
                  <c:v>-5.5266431868500193E-3</c:v>
                </c:pt>
                <c:pt idx="187">
                  <c:v>-5.4782150726783658E-3</c:v>
                </c:pt>
                <c:pt idx="188">
                  <c:v>-5.4297869585067122E-3</c:v>
                </c:pt>
                <c:pt idx="189">
                  <c:v>-5.381263136579612E-3</c:v>
                </c:pt>
                <c:pt idx="190">
                  <c:v>-5.3328350224799877E-3</c:v>
                </c:pt>
                <c:pt idx="191">
                  <c:v>-5.284215492797441E-3</c:v>
                </c:pt>
                <c:pt idx="192">
                  <c:v>-5.2357873786257874E-3</c:v>
                </c:pt>
                <c:pt idx="193">
                  <c:v>-5.1873592644541338E-3</c:v>
                </c:pt>
                <c:pt idx="194">
                  <c:v>-5.1389311503545095E-3</c:v>
                </c:pt>
                <c:pt idx="195">
                  <c:v>-5.0903116206719628E-3</c:v>
                </c:pt>
                <c:pt idx="196">
                  <c:v>-5.0419792142557558E-3</c:v>
                </c:pt>
                <c:pt idx="197">
                  <c:v>-4.9934553923286556E-3</c:v>
                </c:pt>
                <c:pt idx="198">
                  <c:v>-4.9449315704735847E-3</c:v>
                </c:pt>
                <c:pt idx="199">
                  <c:v>-4.8965034563019311E-3</c:v>
                </c:pt>
                <c:pt idx="200">
                  <c:v>-4.8478839266914145E-3</c:v>
                </c:pt>
                <c:pt idx="201">
                  <c:v>-4.7995515202031774E-3</c:v>
                </c:pt>
                <c:pt idx="202">
                  <c:v>-4.7509319905206307E-3</c:v>
                </c:pt>
                <c:pt idx="203">
                  <c:v>-4.7025995841404383E-3</c:v>
                </c:pt>
                <c:pt idx="204">
                  <c:v>-4.6540757622493528E-3</c:v>
                </c:pt>
                <c:pt idx="205">
                  <c:v>-4.6056476480776992E-3</c:v>
                </c:pt>
                <c:pt idx="206">
                  <c:v>-4.5571238261866136E-3</c:v>
                </c:pt>
                <c:pt idx="207">
                  <c:v>-4.5086000042595135E-3</c:v>
                </c:pt>
                <c:pt idx="208">
                  <c:v>-4.4599804746129814E-3</c:v>
                </c:pt>
                <c:pt idx="209">
                  <c:v>-4.4115523604413278E-3</c:v>
                </c:pt>
                <c:pt idx="210">
                  <c:v>-4.36321995402512E-3</c:v>
                </c:pt>
                <c:pt idx="211">
                  <c:v>-4.3146961321340353E-3</c:v>
                </c:pt>
                <c:pt idx="212">
                  <c:v>-4.2661723102069352E-3</c:v>
                </c:pt>
                <c:pt idx="213">
                  <c:v>-4.2176484883518651E-3</c:v>
                </c:pt>
                <c:pt idx="214">
                  <c:v>-4.1692203741441961E-3</c:v>
                </c:pt>
                <c:pt idx="215">
                  <c:v>-4.1207922600085571E-3</c:v>
                </c:pt>
                <c:pt idx="216">
                  <c:v>-4.0722684381174715E-3</c:v>
                </c:pt>
                <c:pt idx="217">
                  <c:v>-4.0237446162263869E-3</c:v>
                </c:pt>
                <c:pt idx="218">
                  <c:v>-3.9753165020187178E-3</c:v>
                </c:pt>
                <c:pt idx="219">
                  <c:v>-3.9267926801276323E-3</c:v>
                </c:pt>
                <c:pt idx="220">
                  <c:v>-3.8784602737114249E-3</c:v>
                </c:pt>
                <c:pt idx="221">
                  <c:v>-3.8298407440648932E-3</c:v>
                </c:pt>
                <c:pt idx="222">
                  <c:v>-3.7815083376126707E-3</c:v>
                </c:pt>
                <c:pt idx="223">
                  <c:v>-3.7329845157215856E-3</c:v>
                </c:pt>
                <c:pt idx="224">
                  <c:v>-3.684460693794485E-3</c:v>
                </c:pt>
                <c:pt idx="225">
                  <c:v>-3.6359368719033999E-3</c:v>
                </c:pt>
                <c:pt idx="226">
                  <c:v>-3.5874130500123148E-3</c:v>
                </c:pt>
                <c:pt idx="227">
                  <c:v>-3.5389849358406608E-3</c:v>
                </c:pt>
                <c:pt idx="228">
                  <c:v>-3.4905568216690068E-3</c:v>
                </c:pt>
                <c:pt idx="229">
                  <c:v>-3.4420329997779217E-3</c:v>
                </c:pt>
                <c:pt idx="230">
                  <c:v>-3.3936048856422828E-3</c:v>
                </c:pt>
                <c:pt idx="231">
                  <c:v>-3.3451767714706292E-3</c:v>
                </c:pt>
                <c:pt idx="232">
                  <c:v>-3.2965572417880825E-3</c:v>
                </c:pt>
                <c:pt idx="233">
                  <c:v>-3.2482248354078901E-3</c:v>
                </c:pt>
                <c:pt idx="234">
                  <c:v>-3.1996053057613584E-3</c:v>
                </c:pt>
                <c:pt idx="235">
                  <c:v>-3.1511771915897044E-3</c:v>
                </c:pt>
                <c:pt idx="236">
                  <c:v>-3.1026533696626043E-3</c:v>
                </c:pt>
                <c:pt idx="237">
                  <c:v>-3.0542252554909503E-3</c:v>
                </c:pt>
                <c:pt idx="238">
                  <c:v>-3.0057971413192963E-3</c:v>
                </c:pt>
                <c:pt idx="239">
                  <c:v>-2.9571776117087801E-3</c:v>
                </c:pt>
                <c:pt idx="240">
                  <c:v>-2.9087494975371261E-3</c:v>
                </c:pt>
                <c:pt idx="241">
                  <c:v>-2.8603213833654721E-3</c:v>
                </c:pt>
                <c:pt idx="242">
                  <c:v>-2.8117975614383719E-3</c:v>
                </c:pt>
                <c:pt idx="243">
                  <c:v>-2.7633694473027329E-3</c:v>
                </c:pt>
                <c:pt idx="244">
                  <c:v>-2.7149413331310789E-3</c:v>
                </c:pt>
                <c:pt idx="245">
                  <c:v>-2.6663218034845477E-3</c:v>
                </c:pt>
                <c:pt idx="246">
                  <c:v>-2.6179893970683398E-3</c:v>
                </c:pt>
                <c:pt idx="247">
                  <c:v>-2.5694655751592474E-3</c:v>
                </c:pt>
                <c:pt idx="248">
                  <c:v>-2.5210374610056007E-3</c:v>
                </c:pt>
                <c:pt idx="249">
                  <c:v>-2.4725136390965083E-3</c:v>
                </c:pt>
                <c:pt idx="250">
                  <c:v>-2.4239898171874155E-3</c:v>
                </c:pt>
                <c:pt idx="251">
                  <c:v>-2.3754659952783226E-3</c:v>
                </c:pt>
                <c:pt idx="252">
                  <c:v>-2.3270378811246764E-3</c:v>
                </c:pt>
                <c:pt idx="253">
                  <c:v>-2.2786097669530224E-3</c:v>
                </c:pt>
                <c:pt idx="254">
                  <c:v>-2.2299902373064907E-3</c:v>
                </c:pt>
                <c:pt idx="255">
                  <c:v>-2.1815621231528444E-3</c:v>
                </c:pt>
                <c:pt idx="256">
                  <c:v>-2.1330383012437516E-3</c:v>
                </c:pt>
                <c:pt idx="257">
                  <c:v>-2.0847058948275442E-3</c:v>
                </c:pt>
                <c:pt idx="258">
                  <c:v>-2.0362777806558902E-3</c:v>
                </c:pt>
                <c:pt idx="259">
                  <c:v>-1.9875625432719201E-3</c:v>
                </c:pt>
                <c:pt idx="260">
                  <c:v>-1.9392301368557124E-3</c:v>
                </c:pt>
                <c:pt idx="261">
                  <c:v>-1.8907063149466196E-3</c:v>
                </c:pt>
                <c:pt idx="262">
                  <c:v>-1.8422782007749658E-3</c:v>
                </c:pt>
                <c:pt idx="263">
                  <c:v>-1.7938500866213193E-3</c:v>
                </c:pt>
                <c:pt idx="264">
                  <c:v>-1.7452305569747879E-3</c:v>
                </c:pt>
                <c:pt idx="265">
                  <c:v>-1.6968024428031339E-3</c:v>
                </c:pt>
                <c:pt idx="266">
                  <c:v>-1.6481829131746099E-3</c:v>
                </c:pt>
                <c:pt idx="267">
                  <c:v>-1.5997547990029559E-3</c:v>
                </c:pt>
                <c:pt idx="268">
                  <c:v>-1.5512309770938633E-3</c:v>
                </c:pt>
                <c:pt idx="269">
                  <c:v>-1.5028985706776556E-3</c:v>
                </c:pt>
                <c:pt idx="270">
                  <c:v>-1.454374748768563E-3</c:v>
                </c:pt>
                <c:pt idx="271">
                  <c:v>-1.4060423423343481E-3</c:v>
                </c:pt>
                <c:pt idx="272">
                  <c:v>-1.3575185204432628E-3</c:v>
                </c:pt>
                <c:pt idx="273">
                  <c:v>-1.3089946985341699E-3</c:v>
                </c:pt>
                <c:pt idx="274">
                  <c:v>-1.2604708766250773E-3</c:v>
                </c:pt>
                <c:pt idx="275">
                  <c:v>-1.2120427624714308E-3</c:v>
                </c:pt>
                <c:pt idx="276">
                  <c:v>-1.163614648299777E-3</c:v>
                </c:pt>
                <c:pt idx="277">
                  <c:v>-1.1150908263906842E-3</c:v>
                </c:pt>
                <c:pt idx="278">
                  <c:v>-1.0664712967441527E-3</c:v>
                </c:pt>
                <c:pt idx="279">
                  <c:v>-1.0180431825905062E-3</c:v>
                </c:pt>
                <c:pt idx="280">
                  <c:v>-9.6961506843685997E-4</c:v>
                </c:pt>
                <c:pt idx="281">
                  <c:v>-9.2109124650975973E-4</c:v>
                </c:pt>
                <c:pt idx="282">
                  <c:v>-8.7266313235611335E-4</c:v>
                </c:pt>
                <c:pt idx="283">
                  <c:v>-8.2413931044702062E-4</c:v>
                </c:pt>
                <c:pt idx="284">
                  <c:v>-7.7571119629337424E-4</c:v>
                </c:pt>
                <c:pt idx="285">
                  <c:v>-7.2709166664684268E-4</c:v>
                </c:pt>
                <c:pt idx="286">
                  <c:v>-6.786635524931963E-4</c:v>
                </c:pt>
                <c:pt idx="287">
                  <c:v>-6.3013973058410357E-4</c:v>
                </c:pt>
                <c:pt idx="288">
                  <c:v>-5.8171161641244968E-4</c:v>
                </c:pt>
                <c:pt idx="289">
                  <c:v>-5.3328350224079578E-4</c:v>
                </c:pt>
                <c:pt idx="290">
                  <c:v>-4.8475968034971057E-4</c:v>
                </c:pt>
                <c:pt idx="291">
                  <c:v>-4.3623585844061784E-4</c:v>
                </c:pt>
                <c:pt idx="292">
                  <c:v>-3.8790345200640278E-4</c:v>
                </c:pt>
                <c:pt idx="293">
                  <c:v>-3.3928392237787873E-4</c:v>
                </c:pt>
                <c:pt idx="294">
                  <c:v>-2.9095151594366367E-4</c:v>
                </c:pt>
                <c:pt idx="295">
                  <c:v>-2.4242769403457095E-4</c:v>
                </c:pt>
                <c:pt idx="296">
                  <c:v>-1.9399957988092457E-4</c:v>
                </c:pt>
                <c:pt idx="297">
                  <c:v>-1.45380050234393E-4</c:v>
                </c:pt>
                <c:pt idx="298">
                  <c:v>-9.6951936062739108E-5</c:v>
                </c:pt>
                <c:pt idx="299">
                  <c:v>-4.833240643421503E-5</c:v>
                </c:pt>
                <c:pt idx="300">
                  <c:v>-9.5707737438852625E-8</c:v>
                </c:pt>
              </c:numCache>
            </c:numRef>
          </c:yVal>
          <c:smooth val="1"/>
          <c:extLst>
            <c:ext xmlns:c16="http://schemas.microsoft.com/office/drawing/2014/chart" uri="{C3380CC4-5D6E-409C-BE32-E72D297353CC}">
              <c16:uniqueId val="{00000001-152F-4C39-8D1C-45A077131B75}"/>
            </c:ext>
          </c:extLst>
        </c:ser>
        <c:dLbls>
          <c:showLegendKey val="0"/>
          <c:showVal val="0"/>
          <c:showCatName val="0"/>
          <c:showSerName val="0"/>
          <c:showPercent val="0"/>
          <c:showBubbleSize val="0"/>
        </c:dLbls>
        <c:axId val="395545952"/>
        <c:axId val="395546496"/>
      </c:scatterChart>
      <c:valAx>
        <c:axId val="395545952"/>
        <c:scaling>
          <c:orientation val="minMax"/>
        </c:scaling>
        <c:delete val="0"/>
        <c:axPos val="b"/>
        <c:majorGridlines/>
        <c:title>
          <c:tx>
            <c:rich>
              <a:bodyPr/>
              <a:lstStyle/>
              <a:p>
                <a:pPr>
                  <a:defRPr sz="1000" b="1" i="0" u="none" strike="noStrike" baseline="0">
                    <a:solidFill>
                      <a:srgbClr val="000000"/>
                    </a:solidFill>
                    <a:latin typeface="Arial"/>
                    <a:ea typeface="Arial"/>
                    <a:cs typeface="Arial"/>
                  </a:defRPr>
                </a:pPr>
                <a:r>
                  <a:rPr lang="pt-BR"/>
                  <a:t>Volume (mL)</a:t>
                </a:r>
              </a:p>
            </c:rich>
          </c:tx>
          <c:layout>
            <c:manualLayout>
              <c:xMode val="edge"/>
              <c:yMode val="edge"/>
              <c:x val="0.46712966871357808"/>
              <c:y val="0.94387828002903273"/>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nl-NL"/>
          </a:p>
        </c:txPr>
        <c:crossAx val="395546496"/>
        <c:crosses val="autoZero"/>
        <c:crossBetween val="midCat"/>
      </c:valAx>
      <c:valAx>
        <c:axId val="395546496"/>
        <c:scaling>
          <c:orientation val="minMax"/>
        </c:scaling>
        <c:delete val="0"/>
        <c:axPos val="l"/>
        <c:majorGridlines>
          <c:spPr>
            <a:ln w="3175">
              <a:solidFill>
                <a:srgbClr val="000000"/>
              </a:solidFill>
              <a:prstDash val="solid"/>
            </a:ln>
          </c:spPr>
        </c:majorGridlines>
        <c:title>
          <c:tx>
            <c:rich>
              <a:bodyPr/>
              <a:lstStyle/>
              <a:p>
                <a:pPr>
                  <a:defRPr sz="1075" b="1" i="0" u="none" strike="noStrike" baseline="0">
                    <a:solidFill>
                      <a:srgbClr val="000000"/>
                    </a:solidFill>
                    <a:latin typeface="Arial"/>
                    <a:ea typeface="Arial"/>
                    <a:cs typeface="Arial"/>
                  </a:defRPr>
                </a:pPr>
                <a:r>
                  <a:rPr lang="pt-BR"/>
                  <a:t>dpH/dV</a:t>
                </a:r>
              </a:p>
            </c:rich>
          </c:tx>
          <c:layout>
            <c:manualLayout>
              <c:xMode val="edge"/>
              <c:yMode val="edge"/>
              <c:x val="1.0062977664981961E-2"/>
              <c:y val="0.45803488849608076"/>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nl-NL"/>
          </a:p>
        </c:txPr>
        <c:crossAx val="395545952"/>
        <c:crosses val="autoZero"/>
        <c:crossBetween val="midCat"/>
      </c:valAx>
      <c:spPr>
        <a:noFill/>
        <a:ln w="12700">
          <a:solidFill>
            <a:srgbClr val="808080"/>
          </a:solidFill>
          <a:prstDash val="solid"/>
        </a:ln>
      </c:spPr>
    </c:plotArea>
    <c:legend>
      <c:legendPos val="r"/>
      <c:layout>
        <c:manualLayout>
          <c:xMode val="edge"/>
          <c:yMode val="edge"/>
          <c:x val="0.11021525201911762"/>
          <c:y val="1.2499866088167551E-2"/>
          <c:w val="0.48790395002277631"/>
          <c:h val="5.4999910725446105E-2"/>
        </c:manualLayout>
      </c:layout>
      <c:overlay val="0"/>
      <c:spPr>
        <a:solidFill>
          <a:srgbClr val="FFFFFF"/>
        </a:solidFill>
        <a:ln w="3175">
          <a:solidFill>
            <a:srgbClr val="000000"/>
          </a:solidFill>
          <a:prstDash val="solid"/>
        </a:ln>
      </c:spPr>
      <c:txPr>
        <a:bodyPr/>
        <a:lstStyle/>
        <a:p>
          <a:pPr>
            <a:defRPr sz="780" b="0" i="0" u="none" strike="noStrike" baseline="0">
              <a:solidFill>
                <a:srgbClr val="000000"/>
              </a:solidFill>
              <a:latin typeface="Arial"/>
              <a:ea typeface="Arial"/>
              <a:cs typeface="Arial"/>
            </a:defRPr>
          </a:pPr>
          <a:endParaRPr lang="nl-NL"/>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0.98425196899999956" l="0.78740157499999996" r="0.78740157499999996" t="0.98425196899999956" header="0.49212598500001148" footer="0.49212598500001148"/>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268600331771933E-2"/>
          <c:y val="7.7783091156850295E-2"/>
          <c:w val="0.88927174241301365"/>
          <c:h val="0.79885351684511363"/>
        </c:manualLayout>
      </c:layout>
      <c:scatterChart>
        <c:scatterStyle val="smoothMarker"/>
        <c:varyColors val="0"/>
        <c:ser>
          <c:idx val="0"/>
          <c:order val="0"/>
          <c:tx>
            <c:v>raw data</c:v>
          </c:tx>
          <c:spPr>
            <a:ln w="28575">
              <a:noFill/>
            </a:ln>
          </c:spPr>
          <c:marker>
            <c:symbol val="diamond"/>
            <c:size val="4"/>
            <c:spPr>
              <a:solidFill>
                <a:srgbClr val="09007E"/>
              </a:solidFill>
              <a:ln>
                <a:solidFill>
                  <a:srgbClr val="09007E"/>
                </a:solidFill>
                <a:prstDash val="solid"/>
              </a:ln>
            </c:spPr>
          </c:marker>
          <c:xVal>
            <c:numRef>
              <c:f>Fosforzuurbepaling!$A$6:$A$281</c:f>
              <c:numCache>
                <c:formatCode>0.000</c:formatCode>
                <c:ptCount val="276"/>
                <c:pt idx="0">
                  <c:v>2.4</c:v>
                </c:pt>
                <c:pt idx="1">
                  <c:v>3.74</c:v>
                </c:pt>
                <c:pt idx="2">
                  <c:v>4.54</c:v>
                </c:pt>
                <c:pt idx="3">
                  <c:v>4.9400000000000004</c:v>
                </c:pt>
                <c:pt idx="4">
                  <c:v>5.0999999999999996</c:v>
                </c:pt>
                <c:pt idx="5">
                  <c:v>5.5</c:v>
                </c:pt>
                <c:pt idx="6">
                  <c:v>5.74</c:v>
                </c:pt>
                <c:pt idx="7">
                  <c:v>6.52</c:v>
                </c:pt>
                <c:pt idx="8">
                  <c:v>7.52</c:v>
                </c:pt>
                <c:pt idx="9">
                  <c:v>9</c:v>
                </c:pt>
                <c:pt idx="10">
                  <c:v>10.62</c:v>
                </c:pt>
                <c:pt idx="11">
                  <c:v>11.1</c:v>
                </c:pt>
                <c:pt idx="12">
                  <c:v>11.3</c:v>
                </c:pt>
                <c:pt idx="13">
                  <c:v>12.06</c:v>
                </c:pt>
                <c:pt idx="14">
                  <c:v>12.6</c:v>
                </c:pt>
                <c:pt idx="15">
                  <c:v>15.08</c:v>
                </c:pt>
                <c:pt idx="16">
                  <c:v>18.420000000000002</c:v>
                </c:pt>
                <c:pt idx="17">
                  <c:v>31.3</c:v>
                </c:pt>
              </c:numCache>
            </c:numRef>
          </c:xVal>
          <c:yVal>
            <c:numRef>
              <c:f>Fosforzuurbepaling!$B$6:$B$281</c:f>
              <c:numCache>
                <c:formatCode>0.000</c:formatCode>
                <c:ptCount val="276"/>
                <c:pt idx="0">
                  <c:v>3.13</c:v>
                </c:pt>
                <c:pt idx="1">
                  <c:v>3.57</c:v>
                </c:pt>
                <c:pt idx="2">
                  <c:v>4.18</c:v>
                </c:pt>
                <c:pt idx="3">
                  <c:v>4.74</c:v>
                </c:pt>
                <c:pt idx="4">
                  <c:v>5.1100000000000003</c:v>
                </c:pt>
                <c:pt idx="5">
                  <c:v>5.65</c:v>
                </c:pt>
                <c:pt idx="6">
                  <c:v>6.01</c:v>
                </c:pt>
                <c:pt idx="7">
                  <c:v>6.51</c:v>
                </c:pt>
                <c:pt idx="8">
                  <c:v>6.92</c:v>
                </c:pt>
                <c:pt idx="9">
                  <c:v>7.56</c:v>
                </c:pt>
                <c:pt idx="10">
                  <c:v>8.31</c:v>
                </c:pt>
                <c:pt idx="11">
                  <c:v>8.76</c:v>
                </c:pt>
                <c:pt idx="12">
                  <c:v>8.98</c:v>
                </c:pt>
                <c:pt idx="13">
                  <c:v>9.76</c:v>
                </c:pt>
                <c:pt idx="14">
                  <c:v>10.02</c:v>
                </c:pt>
                <c:pt idx="15">
                  <c:v>10.61</c:v>
                </c:pt>
                <c:pt idx="16">
                  <c:v>10.99</c:v>
                </c:pt>
                <c:pt idx="17">
                  <c:v>11.58</c:v>
                </c:pt>
              </c:numCache>
            </c:numRef>
          </c:yVal>
          <c:smooth val="1"/>
          <c:extLst>
            <c:ext xmlns:c16="http://schemas.microsoft.com/office/drawing/2014/chart" uri="{C3380CC4-5D6E-409C-BE32-E72D297353CC}">
              <c16:uniqueId val="{00000000-F888-454D-B2D1-99EBD2D3C348}"/>
            </c:ext>
          </c:extLst>
        </c:ser>
        <c:ser>
          <c:idx val="1"/>
          <c:order val="1"/>
          <c:tx>
            <c:v>smoothed data</c:v>
          </c:tx>
          <c:spPr>
            <a:ln w="25400">
              <a:solidFill>
                <a:srgbClr val="FF0000"/>
              </a:solidFill>
              <a:prstDash val="solid"/>
            </a:ln>
          </c:spPr>
          <c:marker>
            <c:symbol val="none"/>
          </c:marker>
          <c:xVal>
            <c:numRef>
              <c:f>Fosforzuurbepaling!$T$6:$T$1006</c:f>
              <c:numCache>
                <c:formatCode>0.0000</c:formatCode>
                <c:ptCount val="1001"/>
                <c:pt idx="0">
                  <c:v>2.4</c:v>
                </c:pt>
                <c:pt idx="1">
                  <c:v>2.4963333333333333</c:v>
                </c:pt>
                <c:pt idx="2">
                  <c:v>2.5926666666666667</c:v>
                </c:pt>
                <c:pt idx="3">
                  <c:v>2.6890000000000001</c:v>
                </c:pt>
                <c:pt idx="4">
                  <c:v>2.7853333333333334</c:v>
                </c:pt>
                <c:pt idx="5">
                  <c:v>2.8816666666666668</c:v>
                </c:pt>
                <c:pt idx="6">
                  <c:v>2.9779999999999998</c:v>
                </c:pt>
                <c:pt idx="7">
                  <c:v>3.0743333333333331</c:v>
                </c:pt>
                <c:pt idx="8">
                  <c:v>3.1706666666666665</c:v>
                </c:pt>
                <c:pt idx="9">
                  <c:v>3.2669999999999999</c:v>
                </c:pt>
                <c:pt idx="10">
                  <c:v>3.3633333333333333</c:v>
                </c:pt>
                <c:pt idx="11">
                  <c:v>3.4596666666666667</c:v>
                </c:pt>
                <c:pt idx="12">
                  <c:v>3.556</c:v>
                </c:pt>
                <c:pt idx="13">
                  <c:v>3.6523333333333334</c:v>
                </c:pt>
                <c:pt idx="14">
                  <c:v>3.7486666666666668</c:v>
                </c:pt>
                <c:pt idx="15">
                  <c:v>3.8449999999999998</c:v>
                </c:pt>
                <c:pt idx="16">
                  <c:v>3.9413333333333336</c:v>
                </c:pt>
                <c:pt idx="17">
                  <c:v>4.0376666666666665</c:v>
                </c:pt>
                <c:pt idx="18">
                  <c:v>4.1340000000000003</c:v>
                </c:pt>
                <c:pt idx="19">
                  <c:v>4.2303333333333333</c:v>
                </c:pt>
                <c:pt idx="20">
                  <c:v>4.3266666666666662</c:v>
                </c:pt>
                <c:pt idx="21">
                  <c:v>4.423</c:v>
                </c:pt>
                <c:pt idx="22">
                  <c:v>4.5193333333333339</c:v>
                </c:pt>
                <c:pt idx="23">
                  <c:v>4.6156666666666668</c:v>
                </c:pt>
                <c:pt idx="24">
                  <c:v>4.7119999999999997</c:v>
                </c:pt>
                <c:pt idx="25">
                  <c:v>4.8083333333333336</c:v>
                </c:pt>
                <c:pt idx="26">
                  <c:v>4.9046666666666674</c:v>
                </c:pt>
                <c:pt idx="27">
                  <c:v>5.0009999999999994</c:v>
                </c:pt>
                <c:pt idx="28">
                  <c:v>5.0973333333333333</c:v>
                </c:pt>
                <c:pt idx="29">
                  <c:v>5.1936666666666671</c:v>
                </c:pt>
                <c:pt idx="30">
                  <c:v>5.29</c:v>
                </c:pt>
                <c:pt idx="31">
                  <c:v>5.386333333333333</c:v>
                </c:pt>
                <c:pt idx="32">
                  <c:v>5.4826666666666668</c:v>
                </c:pt>
                <c:pt idx="33">
                  <c:v>5.5790000000000006</c:v>
                </c:pt>
                <c:pt idx="34">
                  <c:v>5.6753333333333336</c:v>
                </c:pt>
                <c:pt idx="35">
                  <c:v>5.7716666666666665</c:v>
                </c:pt>
                <c:pt idx="36">
                  <c:v>5.8680000000000003</c:v>
                </c:pt>
                <c:pt idx="37">
                  <c:v>5.9643333333333342</c:v>
                </c:pt>
                <c:pt idx="38">
                  <c:v>6.0606666666666662</c:v>
                </c:pt>
                <c:pt idx="39">
                  <c:v>6.157</c:v>
                </c:pt>
                <c:pt idx="40">
                  <c:v>6.2533333333333339</c:v>
                </c:pt>
                <c:pt idx="41">
                  <c:v>6.3496666666666668</c:v>
                </c:pt>
                <c:pt idx="42">
                  <c:v>6.4459999999999997</c:v>
                </c:pt>
                <c:pt idx="43">
                  <c:v>6.5423333333333336</c:v>
                </c:pt>
                <c:pt idx="44">
                  <c:v>6.6386666666666674</c:v>
                </c:pt>
                <c:pt idx="45">
                  <c:v>6.7349999999999994</c:v>
                </c:pt>
                <c:pt idx="46">
                  <c:v>6.8313333333333333</c:v>
                </c:pt>
                <c:pt idx="47">
                  <c:v>6.9276666666666671</c:v>
                </c:pt>
                <c:pt idx="48">
                  <c:v>7.0240000000000009</c:v>
                </c:pt>
                <c:pt idx="49">
                  <c:v>7.120333333333333</c:v>
                </c:pt>
                <c:pt idx="50">
                  <c:v>7.2166666666666668</c:v>
                </c:pt>
                <c:pt idx="51">
                  <c:v>7.3130000000000006</c:v>
                </c:pt>
                <c:pt idx="52">
                  <c:v>7.4093333333333344</c:v>
                </c:pt>
                <c:pt idx="53">
                  <c:v>7.5056666666666665</c:v>
                </c:pt>
                <c:pt idx="54">
                  <c:v>7.6020000000000003</c:v>
                </c:pt>
                <c:pt idx="55">
                  <c:v>7.6983333333333341</c:v>
                </c:pt>
                <c:pt idx="56">
                  <c:v>7.7946666666666662</c:v>
                </c:pt>
                <c:pt idx="57">
                  <c:v>7.891</c:v>
                </c:pt>
                <c:pt idx="58">
                  <c:v>7.9873333333333338</c:v>
                </c:pt>
                <c:pt idx="59">
                  <c:v>8.0836666666666677</c:v>
                </c:pt>
                <c:pt idx="60">
                  <c:v>8.18</c:v>
                </c:pt>
                <c:pt idx="61">
                  <c:v>8.2763333333333335</c:v>
                </c:pt>
                <c:pt idx="62">
                  <c:v>8.3726666666666674</c:v>
                </c:pt>
                <c:pt idx="63">
                  <c:v>8.4690000000000012</c:v>
                </c:pt>
                <c:pt idx="64">
                  <c:v>8.5653333333333332</c:v>
                </c:pt>
                <c:pt idx="65">
                  <c:v>8.6616666666666671</c:v>
                </c:pt>
                <c:pt idx="66">
                  <c:v>8.7580000000000009</c:v>
                </c:pt>
                <c:pt idx="67">
                  <c:v>8.8543333333333329</c:v>
                </c:pt>
                <c:pt idx="68">
                  <c:v>8.9506666666666668</c:v>
                </c:pt>
                <c:pt idx="69">
                  <c:v>9.0470000000000006</c:v>
                </c:pt>
                <c:pt idx="70">
                  <c:v>9.1433333333333344</c:v>
                </c:pt>
                <c:pt idx="71">
                  <c:v>9.2396666666666665</c:v>
                </c:pt>
                <c:pt idx="72">
                  <c:v>9.3360000000000003</c:v>
                </c:pt>
                <c:pt idx="73">
                  <c:v>9.4323333333333341</c:v>
                </c:pt>
                <c:pt idx="74">
                  <c:v>9.528666666666668</c:v>
                </c:pt>
                <c:pt idx="75">
                  <c:v>9.625</c:v>
                </c:pt>
                <c:pt idx="76">
                  <c:v>9.7213333333333338</c:v>
                </c:pt>
                <c:pt idx="77">
                  <c:v>9.8176666666666677</c:v>
                </c:pt>
                <c:pt idx="78">
                  <c:v>9.9139999999999997</c:v>
                </c:pt>
                <c:pt idx="79">
                  <c:v>10.010333333333334</c:v>
                </c:pt>
                <c:pt idx="80">
                  <c:v>10.106666666666667</c:v>
                </c:pt>
                <c:pt idx="81">
                  <c:v>10.203000000000001</c:v>
                </c:pt>
                <c:pt idx="82">
                  <c:v>10.299333333333333</c:v>
                </c:pt>
                <c:pt idx="83">
                  <c:v>10.395666666666667</c:v>
                </c:pt>
                <c:pt idx="84">
                  <c:v>10.492000000000001</c:v>
                </c:pt>
                <c:pt idx="85">
                  <c:v>10.588333333333335</c:v>
                </c:pt>
                <c:pt idx="86">
                  <c:v>10.684666666666667</c:v>
                </c:pt>
                <c:pt idx="87">
                  <c:v>10.781000000000001</c:v>
                </c:pt>
                <c:pt idx="88">
                  <c:v>10.877333333333334</c:v>
                </c:pt>
                <c:pt idx="89">
                  <c:v>10.973666666666668</c:v>
                </c:pt>
                <c:pt idx="90">
                  <c:v>11.07</c:v>
                </c:pt>
                <c:pt idx="91">
                  <c:v>11.166333333333334</c:v>
                </c:pt>
                <c:pt idx="92">
                  <c:v>11.262666666666668</c:v>
                </c:pt>
                <c:pt idx="93">
                  <c:v>11.359000000000002</c:v>
                </c:pt>
                <c:pt idx="94">
                  <c:v>11.455333333333334</c:v>
                </c:pt>
                <c:pt idx="95">
                  <c:v>11.551666666666668</c:v>
                </c:pt>
                <c:pt idx="96">
                  <c:v>11.648000000000001</c:v>
                </c:pt>
                <c:pt idx="97">
                  <c:v>11.744333333333334</c:v>
                </c:pt>
                <c:pt idx="98">
                  <c:v>11.840666666666667</c:v>
                </c:pt>
                <c:pt idx="99">
                  <c:v>11.937000000000001</c:v>
                </c:pt>
                <c:pt idx="100">
                  <c:v>12.033333333333335</c:v>
                </c:pt>
                <c:pt idx="101">
                  <c:v>12.129666666666667</c:v>
                </c:pt>
                <c:pt idx="102">
                  <c:v>12.226000000000001</c:v>
                </c:pt>
                <c:pt idx="103">
                  <c:v>12.322333333333335</c:v>
                </c:pt>
                <c:pt idx="104">
                  <c:v>12.418666666666669</c:v>
                </c:pt>
                <c:pt idx="105">
                  <c:v>12.515000000000001</c:v>
                </c:pt>
                <c:pt idx="106">
                  <c:v>12.611333333333334</c:v>
                </c:pt>
                <c:pt idx="107">
                  <c:v>12.707666666666668</c:v>
                </c:pt>
                <c:pt idx="108">
                  <c:v>12.804</c:v>
                </c:pt>
                <c:pt idx="109">
                  <c:v>12.900333333333334</c:v>
                </c:pt>
                <c:pt idx="110">
                  <c:v>12.996666666666668</c:v>
                </c:pt>
                <c:pt idx="111">
                  <c:v>13.093000000000002</c:v>
                </c:pt>
                <c:pt idx="112">
                  <c:v>13.189333333333334</c:v>
                </c:pt>
                <c:pt idx="113">
                  <c:v>13.285666666666668</c:v>
                </c:pt>
                <c:pt idx="114">
                  <c:v>13.382000000000001</c:v>
                </c:pt>
                <c:pt idx="115">
                  <c:v>13.478333333333335</c:v>
                </c:pt>
                <c:pt idx="116">
                  <c:v>13.574666666666667</c:v>
                </c:pt>
                <c:pt idx="117">
                  <c:v>13.671000000000001</c:v>
                </c:pt>
                <c:pt idx="118">
                  <c:v>13.767333333333335</c:v>
                </c:pt>
                <c:pt idx="119">
                  <c:v>13.863666666666667</c:v>
                </c:pt>
                <c:pt idx="120">
                  <c:v>13.96</c:v>
                </c:pt>
                <c:pt idx="121">
                  <c:v>14.056333333333335</c:v>
                </c:pt>
                <c:pt idx="122">
                  <c:v>14.152666666666669</c:v>
                </c:pt>
                <c:pt idx="123">
                  <c:v>14.249000000000001</c:v>
                </c:pt>
                <c:pt idx="124">
                  <c:v>14.345333333333334</c:v>
                </c:pt>
                <c:pt idx="125">
                  <c:v>14.441666666666668</c:v>
                </c:pt>
                <c:pt idx="126">
                  <c:v>14.538000000000002</c:v>
                </c:pt>
                <c:pt idx="127">
                  <c:v>14.634333333333334</c:v>
                </c:pt>
                <c:pt idx="128">
                  <c:v>14.730666666666668</c:v>
                </c:pt>
                <c:pt idx="129">
                  <c:v>14.827000000000002</c:v>
                </c:pt>
                <c:pt idx="130">
                  <c:v>14.923333333333334</c:v>
                </c:pt>
                <c:pt idx="131">
                  <c:v>15.019666666666668</c:v>
                </c:pt>
                <c:pt idx="132">
                  <c:v>15.116000000000001</c:v>
                </c:pt>
                <c:pt idx="133">
                  <c:v>15.212333333333335</c:v>
                </c:pt>
                <c:pt idx="134">
                  <c:v>15.308666666666667</c:v>
                </c:pt>
                <c:pt idx="135">
                  <c:v>15.405000000000001</c:v>
                </c:pt>
                <c:pt idx="136">
                  <c:v>15.501333333333335</c:v>
                </c:pt>
                <c:pt idx="137">
                  <c:v>15.597666666666669</c:v>
                </c:pt>
                <c:pt idx="138">
                  <c:v>15.694000000000001</c:v>
                </c:pt>
                <c:pt idx="139">
                  <c:v>15.790333333333335</c:v>
                </c:pt>
                <c:pt idx="140">
                  <c:v>15.886666666666668</c:v>
                </c:pt>
                <c:pt idx="141">
                  <c:v>15.983000000000001</c:v>
                </c:pt>
                <c:pt idx="142">
                  <c:v>16.079333333333334</c:v>
                </c:pt>
                <c:pt idx="143">
                  <c:v>16.175666666666668</c:v>
                </c:pt>
                <c:pt idx="144">
                  <c:v>16.272000000000002</c:v>
                </c:pt>
                <c:pt idx="145">
                  <c:v>16.368333333333332</c:v>
                </c:pt>
                <c:pt idx="146">
                  <c:v>16.464666666666666</c:v>
                </c:pt>
                <c:pt idx="147">
                  <c:v>16.561</c:v>
                </c:pt>
                <c:pt idx="148">
                  <c:v>16.657333333333334</c:v>
                </c:pt>
                <c:pt idx="149">
                  <c:v>16.753666666666668</c:v>
                </c:pt>
                <c:pt idx="150">
                  <c:v>16.850000000000001</c:v>
                </c:pt>
                <c:pt idx="151">
                  <c:v>16.946333333333335</c:v>
                </c:pt>
                <c:pt idx="152">
                  <c:v>17.042666666666666</c:v>
                </c:pt>
                <c:pt idx="153">
                  <c:v>17.138999999999999</c:v>
                </c:pt>
                <c:pt idx="154">
                  <c:v>17.235333333333333</c:v>
                </c:pt>
                <c:pt idx="155">
                  <c:v>17.331666666666667</c:v>
                </c:pt>
                <c:pt idx="156">
                  <c:v>17.428000000000001</c:v>
                </c:pt>
                <c:pt idx="157">
                  <c:v>17.524333333333335</c:v>
                </c:pt>
                <c:pt idx="158">
                  <c:v>17.620666666666668</c:v>
                </c:pt>
                <c:pt idx="159">
                  <c:v>17.717000000000002</c:v>
                </c:pt>
                <c:pt idx="160">
                  <c:v>17.813333333333333</c:v>
                </c:pt>
                <c:pt idx="161">
                  <c:v>17.909666666666666</c:v>
                </c:pt>
                <c:pt idx="162">
                  <c:v>18.006</c:v>
                </c:pt>
                <c:pt idx="163">
                  <c:v>18.102333333333334</c:v>
                </c:pt>
                <c:pt idx="164">
                  <c:v>18.198666666666668</c:v>
                </c:pt>
                <c:pt idx="165">
                  <c:v>18.295000000000002</c:v>
                </c:pt>
                <c:pt idx="166">
                  <c:v>18.391333333333336</c:v>
                </c:pt>
                <c:pt idx="167">
                  <c:v>18.487666666666666</c:v>
                </c:pt>
                <c:pt idx="168">
                  <c:v>18.584</c:v>
                </c:pt>
                <c:pt idx="169">
                  <c:v>18.680333333333333</c:v>
                </c:pt>
                <c:pt idx="170">
                  <c:v>18.776666666666667</c:v>
                </c:pt>
                <c:pt idx="171">
                  <c:v>18.873000000000001</c:v>
                </c:pt>
                <c:pt idx="172">
                  <c:v>18.969333333333331</c:v>
                </c:pt>
                <c:pt idx="173">
                  <c:v>19.065666666666665</c:v>
                </c:pt>
                <c:pt idx="174">
                  <c:v>19.161999999999999</c:v>
                </c:pt>
                <c:pt idx="175">
                  <c:v>19.258333333333333</c:v>
                </c:pt>
                <c:pt idx="176">
                  <c:v>19.354666666666667</c:v>
                </c:pt>
                <c:pt idx="177">
                  <c:v>19.451000000000001</c:v>
                </c:pt>
                <c:pt idx="178">
                  <c:v>19.547333333333334</c:v>
                </c:pt>
                <c:pt idx="179">
                  <c:v>19.643666666666668</c:v>
                </c:pt>
                <c:pt idx="180">
                  <c:v>19.739999999999998</c:v>
                </c:pt>
                <c:pt idx="181">
                  <c:v>19.836333333333332</c:v>
                </c:pt>
                <c:pt idx="182">
                  <c:v>19.932666666666666</c:v>
                </c:pt>
                <c:pt idx="183">
                  <c:v>20.029</c:v>
                </c:pt>
                <c:pt idx="184">
                  <c:v>20.125333333333334</c:v>
                </c:pt>
                <c:pt idx="185">
                  <c:v>20.221666666666668</c:v>
                </c:pt>
                <c:pt idx="186">
                  <c:v>20.318000000000001</c:v>
                </c:pt>
                <c:pt idx="187">
                  <c:v>20.414333333333332</c:v>
                </c:pt>
                <c:pt idx="188">
                  <c:v>20.510666666666665</c:v>
                </c:pt>
                <c:pt idx="189">
                  <c:v>20.606999999999999</c:v>
                </c:pt>
                <c:pt idx="190">
                  <c:v>20.703333333333333</c:v>
                </c:pt>
                <c:pt idx="191">
                  <c:v>20.799666666666667</c:v>
                </c:pt>
                <c:pt idx="192">
                  <c:v>20.896000000000001</c:v>
                </c:pt>
                <c:pt idx="193">
                  <c:v>20.992333333333335</c:v>
                </c:pt>
                <c:pt idx="194">
                  <c:v>21.088666666666665</c:v>
                </c:pt>
                <c:pt idx="195">
                  <c:v>21.184999999999999</c:v>
                </c:pt>
                <c:pt idx="196">
                  <c:v>21.281333333333333</c:v>
                </c:pt>
                <c:pt idx="197">
                  <c:v>21.377666666666666</c:v>
                </c:pt>
                <c:pt idx="198">
                  <c:v>21.474</c:v>
                </c:pt>
                <c:pt idx="199">
                  <c:v>21.570333333333334</c:v>
                </c:pt>
                <c:pt idx="200">
                  <c:v>21.666666666666668</c:v>
                </c:pt>
                <c:pt idx="201">
                  <c:v>21.763000000000002</c:v>
                </c:pt>
                <c:pt idx="202">
                  <c:v>21.859333333333332</c:v>
                </c:pt>
                <c:pt idx="203">
                  <c:v>21.955666666666666</c:v>
                </c:pt>
                <c:pt idx="204">
                  <c:v>22.052</c:v>
                </c:pt>
                <c:pt idx="205">
                  <c:v>22.148333333333333</c:v>
                </c:pt>
                <c:pt idx="206">
                  <c:v>22.244666666666667</c:v>
                </c:pt>
                <c:pt idx="207">
                  <c:v>22.341000000000001</c:v>
                </c:pt>
                <c:pt idx="208">
                  <c:v>22.437333333333335</c:v>
                </c:pt>
                <c:pt idx="209">
                  <c:v>22.533666666666665</c:v>
                </c:pt>
                <c:pt idx="210">
                  <c:v>22.63</c:v>
                </c:pt>
                <c:pt idx="211">
                  <c:v>22.726333333333333</c:v>
                </c:pt>
                <c:pt idx="212">
                  <c:v>22.822666666666667</c:v>
                </c:pt>
                <c:pt idx="213">
                  <c:v>22.919</c:v>
                </c:pt>
                <c:pt idx="214">
                  <c:v>23.015333333333334</c:v>
                </c:pt>
                <c:pt idx="215">
                  <c:v>23.111666666666668</c:v>
                </c:pt>
                <c:pt idx="216">
                  <c:v>23.207999999999998</c:v>
                </c:pt>
                <c:pt idx="217">
                  <c:v>23.304333333333332</c:v>
                </c:pt>
                <c:pt idx="218">
                  <c:v>23.400666666666666</c:v>
                </c:pt>
                <c:pt idx="219">
                  <c:v>23.497</c:v>
                </c:pt>
                <c:pt idx="220">
                  <c:v>23.593333333333334</c:v>
                </c:pt>
                <c:pt idx="221">
                  <c:v>23.689666666666668</c:v>
                </c:pt>
                <c:pt idx="222">
                  <c:v>23.786000000000001</c:v>
                </c:pt>
                <c:pt idx="223">
                  <c:v>23.882333333333335</c:v>
                </c:pt>
                <c:pt idx="224">
                  <c:v>23.978666666666665</c:v>
                </c:pt>
                <c:pt idx="225">
                  <c:v>24.074999999999999</c:v>
                </c:pt>
                <c:pt idx="226">
                  <c:v>24.171333333333333</c:v>
                </c:pt>
                <c:pt idx="227">
                  <c:v>24.267666666666667</c:v>
                </c:pt>
                <c:pt idx="228">
                  <c:v>24.364000000000001</c:v>
                </c:pt>
                <c:pt idx="229">
                  <c:v>24.460333333333335</c:v>
                </c:pt>
                <c:pt idx="230">
                  <c:v>24.556666666666668</c:v>
                </c:pt>
                <c:pt idx="231">
                  <c:v>24.652999999999999</c:v>
                </c:pt>
                <c:pt idx="232">
                  <c:v>24.749333333333333</c:v>
                </c:pt>
                <c:pt idx="233">
                  <c:v>24.845666666666666</c:v>
                </c:pt>
                <c:pt idx="234">
                  <c:v>24.942</c:v>
                </c:pt>
                <c:pt idx="235">
                  <c:v>25.038333333333334</c:v>
                </c:pt>
                <c:pt idx="236">
                  <c:v>25.134666666666668</c:v>
                </c:pt>
                <c:pt idx="237">
                  <c:v>25.231000000000002</c:v>
                </c:pt>
                <c:pt idx="238">
                  <c:v>25.327333333333332</c:v>
                </c:pt>
                <c:pt idx="239">
                  <c:v>25.423666666666666</c:v>
                </c:pt>
                <c:pt idx="240">
                  <c:v>25.52</c:v>
                </c:pt>
                <c:pt idx="241">
                  <c:v>25.616333333333333</c:v>
                </c:pt>
                <c:pt idx="242">
                  <c:v>25.712666666666667</c:v>
                </c:pt>
                <c:pt idx="243">
                  <c:v>25.809000000000001</c:v>
                </c:pt>
                <c:pt idx="244">
                  <c:v>25.905333333333335</c:v>
                </c:pt>
                <c:pt idx="245">
                  <c:v>26.001666666666669</c:v>
                </c:pt>
                <c:pt idx="246">
                  <c:v>26.097999999999999</c:v>
                </c:pt>
                <c:pt idx="247">
                  <c:v>26.194333333333333</c:v>
                </c:pt>
                <c:pt idx="248">
                  <c:v>26.290666666666667</c:v>
                </c:pt>
                <c:pt idx="249">
                  <c:v>26.387</c:v>
                </c:pt>
                <c:pt idx="250">
                  <c:v>26.483333333333334</c:v>
                </c:pt>
                <c:pt idx="251">
                  <c:v>26.579666666666668</c:v>
                </c:pt>
                <c:pt idx="252">
                  <c:v>26.676000000000002</c:v>
                </c:pt>
                <c:pt idx="253">
                  <c:v>26.772333333333332</c:v>
                </c:pt>
                <c:pt idx="254">
                  <c:v>26.868666666666666</c:v>
                </c:pt>
                <c:pt idx="255">
                  <c:v>26.965</c:v>
                </c:pt>
                <c:pt idx="256">
                  <c:v>27.061333333333334</c:v>
                </c:pt>
                <c:pt idx="257">
                  <c:v>27.157666666666668</c:v>
                </c:pt>
                <c:pt idx="258">
                  <c:v>27.254000000000001</c:v>
                </c:pt>
                <c:pt idx="259">
                  <c:v>27.350333333333335</c:v>
                </c:pt>
                <c:pt idx="260">
                  <c:v>27.446666666666665</c:v>
                </c:pt>
                <c:pt idx="261">
                  <c:v>27.542999999999999</c:v>
                </c:pt>
                <c:pt idx="262">
                  <c:v>27.639333333333333</c:v>
                </c:pt>
                <c:pt idx="263">
                  <c:v>27.735666666666667</c:v>
                </c:pt>
                <c:pt idx="264">
                  <c:v>27.832000000000001</c:v>
                </c:pt>
                <c:pt idx="265">
                  <c:v>27.928333333333335</c:v>
                </c:pt>
                <c:pt idx="266">
                  <c:v>28.024666666666668</c:v>
                </c:pt>
                <c:pt idx="267">
                  <c:v>28.120999999999999</c:v>
                </c:pt>
                <c:pt idx="268">
                  <c:v>28.217333333333332</c:v>
                </c:pt>
                <c:pt idx="269">
                  <c:v>28.313666666666666</c:v>
                </c:pt>
                <c:pt idx="270">
                  <c:v>28.41</c:v>
                </c:pt>
                <c:pt idx="271">
                  <c:v>28.506333333333334</c:v>
                </c:pt>
                <c:pt idx="272">
                  <c:v>28.602666666666668</c:v>
                </c:pt>
                <c:pt idx="273">
                  <c:v>28.699000000000002</c:v>
                </c:pt>
                <c:pt idx="274">
                  <c:v>28.795333333333335</c:v>
                </c:pt>
                <c:pt idx="275">
                  <c:v>28.891666666666666</c:v>
                </c:pt>
                <c:pt idx="276">
                  <c:v>28.988</c:v>
                </c:pt>
                <c:pt idx="277">
                  <c:v>29.084333333333333</c:v>
                </c:pt>
                <c:pt idx="278">
                  <c:v>29.180666666666667</c:v>
                </c:pt>
                <c:pt idx="279">
                  <c:v>29.277000000000001</c:v>
                </c:pt>
                <c:pt idx="280">
                  <c:v>29.373333333333335</c:v>
                </c:pt>
                <c:pt idx="281">
                  <c:v>29.469666666666669</c:v>
                </c:pt>
                <c:pt idx="282">
                  <c:v>29.565999999999999</c:v>
                </c:pt>
                <c:pt idx="283">
                  <c:v>29.662333333333333</c:v>
                </c:pt>
                <c:pt idx="284">
                  <c:v>29.758666666666667</c:v>
                </c:pt>
                <c:pt idx="285">
                  <c:v>29.855</c:v>
                </c:pt>
                <c:pt idx="286">
                  <c:v>29.951333333333334</c:v>
                </c:pt>
                <c:pt idx="287">
                  <c:v>30.047666666666668</c:v>
                </c:pt>
                <c:pt idx="288">
                  <c:v>30.144000000000002</c:v>
                </c:pt>
                <c:pt idx="289">
                  <c:v>30.240333333333332</c:v>
                </c:pt>
                <c:pt idx="290">
                  <c:v>30.336666666666666</c:v>
                </c:pt>
                <c:pt idx="291">
                  <c:v>30.433</c:v>
                </c:pt>
                <c:pt idx="292">
                  <c:v>30.529333333333334</c:v>
                </c:pt>
                <c:pt idx="293">
                  <c:v>30.625666666666667</c:v>
                </c:pt>
                <c:pt idx="294">
                  <c:v>30.722000000000001</c:v>
                </c:pt>
                <c:pt idx="295">
                  <c:v>30.818333333333335</c:v>
                </c:pt>
                <c:pt idx="296">
                  <c:v>30.914666666666669</c:v>
                </c:pt>
                <c:pt idx="297">
                  <c:v>31.010999999999999</c:v>
                </c:pt>
                <c:pt idx="298">
                  <c:v>31.107333333333333</c:v>
                </c:pt>
                <c:pt idx="299">
                  <c:v>31.203666666666667</c:v>
                </c:pt>
                <c:pt idx="300">
                  <c:v>31.3</c:v>
                </c:pt>
              </c:numCache>
            </c:numRef>
          </c:xVal>
          <c:yVal>
            <c:numRef>
              <c:f>Fosforzuurbepaling!$U$6:$U$1006</c:f>
              <c:numCache>
                <c:formatCode>0.0000</c:formatCode>
                <c:ptCount val="1001"/>
                <c:pt idx="0">
                  <c:v>3.0815898108373632</c:v>
                </c:pt>
                <c:pt idx="1">
                  <c:v>3.10641508380079</c:v>
                </c:pt>
                <c:pt idx="2">
                  <c:v>3.1316299578538938</c:v>
                </c:pt>
                <c:pt idx="3">
                  <c:v>3.1576240340863508</c:v>
                </c:pt>
                <c:pt idx="4">
                  <c:v>3.1847869135878386</c:v>
                </c:pt>
                <c:pt idx="5">
                  <c:v>3.2135081974480331</c:v>
                </c:pt>
                <c:pt idx="6">
                  <c:v>3.2441774867566116</c:v>
                </c:pt>
                <c:pt idx="7">
                  <c:v>3.277184382603251</c:v>
                </c:pt>
                <c:pt idx="8">
                  <c:v>3.3129184860776277</c:v>
                </c:pt>
                <c:pt idx="9">
                  <c:v>3.3517693982694188</c:v>
                </c:pt>
                <c:pt idx="10">
                  <c:v>3.394126720268301</c:v>
                </c:pt>
                <c:pt idx="11">
                  <c:v>3.4403800531639508</c:v>
                </c:pt>
                <c:pt idx="12">
                  <c:v>3.4909189980460451</c:v>
                </c:pt>
                <c:pt idx="13">
                  <c:v>3.5461331560042613</c:v>
                </c:pt>
                <c:pt idx="14">
                  <c:v>3.6064120980738092</c:v>
                </c:pt>
                <c:pt idx="15">
                  <c:v>3.6720920688408714</c:v>
                </c:pt>
                <c:pt idx="16">
                  <c:v>3.7433461288742933</c:v>
                </c:pt>
                <c:pt idx="17">
                  <c:v>3.8203162318803505</c:v>
                </c:pt>
                <c:pt idx="18">
                  <c:v>3.903144331565322</c:v>
                </c:pt>
                <c:pt idx="19">
                  <c:v>3.9919723816354824</c:v>
                </c:pt>
                <c:pt idx="20">
                  <c:v>4.0869423357971097</c:v>
                </c:pt>
                <c:pt idx="21">
                  <c:v>4.1881961477564822</c:v>
                </c:pt>
                <c:pt idx="22">
                  <c:v>4.2958757712198743</c:v>
                </c:pt>
                <c:pt idx="23">
                  <c:v>4.4100322715016818</c:v>
                </c:pt>
                <c:pt idx="24">
                  <c:v>4.5300127378177457</c:v>
                </c:pt>
                <c:pt idx="25">
                  <c:v>4.6548356567899978</c:v>
                </c:pt>
                <c:pt idx="26">
                  <c:v>4.7835176631898966</c:v>
                </c:pt>
                <c:pt idx="27">
                  <c:v>4.9150442345067606</c:v>
                </c:pt>
                <c:pt idx="28">
                  <c:v>5.0479908732479455</c:v>
                </c:pt>
                <c:pt idx="29">
                  <c:v>5.1807158896815588</c:v>
                </c:pt>
                <c:pt idx="30">
                  <c:v>5.3118841150172109</c:v>
                </c:pt>
                <c:pt idx="31">
                  <c:v>5.4402452848585128</c:v>
                </c:pt>
                <c:pt idx="32">
                  <c:v>5.5645491364685276</c:v>
                </c:pt>
                <c:pt idx="33">
                  <c:v>5.6835924638752546</c:v>
                </c:pt>
                <c:pt idx="34">
                  <c:v>5.7964982734923867</c:v>
                </c:pt>
                <c:pt idx="35">
                  <c:v>5.9025344914830162</c:v>
                </c:pt>
                <c:pt idx="36">
                  <c:v>6.0013878744169853</c:v>
                </c:pt>
                <c:pt idx="37">
                  <c:v>6.0934016405482545</c:v>
                </c:pt>
                <c:pt idx="38">
                  <c:v>6.1789764288046385</c:v>
                </c:pt>
                <c:pt idx="39">
                  <c:v>6.2585128781139572</c:v>
                </c:pt>
                <c:pt idx="40">
                  <c:v>6.3324116274040243</c:v>
                </c:pt>
                <c:pt idx="41">
                  <c:v>6.4010733156026554</c:v>
                </c:pt>
                <c:pt idx="42">
                  <c:v>6.4648985816376676</c:v>
                </c:pt>
                <c:pt idx="43">
                  <c:v>6.5242880495031823</c:v>
                </c:pt>
                <c:pt idx="44">
                  <c:v>6.5796401626968315</c:v>
                </c:pt>
                <c:pt idx="45">
                  <c:v>6.6313489124262972</c:v>
                </c:pt>
                <c:pt idx="46">
                  <c:v>6.6798077466467047</c:v>
                </c:pt>
                <c:pt idx="47">
                  <c:v>6.7254101133131758</c:v>
                </c:pt>
                <c:pt idx="48">
                  <c:v>6.7685494603808305</c:v>
                </c:pt>
                <c:pt idx="49">
                  <c:v>6.8096192358047922</c:v>
                </c:pt>
                <c:pt idx="50">
                  <c:v>6.8490128875401828</c:v>
                </c:pt>
                <c:pt idx="51">
                  <c:v>6.8871238635421248</c:v>
                </c:pt>
                <c:pt idx="52">
                  <c:v>6.9243456117657392</c:v>
                </c:pt>
                <c:pt idx="53">
                  <c:v>6.9610715801661485</c:v>
                </c:pt>
                <c:pt idx="54">
                  <c:v>6.9976567342883458</c:v>
                </c:pt>
                <c:pt idx="55">
                  <c:v>7.0342141305842043</c:v>
                </c:pt>
                <c:pt idx="56">
                  <c:v>7.0707630519450824</c:v>
                </c:pt>
                <c:pt idx="57">
                  <c:v>7.1073225757384515</c:v>
                </c:pt>
                <c:pt idx="58">
                  <c:v>7.1439117793317815</c:v>
                </c:pt>
                <c:pt idx="59">
                  <c:v>7.180549740092542</c:v>
                </c:pt>
                <c:pt idx="60">
                  <c:v>7.2172555353882037</c:v>
                </c:pt>
                <c:pt idx="61">
                  <c:v>7.2540482425862383</c:v>
                </c:pt>
                <c:pt idx="62">
                  <c:v>7.2909469390541144</c:v>
                </c:pt>
                <c:pt idx="63">
                  <c:v>7.3279707021593037</c:v>
                </c:pt>
                <c:pt idx="64">
                  <c:v>7.3651386092692741</c:v>
                </c:pt>
                <c:pt idx="65">
                  <c:v>7.4024697377514981</c:v>
                </c:pt>
                <c:pt idx="66">
                  <c:v>7.4399831649734463</c:v>
                </c:pt>
                <c:pt idx="67">
                  <c:v>7.4776979683025866</c:v>
                </c:pt>
                <c:pt idx="68">
                  <c:v>7.5156332251063915</c:v>
                </c:pt>
                <c:pt idx="69">
                  <c:v>7.5538118834616377</c:v>
                </c:pt>
                <c:pt idx="70">
                  <c:v>7.5923511924903568</c:v>
                </c:pt>
                <c:pt idx="71">
                  <c:v>7.6314657293238017</c:v>
                </c:pt>
                <c:pt idx="72">
                  <c:v>7.6713745473847723</c:v>
                </c:pt>
                <c:pt idx="73">
                  <c:v>7.7122967000960667</c:v>
                </c:pt>
                <c:pt idx="74">
                  <c:v>7.754451240880484</c:v>
                </c:pt>
                <c:pt idx="75">
                  <c:v>7.7980572231608214</c:v>
                </c:pt>
                <c:pt idx="76">
                  <c:v>7.8433337003598806</c:v>
                </c:pt>
                <c:pt idx="77">
                  <c:v>7.890499725900459</c:v>
                </c:pt>
                <c:pt idx="78">
                  <c:v>7.9397743532053537</c:v>
                </c:pt>
                <c:pt idx="79">
                  <c:v>7.9913766356973674</c:v>
                </c:pt>
                <c:pt idx="80">
                  <c:v>8.0455256267992965</c:v>
                </c:pt>
                <c:pt idx="81">
                  <c:v>8.1024403799339382</c:v>
                </c:pt>
                <c:pt idx="82">
                  <c:v>8.1623399485240942</c:v>
                </c:pt>
                <c:pt idx="83">
                  <c:v>8.2254433859925626</c:v>
                </c:pt>
                <c:pt idx="84">
                  <c:v>8.2919697457621435</c:v>
                </c:pt>
                <c:pt idx="85">
                  <c:v>8.3621380812556332</c:v>
                </c:pt>
                <c:pt idx="86">
                  <c:v>8.4361365952154621</c:v>
                </c:pt>
                <c:pt idx="87">
                  <c:v>8.5138007900719508</c:v>
                </c:pt>
                <c:pt idx="88">
                  <c:v>8.5947414082818785</c:v>
                </c:pt>
                <c:pt idx="89">
                  <c:v>8.6785655696187032</c:v>
                </c:pt>
                <c:pt idx="90">
                  <c:v>8.7648803938558792</c:v>
                </c:pt>
                <c:pt idx="91">
                  <c:v>8.8532788964799263</c:v>
                </c:pt>
                <c:pt idx="92">
                  <c:v>8.9432025158547699</c:v>
                </c:pt>
                <c:pt idx="93">
                  <c:v>9.0340009923346845</c:v>
                </c:pt>
                <c:pt idx="94">
                  <c:v>9.1250301262801905</c:v>
                </c:pt>
                <c:pt idx="95">
                  <c:v>9.2156512044266581</c:v>
                </c:pt>
                <c:pt idx="96">
                  <c:v>9.3052256444602932</c:v>
                </c:pt>
                <c:pt idx="97">
                  <c:v>9.3931148640673072</c:v>
                </c:pt>
                <c:pt idx="98">
                  <c:v>9.4786802809339132</c:v>
                </c:pt>
                <c:pt idx="99">
                  <c:v>9.5612833127463173</c:v>
                </c:pt>
                <c:pt idx="100">
                  <c:v>9.6402853771907306</c:v>
                </c:pt>
                <c:pt idx="101">
                  <c:v>9.7150978967257888</c:v>
                </c:pt>
                <c:pt idx="102">
                  <c:v>9.7856087635427027</c:v>
                </c:pt>
                <c:pt idx="103">
                  <c:v>9.8519698542349392</c:v>
                </c:pt>
                <c:pt idx="104">
                  <c:v>9.914335849812753</c:v>
                </c:pt>
                <c:pt idx="105">
                  <c:v>9.972861431286395</c:v>
                </c:pt>
                <c:pt idx="106">
                  <c:v>10.027701276530179</c:v>
                </c:pt>
                <c:pt idx="107">
                  <c:v>10.079007387282749</c:v>
                </c:pt>
                <c:pt idx="108">
                  <c:v>10.126924212363178</c:v>
                </c:pt>
                <c:pt idx="109">
                  <c:v>10.171594877614437</c:v>
                </c:pt>
                <c:pt idx="110">
                  <c:v>10.21316250887949</c:v>
                </c:pt>
                <c:pt idx="111">
                  <c:v>10.251770232001308</c:v>
                </c:pt>
                <c:pt idx="112">
                  <c:v>10.287561172822858</c:v>
                </c:pt>
                <c:pt idx="113">
                  <c:v>10.32067845718711</c:v>
                </c:pt>
                <c:pt idx="114">
                  <c:v>10.351265210937029</c:v>
                </c:pt>
                <c:pt idx="115">
                  <c:v>10.379464559915586</c:v>
                </c:pt>
                <c:pt idx="116">
                  <c:v>10.405419629965749</c:v>
                </c:pt>
                <c:pt idx="117">
                  <c:v>10.429273546930485</c:v>
                </c:pt>
                <c:pt idx="118">
                  <c:v>10.451169436652764</c:v>
                </c:pt>
                <c:pt idx="119">
                  <c:v>10.471250424975551</c:v>
                </c:pt>
                <c:pt idx="120">
                  <c:v>10.489659637741818</c:v>
                </c:pt>
                <c:pt idx="121">
                  <c:v>10.506540200794531</c:v>
                </c:pt>
                <c:pt idx="122">
                  <c:v>10.522035239976658</c:v>
                </c:pt>
                <c:pt idx="123">
                  <c:v>10.536287881131168</c:v>
                </c:pt>
                <c:pt idx="124">
                  <c:v>10.54944125010103</c:v>
                </c:pt>
                <c:pt idx="125">
                  <c:v>10.561638472729211</c:v>
                </c:pt>
                <c:pt idx="126">
                  <c:v>10.573022674858679</c:v>
                </c:pt>
                <c:pt idx="127">
                  <c:v>10.583736982332402</c:v>
                </c:pt>
                <c:pt idx="128">
                  <c:v>10.593924520993351</c:v>
                </c:pt>
                <c:pt idx="129">
                  <c:v>10.603728416684492</c:v>
                </c:pt>
                <c:pt idx="130">
                  <c:v>10.613291795248792</c:v>
                </c:pt>
                <c:pt idx="131">
                  <c:v>10.622757782529222</c:v>
                </c:pt>
                <c:pt idx="132">
                  <c:v>10.632268195296751</c:v>
                </c:pt>
                <c:pt idx="133">
                  <c:v>10.641905064091912</c:v>
                </c:pt>
                <c:pt idx="134">
                  <c:v>10.651667176658206</c:v>
                </c:pt>
                <c:pt idx="135">
                  <c:v>10.661547158649794</c:v>
                </c:pt>
                <c:pt idx="136">
                  <c:v>10.671537635720833</c:v>
                </c:pt>
                <c:pt idx="137">
                  <c:v>10.681631233525485</c:v>
                </c:pt>
                <c:pt idx="138">
                  <c:v>10.691820577717905</c:v>
                </c:pt>
                <c:pt idx="139">
                  <c:v>10.702098293952258</c:v>
                </c:pt>
                <c:pt idx="140">
                  <c:v>10.712457007882698</c:v>
                </c:pt>
                <c:pt idx="141">
                  <c:v>10.722889345163388</c:v>
                </c:pt>
                <c:pt idx="142">
                  <c:v>10.733387931448485</c:v>
                </c:pt>
                <c:pt idx="143">
                  <c:v>10.743945392392151</c:v>
                </c:pt>
                <c:pt idx="144">
                  <c:v>10.754554353648542</c:v>
                </c:pt>
                <c:pt idx="145">
                  <c:v>10.765207440871819</c:v>
                </c:pt>
                <c:pt idx="146">
                  <c:v>10.775897279716142</c:v>
                </c:pt>
                <c:pt idx="147">
                  <c:v>10.786616495835672</c:v>
                </c:pt>
                <c:pt idx="148">
                  <c:v>10.797357714884564</c:v>
                </c:pt>
                <c:pt idx="149">
                  <c:v>10.808113562516979</c:v>
                </c:pt>
                <c:pt idx="150">
                  <c:v>10.818876664387078</c:v>
                </c:pt>
                <c:pt idx="151">
                  <c:v>10.829639646149019</c:v>
                </c:pt>
                <c:pt idx="152">
                  <c:v>10.840395133456962</c:v>
                </c:pt>
                <c:pt idx="153">
                  <c:v>10.851135751965066</c:v>
                </c:pt>
                <c:pt idx="154">
                  <c:v>10.861854127327488</c:v>
                </c:pt>
                <c:pt idx="155">
                  <c:v>10.872542885198392</c:v>
                </c:pt>
                <c:pt idx="156">
                  <c:v>10.883194651231934</c:v>
                </c:pt>
                <c:pt idx="157">
                  <c:v>10.893802051082275</c:v>
                </c:pt>
                <c:pt idx="158">
                  <c:v>10.904357710403573</c:v>
                </c:pt>
                <c:pt idx="159">
                  <c:v>10.914854254849988</c:v>
                </c:pt>
                <c:pt idx="160">
                  <c:v>10.92528431007568</c:v>
                </c:pt>
                <c:pt idx="161">
                  <c:v>10.935640501734808</c:v>
                </c:pt>
                <c:pt idx="162">
                  <c:v>10.945915455481529</c:v>
                </c:pt>
                <c:pt idx="163">
                  <c:v>10.956101796970007</c:v>
                </c:pt>
                <c:pt idx="164">
                  <c:v>10.966192151854397</c:v>
                </c:pt>
                <c:pt idx="165">
                  <c:v>10.976179145788862</c:v>
                </c:pt>
                <c:pt idx="166">
                  <c:v>10.986055404427557</c:v>
                </c:pt>
                <c:pt idx="167">
                  <c:v>10.995814031356497</c:v>
                </c:pt>
                <c:pt idx="168">
                  <c:v>11.005453022573157</c:v>
                </c:pt>
                <c:pt idx="169">
                  <c:v>11.014973241528375</c:v>
                </c:pt>
                <c:pt idx="170">
                  <c:v>11.024375588012013</c:v>
                </c:pt>
                <c:pt idx="171">
                  <c:v>11.033660961813931</c:v>
                </c:pt>
                <c:pt idx="172">
                  <c:v>11.042830262723985</c:v>
                </c:pt>
                <c:pt idx="173">
                  <c:v>11.051884390532038</c:v>
                </c:pt>
                <c:pt idx="174">
                  <c:v>11.060824245027947</c:v>
                </c:pt>
                <c:pt idx="175">
                  <c:v>11.069650726001571</c:v>
                </c:pt>
                <c:pt idx="176">
                  <c:v>11.078364733242772</c:v>
                </c:pt>
                <c:pt idx="177">
                  <c:v>11.086967166541408</c:v>
                </c:pt>
                <c:pt idx="178">
                  <c:v>11.095458925687337</c:v>
                </c:pt>
                <c:pt idx="179">
                  <c:v>11.103840910470421</c:v>
                </c:pt>
                <c:pt idx="180">
                  <c:v>11.112114020680517</c:v>
                </c:pt>
                <c:pt idx="181">
                  <c:v>11.120279156107486</c:v>
                </c:pt>
                <c:pt idx="182">
                  <c:v>11.128337216541187</c:v>
                </c:pt>
                <c:pt idx="183">
                  <c:v>11.136289101771478</c:v>
                </c:pt>
                <c:pt idx="184">
                  <c:v>11.144135711588222</c:v>
                </c:pt>
                <c:pt idx="185">
                  <c:v>11.151877945781274</c:v>
                </c:pt>
                <c:pt idx="186">
                  <c:v>11.159516704140497</c:v>
                </c:pt>
                <c:pt idx="187">
                  <c:v>11.167052886455748</c:v>
                </c:pt>
                <c:pt idx="188">
                  <c:v>11.174487392516887</c:v>
                </c:pt>
                <c:pt idx="189">
                  <c:v>11.181821122113774</c:v>
                </c:pt>
                <c:pt idx="190">
                  <c:v>11.189054975036269</c:v>
                </c:pt>
                <c:pt idx="191">
                  <c:v>11.196189851074228</c:v>
                </c:pt>
                <c:pt idx="192">
                  <c:v>11.203226650017514</c:v>
                </c:pt>
                <c:pt idx="193">
                  <c:v>11.210166271655988</c:v>
                </c:pt>
                <c:pt idx="194">
                  <c:v>11.217009615779503</c:v>
                </c:pt>
                <c:pt idx="195">
                  <c:v>11.223757582177923</c:v>
                </c:pt>
                <c:pt idx="196">
                  <c:v>11.230411070641107</c:v>
                </c:pt>
                <c:pt idx="197">
                  <c:v>11.236970980958914</c:v>
                </c:pt>
                <c:pt idx="198">
                  <c:v>11.243438212921202</c:v>
                </c:pt>
                <c:pt idx="199">
                  <c:v>11.249813666317833</c:v>
                </c:pt>
                <c:pt idx="200">
                  <c:v>11.256098240938663</c:v>
                </c:pt>
                <c:pt idx="201">
                  <c:v>11.262292836573556</c:v>
                </c:pt>
                <c:pt idx="202">
                  <c:v>11.268398353012365</c:v>
                </c:pt>
                <c:pt idx="203">
                  <c:v>11.274415690044957</c:v>
                </c:pt>
                <c:pt idx="204">
                  <c:v>11.280345747461187</c:v>
                </c:pt>
                <c:pt idx="205">
                  <c:v>11.286189425050914</c:v>
                </c:pt>
                <c:pt idx="206">
                  <c:v>11.291947622603999</c:v>
                </c:pt>
                <c:pt idx="207">
                  <c:v>11.297621239910299</c:v>
                </c:pt>
                <c:pt idx="208">
                  <c:v>11.303211176759676</c:v>
                </c:pt>
                <c:pt idx="209">
                  <c:v>11.308718332941989</c:v>
                </c:pt>
                <c:pt idx="210">
                  <c:v>11.314143608247099</c:v>
                </c:pt>
                <c:pt idx="211">
                  <c:v>11.319487902464861</c:v>
                </c:pt>
                <c:pt idx="212">
                  <c:v>11.324752115385136</c:v>
                </c:pt>
                <c:pt idx="213">
                  <c:v>11.329937146797786</c:v>
                </c:pt>
                <c:pt idx="214">
                  <c:v>11.335043896492667</c:v>
                </c:pt>
                <c:pt idx="215">
                  <c:v>11.340073264259642</c:v>
                </c:pt>
                <c:pt idx="216">
                  <c:v>11.345026149888566</c:v>
                </c:pt>
                <c:pt idx="217">
                  <c:v>11.349903453169302</c:v>
                </c:pt>
                <c:pt idx="218">
                  <c:v>11.354706073891709</c:v>
                </c:pt>
                <c:pt idx="219">
                  <c:v>11.359434911845645</c:v>
                </c:pt>
                <c:pt idx="220">
                  <c:v>11.36409086682097</c:v>
                </c:pt>
                <c:pt idx="221">
                  <c:v>11.368674838607541</c:v>
                </c:pt>
                <c:pt idx="222">
                  <c:v>11.373187726995223</c:v>
                </c:pt>
                <c:pt idx="223">
                  <c:v>11.37763043177387</c:v>
                </c:pt>
                <c:pt idx="224">
                  <c:v>11.382003852733344</c:v>
                </c:pt>
                <c:pt idx="225">
                  <c:v>11.386308889663503</c:v>
                </c:pt>
                <c:pt idx="226">
                  <c:v>11.390546442354209</c:v>
                </c:pt>
                <c:pt idx="227">
                  <c:v>11.39471741059532</c:v>
                </c:pt>
                <c:pt idx="228">
                  <c:v>11.398822694176694</c:v>
                </c:pt>
                <c:pt idx="229">
                  <c:v>11.402863192888191</c:v>
                </c:pt>
                <c:pt idx="230">
                  <c:v>11.406839806519672</c:v>
                </c:pt>
                <c:pt idx="231">
                  <c:v>11.410753434860995</c:v>
                </c:pt>
                <c:pt idx="232">
                  <c:v>11.414604977702018</c:v>
                </c:pt>
                <c:pt idx="233">
                  <c:v>11.418395334832605</c:v>
                </c:pt>
                <c:pt idx="234">
                  <c:v>11.422125406042611</c:v>
                </c:pt>
                <c:pt idx="235">
                  <c:v>11.425796091121896</c:v>
                </c:pt>
                <c:pt idx="236">
                  <c:v>11.429408289860321</c:v>
                </c:pt>
                <c:pt idx="237">
                  <c:v>11.432962902047745</c:v>
                </c:pt>
                <c:pt idx="238">
                  <c:v>11.436460827474027</c:v>
                </c:pt>
                <c:pt idx="239">
                  <c:v>11.439902965929026</c:v>
                </c:pt>
                <c:pt idx="240">
                  <c:v>11.443290217202602</c:v>
                </c:pt>
                <c:pt idx="241">
                  <c:v>11.446623481084615</c:v>
                </c:pt>
                <c:pt idx="242">
                  <c:v>11.449903657364922</c:v>
                </c:pt>
                <c:pt idx="243">
                  <c:v>11.453131645833386</c:v>
                </c:pt>
                <c:pt idx="244">
                  <c:v>11.456308346279863</c:v>
                </c:pt>
                <c:pt idx="245">
                  <c:v>11.459434658494214</c:v>
                </c:pt>
                <c:pt idx="246">
                  <c:v>11.462511482266299</c:v>
                </c:pt>
                <c:pt idx="247">
                  <c:v>11.465539717385976</c:v>
                </c:pt>
                <c:pt idx="248">
                  <c:v>11.468520263643105</c:v>
                </c:pt>
                <c:pt idx="249">
                  <c:v>11.471454020827546</c:v>
                </c:pt>
                <c:pt idx="250">
                  <c:v>11.474341888729157</c:v>
                </c:pt>
                <c:pt idx="251">
                  <c:v>11.477184767137798</c:v>
                </c:pt>
                <c:pt idx="252">
                  <c:v>11.479983555843329</c:v>
                </c:pt>
                <c:pt idx="253">
                  <c:v>11.48273915463561</c:v>
                </c:pt>
                <c:pt idx="254">
                  <c:v>11.485452463304497</c:v>
                </c:pt>
                <c:pt idx="255">
                  <c:v>11.488124381639853</c:v>
                </c:pt>
                <c:pt idx="256">
                  <c:v>11.490755809431537</c:v>
                </c:pt>
                <c:pt idx="257">
                  <c:v>11.493347646469408</c:v>
                </c:pt>
                <c:pt idx="258">
                  <c:v>11.495900792543324</c:v>
                </c:pt>
                <c:pt idx="259">
                  <c:v>11.498416147443145</c:v>
                </c:pt>
                <c:pt idx="260">
                  <c:v>11.500894610958731</c:v>
                </c:pt>
                <c:pt idx="261">
                  <c:v>11.503337082879941</c:v>
                </c:pt>
                <c:pt idx="262">
                  <c:v>11.505744462996635</c:v>
                </c:pt>
                <c:pt idx="263">
                  <c:v>11.508117651098672</c:v>
                </c:pt>
                <c:pt idx="264">
                  <c:v>11.510457546975911</c:v>
                </c:pt>
                <c:pt idx="265">
                  <c:v>11.512765050418212</c:v>
                </c:pt>
                <c:pt idx="266">
                  <c:v>11.515041061215433</c:v>
                </c:pt>
                <c:pt idx="267">
                  <c:v>11.517286479157436</c:v>
                </c:pt>
                <c:pt idx="268">
                  <c:v>11.519502204034078</c:v>
                </c:pt>
                <c:pt idx="269">
                  <c:v>11.521689135635221</c:v>
                </c:pt>
                <c:pt idx="270">
                  <c:v>11.523848173750721</c:v>
                </c:pt>
                <c:pt idx="271">
                  <c:v>11.52598021817044</c:v>
                </c:pt>
                <c:pt idx="272">
                  <c:v>11.528086168684236</c:v>
                </c:pt>
                <c:pt idx="273">
                  <c:v>11.53016692508197</c:v>
                </c:pt>
                <c:pt idx="274">
                  <c:v>11.532223387153499</c:v>
                </c:pt>
                <c:pt idx="275">
                  <c:v>11.534256454688684</c:v>
                </c:pt>
                <c:pt idx="276">
                  <c:v>11.536267027477384</c:v>
                </c:pt>
                <c:pt idx="277">
                  <c:v>11.538256005309458</c:v>
                </c:pt>
                <c:pt idx="278">
                  <c:v>11.540224287974766</c:v>
                </c:pt>
                <c:pt idx="279">
                  <c:v>11.542172775263168</c:v>
                </c:pt>
                <c:pt idx="280">
                  <c:v>11.544102366964523</c:v>
                </c:pt>
                <c:pt idx="281">
                  <c:v>11.54601396286869</c:v>
                </c:pt>
                <c:pt idx="282">
                  <c:v>11.547908462765529</c:v>
                </c:pt>
                <c:pt idx="283">
                  <c:v>11.549786766444896</c:v>
                </c:pt>
                <c:pt idx="284">
                  <c:v>11.551649773696656</c:v>
                </c:pt>
                <c:pt idx="285">
                  <c:v>11.553498384310664</c:v>
                </c:pt>
                <c:pt idx="286">
                  <c:v>11.555333498076783</c:v>
                </c:pt>
                <c:pt idx="287">
                  <c:v>11.557156014784869</c:v>
                </c:pt>
                <c:pt idx="288">
                  <c:v>11.558966834224783</c:v>
                </c:pt>
                <c:pt idx="289">
                  <c:v>11.560766856186385</c:v>
                </c:pt>
                <c:pt idx="290">
                  <c:v>11.562556980459533</c:v>
                </c:pt>
                <c:pt idx="291">
                  <c:v>11.564338106834088</c:v>
                </c:pt>
                <c:pt idx="292">
                  <c:v>11.566111135099908</c:v>
                </c:pt>
                <c:pt idx="293">
                  <c:v>11.567876965046851</c:v>
                </c:pt>
                <c:pt idx="294">
                  <c:v>11.569636496464781</c:v>
                </c:pt>
                <c:pt idx="295">
                  <c:v>11.571390629143552</c:v>
                </c:pt>
                <c:pt idx="296">
                  <c:v>11.573140262873029</c:v>
                </c:pt>
                <c:pt idx="297">
                  <c:v>11.574886297443065</c:v>
                </c:pt>
                <c:pt idx="298">
                  <c:v>11.576629632643526</c:v>
                </c:pt>
                <c:pt idx="299">
                  <c:v>11.578371168264265</c:v>
                </c:pt>
                <c:pt idx="300">
                  <c:v>11.580111804095148</c:v>
                </c:pt>
              </c:numCache>
            </c:numRef>
          </c:yVal>
          <c:smooth val="1"/>
          <c:extLst>
            <c:ext xmlns:c16="http://schemas.microsoft.com/office/drawing/2014/chart" uri="{C3380CC4-5D6E-409C-BE32-E72D297353CC}">
              <c16:uniqueId val="{00000001-F888-454D-B2D1-99EBD2D3C348}"/>
            </c:ext>
          </c:extLst>
        </c:ser>
        <c:dLbls>
          <c:showLegendKey val="0"/>
          <c:showVal val="0"/>
          <c:showCatName val="0"/>
          <c:showSerName val="0"/>
          <c:showPercent val="0"/>
          <c:showBubbleSize val="0"/>
        </c:dLbls>
        <c:axId val="395547040"/>
        <c:axId val="395547584"/>
      </c:scatterChart>
      <c:valAx>
        <c:axId val="395547040"/>
        <c:scaling>
          <c:orientation val="minMax"/>
        </c:scaling>
        <c:delete val="0"/>
        <c:axPos val="b"/>
        <c:majorGridlines/>
        <c:title>
          <c:tx>
            <c:rich>
              <a:bodyPr/>
              <a:lstStyle/>
              <a:p>
                <a:pPr>
                  <a:defRPr sz="1000" b="1" i="0" u="none" strike="noStrike" baseline="0">
                    <a:solidFill>
                      <a:srgbClr val="000000"/>
                    </a:solidFill>
                    <a:latin typeface="Arial"/>
                    <a:ea typeface="Arial"/>
                    <a:cs typeface="Arial"/>
                  </a:defRPr>
                </a:pPr>
                <a:r>
                  <a:rPr lang="pt-BR"/>
                  <a:t>Volume (mL)</a:t>
                </a:r>
              </a:p>
            </c:rich>
          </c:tx>
          <c:layout>
            <c:manualLayout>
              <c:xMode val="edge"/>
              <c:yMode val="edge"/>
              <c:x val="0.464101206526504"/>
              <c:y val="0.94085707744019098"/>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nl-NL"/>
          </a:p>
        </c:txPr>
        <c:crossAx val="395547584"/>
        <c:crosses val="autoZero"/>
        <c:crossBetween val="midCat"/>
      </c:valAx>
      <c:valAx>
        <c:axId val="395547584"/>
        <c:scaling>
          <c:orientation val="minMax"/>
        </c:scaling>
        <c:delete val="0"/>
        <c:axPos val="l"/>
        <c:majorGridlines>
          <c:spPr>
            <a:ln w="3175">
              <a:solidFill>
                <a:srgbClr val="000000"/>
              </a:solidFill>
              <a:prstDash val="solid"/>
            </a:ln>
          </c:spPr>
        </c:majorGridlines>
        <c:title>
          <c:tx>
            <c:rich>
              <a:bodyPr/>
              <a:lstStyle/>
              <a:p>
                <a:pPr>
                  <a:defRPr sz="1100" b="1" i="0" u="none" strike="noStrike" baseline="0">
                    <a:solidFill>
                      <a:srgbClr val="000000"/>
                    </a:solidFill>
                    <a:latin typeface="Arial"/>
                    <a:ea typeface="Arial"/>
                    <a:cs typeface="Arial"/>
                  </a:defRPr>
                </a:pPr>
                <a:r>
                  <a:rPr lang="pt-BR"/>
                  <a:t>pH</a:t>
                </a:r>
              </a:p>
            </c:rich>
          </c:tx>
          <c:layout>
            <c:manualLayout>
              <c:xMode val="edge"/>
              <c:yMode val="edge"/>
              <c:x val="6.2736518320354404E-3"/>
              <c:y val="0.43731015274467688"/>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nl-NL"/>
          </a:p>
        </c:txPr>
        <c:crossAx val="395547040"/>
        <c:crosses val="autoZero"/>
        <c:crossBetween val="midCat"/>
      </c:valAx>
      <c:spPr>
        <a:noFill/>
        <a:ln w="12700">
          <a:solidFill>
            <a:srgbClr val="F9FCDE"/>
          </a:solidFill>
          <a:prstDash val="solid"/>
        </a:ln>
      </c:spPr>
    </c:plotArea>
    <c:legend>
      <c:legendPos val="r"/>
      <c:layout>
        <c:manualLayout>
          <c:xMode val="edge"/>
          <c:yMode val="edge"/>
          <c:x val="0.10627003822648158"/>
          <c:y val="1.5290506634042321E-2"/>
          <c:w val="0.45564578843050374"/>
          <c:h val="6.1162400571488224E-2"/>
        </c:manualLayout>
      </c:layout>
      <c:overlay val="0"/>
      <c:spPr>
        <a:solidFill>
          <a:srgbClr val="FFFFFF"/>
        </a:solidFill>
        <a:ln w="3175">
          <a:solidFill>
            <a:srgbClr val="000000"/>
          </a:solidFill>
          <a:prstDash val="solid"/>
        </a:ln>
      </c:spPr>
      <c:txPr>
        <a:bodyPr/>
        <a:lstStyle/>
        <a:p>
          <a:pPr>
            <a:defRPr sz="780" b="0" i="0" u="none" strike="noStrike" baseline="0">
              <a:solidFill>
                <a:srgbClr val="000000"/>
              </a:solidFill>
              <a:latin typeface="Arial"/>
              <a:ea typeface="Arial"/>
              <a:cs typeface="Arial"/>
            </a:defRPr>
          </a:pPr>
          <a:endParaRPr lang="nl-NL"/>
        </a:p>
      </c:txPr>
    </c:legend>
    <c:plotVisOnly val="1"/>
    <c:dispBlanksAs val="gap"/>
    <c:showDLblsOverMax val="0"/>
  </c:chart>
  <c:spPr>
    <a:solidFill>
      <a:srgbClr val="FFFFFF"/>
    </a:solidFill>
    <a:ln w="3175">
      <a:solidFill>
        <a:srgbClr val="000000"/>
      </a:solidFill>
      <a:prstDash val="solid"/>
    </a:ln>
  </c:spPr>
  <c:txPr>
    <a:bodyPr/>
    <a:lstStyle/>
    <a:p>
      <a:pPr>
        <a:defRPr sz="950" b="0" i="0" u="none" strike="noStrike" baseline="0">
          <a:solidFill>
            <a:srgbClr val="000000"/>
          </a:solidFill>
          <a:latin typeface="Arial"/>
          <a:ea typeface="Arial"/>
          <a:cs typeface="Arial"/>
        </a:defRPr>
      </a:pPr>
      <a:endParaRPr lang="nl-NL"/>
    </a:p>
  </c:txPr>
  <c:printSettings>
    <c:headerFooter alignWithMargins="0"/>
    <c:pageMargins b="0.98425196899999956" l="0.78740157499999996" r="0.78740157499999996" t="0.98425196899999956" header="0.49212598500001148" footer="0.49212598500001148"/>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284643026247717E-2"/>
          <c:y val="7.5000091552848702E-2"/>
          <c:w val="0.88008225573789656"/>
          <c:h val="0.81041424425376918"/>
        </c:manualLayout>
      </c:layout>
      <c:scatterChart>
        <c:scatterStyle val="smoothMarker"/>
        <c:varyColors val="0"/>
        <c:ser>
          <c:idx val="1"/>
          <c:order val="0"/>
          <c:tx>
            <c:v>1st derivatives</c:v>
          </c:tx>
          <c:spPr>
            <a:ln w="25400">
              <a:solidFill>
                <a:srgbClr val="FF0000"/>
              </a:solidFill>
              <a:prstDash val="solid"/>
            </a:ln>
          </c:spPr>
          <c:marker>
            <c:symbol val="none"/>
          </c:marker>
          <c:xVal>
            <c:numRef>
              <c:f>'Fosforzuurbepaling (2)'!$T$6:$T$306</c:f>
              <c:numCache>
                <c:formatCode>0.0000</c:formatCode>
                <c:ptCount val="301"/>
                <c:pt idx="0">
                  <c:v>2.4</c:v>
                </c:pt>
                <c:pt idx="1">
                  <c:v>2.4963333333333333</c:v>
                </c:pt>
                <c:pt idx="2">
                  <c:v>2.5926666666666667</c:v>
                </c:pt>
                <c:pt idx="3">
                  <c:v>2.6890000000000001</c:v>
                </c:pt>
                <c:pt idx="4">
                  <c:v>2.7853333333333334</c:v>
                </c:pt>
                <c:pt idx="5">
                  <c:v>2.8816666666666668</c:v>
                </c:pt>
                <c:pt idx="6">
                  <c:v>2.9779999999999998</c:v>
                </c:pt>
                <c:pt idx="7">
                  <c:v>3.0743333333333331</c:v>
                </c:pt>
                <c:pt idx="8">
                  <c:v>3.1706666666666665</c:v>
                </c:pt>
                <c:pt idx="9">
                  <c:v>3.2669999999999999</c:v>
                </c:pt>
                <c:pt idx="10">
                  <c:v>3.3633333333333333</c:v>
                </c:pt>
                <c:pt idx="11">
                  <c:v>3.4596666666666667</c:v>
                </c:pt>
                <c:pt idx="12">
                  <c:v>3.556</c:v>
                </c:pt>
                <c:pt idx="13">
                  <c:v>3.6523333333333334</c:v>
                </c:pt>
                <c:pt idx="14">
                  <c:v>3.7486666666666668</c:v>
                </c:pt>
                <c:pt idx="15">
                  <c:v>3.8449999999999998</c:v>
                </c:pt>
                <c:pt idx="16">
                  <c:v>3.9413333333333336</c:v>
                </c:pt>
                <c:pt idx="17">
                  <c:v>4.0376666666666665</c:v>
                </c:pt>
                <c:pt idx="18">
                  <c:v>4.1340000000000003</c:v>
                </c:pt>
                <c:pt idx="19">
                  <c:v>4.2303333333333333</c:v>
                </c:pt>
                <c:pt idx="20">
                  <c:v>4.3266666666666662</c:v>
                </c:pt>
                <c:pt idx="21">
                  <c:v>4.423</c:v>
                </c:pt>
                <c:pt idx="22">
                  <c:v>4.5193333333333339</c:v>
                </c:pt>
                <c:pt idx="23">
                  <c:v>4.6156666666666668</c:v>
                </c:pt>
                <c:pt idx="24">
                  <c:v>4.7119999999999997</c:v>
                </c:pt>
                <c:pt idx="25">
                  <c:v>4.8083333333333336</c:v>
                </c:pt>
                <c:pt idx="26">
                  <c:v>4.9046666666666674</c:v>
                </c:pt>
                <c:pt idx="27">
                  <c:v>5.0009999999999994</c:v>
                </c:pt>
                <c:pt idx="28">
                  <c:v>5.0973333333333333</c:v>
                </c:pt>
                <c:pt idx="29">
                  <c:v>5.1936666666666671</c:v>
                </c:pt>
                <c:pt idx="30">
                  <c:v>5.29</c:v>
                </c:pt>
                <c:pt idx="31">
                  <c:v>5.386333333333333</c:v>
                </c:pt>
                <c:pt idx="32">
                  <c:v>5.4826666666666668</c:v>
                </c:pt>
                <c:pt idx="33">
                  <c:v>5.5790000000000006</c:v>
                </c:pt>
                <c:pt idx="34">
                  <c:v>5.6753333333333336</c:v>
                </c:pt>
                <c:pt idx="35">
                  <c:v>5.7716666666666665</c:v>
                </c:pt>
                <c:pt idx="36">
                  <c:v>5.8680000000000003</c:v>
                </c:pt>
                <c:pt idx="37">
                  <c:v>5.9643333333333342</c:v>
                </c:pt>
                <c:pt idx="38">
                  <c:v>6.0606666666666662</c:v>
                </c:pt>
                <c:pt idx="39">
                  <c:v>6.157</c:v>
                </c:pt>
                <c:pt idx="40">
                  <c:v>6.2533333333333339</c:v>
                </c:pt>
                <c:pt idx="41">
                  <c:v>6.3496666666666668</c:v>
                </c:pt>
                <c:pt idx="42">
                  <c:v>6.4459999999999997</c:v>
                </c:pt>
                <c:pt idx="43">
                  <c:v>6.5423333333333336</c:v>
                </c:pt>
                <c:pt idx="44">
                  <c:v>6.6386666666666674</c:v>
                </c:pt>
                <c:pt idx="45">
                  <c:v>6.7349999999999994</c:v>
                </c:pt>
                <c:pt idx="46">
                  <c:v>6.8313333333333333</c:v>
                </c:pt>
                <c:pt idx="47">
                  <c:v>6.9276666666666671</c:v>
                </c:pt>
                <c:pt idx="48">
                  <c:v>7.0240000000000009</c:v>
                </c:pt>
                <c:pt idx="49">
                  <c:v>7.120333333333333</c:v>
                </c:pt>
                <c:pt idx="50">
                  <c:v>7.2166666666666668</c:v>
                </c:pt>
                <c:pt idx="51">
                  <c:v>7.3130000000000006</c:v>
                </c:pt>
                <c:pt idx="52">
                  <c:v>7.4093333333333344</c:v>
                </c:pt>
                <c:pt idx="53">
                  <c:v>7.5056666666666665</c:v>
                </c:pt>
                <c:pt idx="54">
                  <c:v>7.6020000000000003</c:v>
                </c:pt>
                <c:pt idx="55">
                  <c:v>7.6983333333333341</c:v>
                </c:pt>
                <c:pt idx="56">
                  <c:v>7.7946666666666662</c:v>
                </c:pt>
                <c:pt idx="57">
                  <c:v>7.891</c:v>
                </c:pt>
                <c:pt idx="58">
                  <c:v>7.9873333333333338</c:v>
                </c:pt>
                <c:pt idx="59">
                  <c:v>8.0836666666666677</c:v>
                </c:pt>
                <c:pt idx="60">
                  <c:v>8.18</c:v>
                </c:pt>
                <c:pt idx="61">
                  <c:v>8.2763333333333335</c:v>
                </c:pt>
                <c:pt idx="62">
                  <c:v>8.3726666666666674</c:v>
                </c:pt>
                <c:pt idx="63">
                  <c:v>8.4690000000000012</c:v>
                </c:pt>
                <c:pt idx="64">
                  <c:v>8.5653333333333332</c:v>
                </c:pt>
                <c:pt idx="65">
                  <c:v>8.6616666666666671</c:v>
                </c:pt>
                <c:pt idx="66">
                  <c:v>8.7580000000000009</c:v>
                </c:pt>
                <c:pt idx="67">
                  <c:v>8.8543333333333329</c:v>
                </c:pt>
                <c:pt idx="68">
                  <c:v>8.9506666666666668</c:v>
                </c:pt>
                <c:pt idx="69">
                  <c:v>9.0470000000000006</c:v>
                </c:pt>
                <c:pt idx="70">
                  <c:v>9.1433333333333344</c:v>
                </c:pt>
                <c:pt idx="71">
                  <c:v>9.2396666666666665</c:v>
                </c:pt>
                <c:pt idx="72">
                  <c:v>9.3360000000000003</c:v>
                </c:pt>
                <c:pt idx="73">
                  <c:v>9.4323333333333341</c:v>
                </c:pt>
                <c:pt idx="74">
                  <c:v>9.528666666666668</c:v>
                </c:pt>
                <c:pt idx="75">
                  <c:v>9.625</c:v>
                </c:pt>
                <c:pt idx="76">
                  <c:v>9.7213333333333338</c:v>
                </c:pt>
                <c:pt idx="77">
                  <c:v>9.8176666666666677</c:v>
                </c:pt>
                <c:pt idx="78">
                  <c:v>9.9139999999999997</c:v>
                </c:pt>
                <c:pt idx="79">
                  <c:v>10.010333333333334</c:v>
                </c:pt>
                <c:pt idx="80">
                  <c:v>10.106666666666667</c:v>
                </c:pt>
                <c:pt idx="81">
                  <c:v>10.203000000000001</c:v>
                </c:pt>
                <c:pt idx="82">
                  <c:v>10.299333333333333</c:v>
                </c:pt>
                <c:pt idx="83">
                  <c:v>10.395666666666667</c:v>
                </c:pt>
                <c:pt idx="84">
                  <c:v>10.492000000000001</c:v>
                </c:pt>
                <c:pt idx="85">
                  <c:v>10.588333333333335</c:v>
                </c:pt>
                <c:pt idx="86">
                  <c:v>10.684666666666667</c:v>
                </c:pt>
                <c:pt idx="87">
                  <c:v>10.781000000000001</c:v>
                </c:pt>
                <c:pt idx="88">
                  <c:v>10.877333333333334</c:v>
                </c:pt>
                <c:pt idx="89">
                  <c:v>10.973666666666668</c:v>
                </c:pt>
                <c:pt idx="90">
                  <c:v>11.07</c:v>
                </c:pt>
                <c:pt idx="91">
                  <c:v>11.166333333333334</c:v>
                </c:pt>
                <c:pt idx="92">
                  <c:v>11.262666666666668</c:v>
                </c:pt>
                <c:pt idx="93">
                  <c:v>11.359000000000002</c:v>
                </c:pt>
                <c:pt idx="94">
                  <c:v>11.455333333333334</c:v>
                </c:pt>
                <c:pt idx="95">
                  <c:v>11.551666666666668</c:v>
                </c:pt>
                <c:pt idx="96">
                  <c:v>11.648000000000001</c:v>
                </c:pt>
                <c:pt idx="97">
                  <c:v>11.744333333333334</c:v>
                </c:pt>
                <c:pt idx="98">
                  <c:v>11.840666666666667</c:v>
                </c:pt>
                <c:pt idx="99">
                  <c:v>11.937000000000001</c:v>
                </c:pt>
                <c:pt idx="100">
                  <c:v>12.033333333333335</c:v>
                </c:pt>
                <c:pt idx="101">
                  <c:v>12.129666666666667</c:v>
                </c:pt>
                <c:pt idx="102">
                  <c:v>12.226000000000001</c:v>
                </c:pt>
                <c:pt idx="103">
                  <c:v>12.322333333333335</c:v>
                </c:pt>
                <c:pt idx="104">
                  <c:v>12.418666666666669</c:v>
                </c:pt>
                <c:pt idx="105">
                  <c:v>12.515000000000001</c:v>
                </c:pt>
                <c:pt idx="106">
                  <c:v>12.611333333333334</c:v>
                </c:pt>
                <c:pt idx="107">
                  <c:v>12.707666666666668</c:v>
                </c:pt>
                <c:pt idx="108">
                  <c:v>12.804</c:v>
                </c:pt>
                <c:pt idx="109">
                  <c:v>12.900333333333334</c:v>
                </c:pt>
                <c:pt idx="110">
                  <c:v>12.996666666666668</c:v>
                </c:pt>
                <c:pt idx="111">
                  <c:v>13.093000000000002</c:v>
                </c:pt>
                <c:pt idx="112">
                  <c:v>13.189333333333334</c:v>
                </c:pt>
                <c:pt idx="113">
                  <c:v>13.285666666666668</c:v>
                </c:pt>
                <c:pt idx="114">
                  <c:v>13.382000000000001</c:v>
                </c:pt>
                <c:pt idx="115">
                  <c:v>13.478333333333335</c:v>
                </c:pt>
                <c:pt idx="116">
                  <c:v>13.574666666666667</c:v>
                </c:pt>
                <c:pt idx="117">
                  <c:v>13.671000000000001</c:v>
                </c:pt>
                <c:pt idx="118">
                  <c:v>13.767333333333335</c:v>
                </c:pt>
                <c:pt idx="119">
                  <c:v>13.863666666666667</c:v>
                </c:pt>
                <c:pt idx="120">
                  <c:v>13.96</c:v>
                </c:pt>
                <c:pt idx="121">
                  <c:v>14.056333333333335</c:v>
                </c:pt>
                <c:pt idx="122">
                  <c:v>14.152666666666669</c:v>
                </c:pt>
                <c:pt idx="123">
                  <c:v>14.249000000000001</c:v>
                </c:pt>
                <c:pt idx="124">
                  <c:v>14.345333333333334</c:v>
                </c:pt>
                <c:pt idx="125">
                  <c:v>14.441666666666668</c:v>
                </c:pt>
                <c:pt idx="126">
                  <c:v>14.538000000000002</c:v>
                </c:pt>
                <c:pt idx="127">
                  <c:v>14.634333333333334</c:v>
                </c:pt>
                <c:pt idx="128">
                  <c:v>14.730666666666668</c:v>
                </c:pt>
                <c:pt idx="129">
                  <c:v>14.827000000000002</c:v>
                </c:pt>
                <c:pt idx="130">
                  <c:v>14.923333333333334</c:v>
                </c:pt>
                <c:pt idx="131">
                  <c:v>15.019666666666668</c:v>
                </c:pt>
                <c:pt idx="132">
                  <c:v>15.116000000000001</c:v>
                </c:pt>
                <c:pt idx="133">
                  <c:v>15.212333333333335</c:v>
                </c:pt>
                <c:pt idx="134">
                  <c:v>15.308666666666667</c:v>
                </c:pt>
                <c:pt idx="135">
                  <c:v>15.405000000000001</c:v>
                </c:pt>
                <c:pt idx="136">
                  <c:v>15.501333333333335</c:v>
                </c:pt>
                <c:pt idx="137">
                  <c:v>15.597666666666669</c:v>
                </c:pt>
                <c:pt idx="138">
                  <c:v>15.694000000000001</c:v>
                </c:pt>
                <c:pt idx="139">
                  <c:v>15.790333333333335</c:v>
                </c:pt>
                <c:pt idx="140">
                  <c:v>15.886666666666668</c:v>
                </c:pt>
                <c:pt idx="141">
                  <c:v>15.983000000000001</c:v>
                </c:pt>
                <c:pt idx="142">
                  <c:v>16.079333333333334</c:v>
                </c:pt>
                <c:pt idx="143">
                  <c:v>16.175666666666668</c:v>
                </c:pt>
                <c:pt idx="144">
                  <c:v>16.272000000000002</c:v>
                </c:pt>
                <c:pt idx="145">
                  <c:v>16.368333333333332</c:v>
                </c:pt>
                <c:pt idx="146">
                  <c:v>16.464666666666666</c:v>
                </c:pt>
                <c:pt idx="147">
                  <c:v>16.561</c:v>
                </c:pt>
                <c:pt idx="148">
                  <c:v>16.657333333333334</c:v>
                </c:pt>
                <c:pt idx="149">
                  <c:v>16.753666666666668</c:v>
                </c:pt>
                <c:pt idx="150">
                  <c:v>16.850000000000001</c:v>
                </c:pt>
                <c:pt idx="151">
                  <c:v>16.946333333333335</c:v>
                </c:pt>
                <c:pt idx="152">
                  <c:v>17.042666666666666</c:v>
                </c:pt>
                <c:pt idx="153">
                  <c:v>17.138999999999999</c:v>
                </c:pt>
                <c:pt idx="154">
                  <c:v>17.235333333333333</c:v>
                </c:pt>
                <c:pt idx="155">
                  <c:v>17.331666666666667</c:v>
                </c:pt>
                <c:pt idx="156">
                  <c:v>17.428000000000001</c:v>
                </c:pt>
                <c:pt idx="157">
                  <c:v>17.524333333333335</c:v>
                </c:pt>
                <c:pt idx="158">
                  <c:v>17.620666666666668</c:v>
                </c:pt>
                <c:pt idx="159">
                  <c:v>17.717000000000002</c:v>
                </c:pt>
                <c:pt idx="160">
                  <c:v>17.813333333333333</c:v>
                </c:pt>
                <c:pt idx="161">
                  <c:v>17.909666666666666</c:v>
                </c:pt>
                <c:pt idx="162">
                  <c:v>18.006</c:v>
                </c:pt>
                <c:pt idx="163">
                  <c:v>18.102333333333334</c:v>
                </c:pt>
                <c:pt idx="164">
                  <c:v>18.198666666666668</c:v>
                </c:pt>
                <c:pt idx="165">
                  <c:v>18.295000000000002</c:v>
                </c:pt>
                <c:pt idx="166">
                  <c:v>18.391333333333336</c:v>
                </c:pt>
                <c:pt idx="167">
                  <c:v>18.487666666666666</c:v>
                </c:pt>
                <c:pt idx="168">
                  <c:v>18.584</c:v>
                </c:pt>
                <c:pt idx="169">
                  <c:v>18.680333333333333</c:v>
                </c:pt>
                <c:pt idx="170">
                  <c:v>18.776666666666667</c:v>
                </c:pt>
                <c:pt idx="171">
                  <c:v>18.873000000000001</c:v>
                </c:pt>
                <c:pt idx="172">
                  <c:v>18.969333333333331</c:v>
                </c:pt>
                <c:pt idx="173">
                  <c:v>19.065666666666665</c:v>
                </c:pt>
                <c:pt idx="174">
                  <c:v>19.161999999999999</c:v>
                </c:pt>
                <c:pt idx="175">
                  <c:v>19.258333333333333</c:v>
                </c:pt>
                <c:pt idx="176">
                  <c:v>19.354666666666667</c:v>
                </c:pt>
                <c:pt idx="177">
                  <c:v>19.451000000000001</c:v>
                </c:pt>
                <c:pt idx="178">
                  <c:v>19.547333333333334</c:v>
                </c:pt>
                <c:pt idx="179">
                  <c:v>19.643666666666668</c:v>
                </c:pt>
                <c:pt idx="180">
                  <c:v>19.739999999999998</c:v>
                </c:pt>
                <c:pt idx="181">
                  <c:v>19.836333333333332</c:v>
                </c:pt>
                <c:pt idx="182">
                  <c:v>19.932666666666666</c:v>
                </c:pt>
                <c:pt idx="183">
                  <c:v>20.029</c:v>
                </c:pt>
                <c:pt idx="184">
                  <c:v>20.125333333333334</c:v>
                </c:pt>
                <c:pt idx="185">
                  <c:v>20.221666666666668</c:v>
                </c:pt>
                <c:pt idx="186">
                  <c:v>20.318000000000001</c:v>
                </c:pt>
                <c:pt idx="187">
                  <c:v>20.414333333333332</c:v>
                </c:pt>
                <c:pt idx="188">
                  <c:v>20.510666666666665</c:v>
                </c:pt>
                <c:pt idx="189">
                  <c:v>20.606999999999999</c:v>
                </c:pt>
                <c:pt idx="190">
                  <c:v>20.703333333333333</c:v>
                </c:pt>
                <c:pt idx="191">
                  <c:v>20.799666666666667</c:v>
                </c:pt>
                <c:pt idx="192">
                  <c:v>20.896000000000001</c:v>
                </c:pt>
                <c:pt idx="193">
                  <c:v>20.992333333333335</c:v>
                </c:pt>
                <c:pt idx="194">
                  <c:v>21.088666666666665</c:v>
                </c:pt>
                <c:pt idx="195">
                  <c:v>21.184999999999999</c:v>
                </c:pt>
                <c:pt idx="196">
                  <c:v>21.281333333333333</c:v>
                </c:pt>
                <c:pt idx="197">
                  <c:v>21.377666666666666</c:v>
                </c:pt>
                <c:pt idx="198">
                  <c:v>21.474</c:v>
                </c:pt>
                <c:pt idx="199">
                  <c:v>21.570333333333334</c:v>
                </c:pt>
                <c:pt idx="200">
                  <c:v>21.666666666666668</c:v>
                </c:pt>
                <c:pt idx="201">
                  <c:v>21.763000000000002</c:v>
                </c:pt>
                <c:pt idx="202">
                  <c:v>21.859333333333332</c:v>
                </c:pt>
                <c:pt idx="203">
                  <c:v>21.955666666666666</c:v>
                </c:pt>
                <c:pt idx="204">
                  <c:v>22.052</c:v>
                </c:pt>
                <c:pt idx="205">
                  <c:v>22.148333333333333</c:v>
                </c:pt>
                <c:pt idx="206">
                  <c:v>22.244666666666667</c:v>
                </c:pt>
                <c:pt idx="207">
                  <c:v>22.341000000000001</c:v>
                </c:pt>
                <c:pt idx="208">
                  <c:v>22.437333333333335</c:v>
                </c:pt>
                <c:pt idx="209">
                  <c:v>22.533666666666665</c:v>
                </c:pt>
                <c:pt idx="210">
                  <c:v>22.63</c:v>
                </c:pt>
                <c:pt idx="211">
                  <c:v>22.726333333333333</c:v>
                </c:pt>
                <c:pt idx="212">
                  <c:v>22.822666666666667</c:v>
                </c:pt>
                <c:pt idx="213">
                  <c:v>22.919</c:v>
                </c:pt>
                <c:pt idx="214">
                  <c:v>23.015333333333334</c:v>
                </c:pt>
                <c:pt idx="215">
                  <c:v>23.111666666666668</c:v>
                </c:pt>
                <c:pt idx="216">
                  <c:v>23.207999999999998</c:v>
                </c:pt>
                <c:pt idx="217">
                  <c:v>23.304333333333332</c:v>
                </c:pt>
                <c:pt idx="218">
                  <c:v>23.400666666666666</c:v>
                </c:pt>
                <c:pt idx="219">
                  <c:v>23.497</c:v>
                </c:pt>
                <c:pt idx="220">
                  <c:v>23.593333333333334</c:v>
                </c:pt>
                <c:pt idx="221">
                  <c:v>23.689666666666668</c:v>
                </c:pt>
                <c:pt idx="222">
                  <c:v>23.786000000000001</c:v>
                </c:pt>
                <c:pt idx="223">
                  <c:v>23.882333333333335</c:v>
                </c:pt>
                <c:pt idx="224">
                  <c:v>23.978666666666665</c:v>
                </c:pt>
                <c:pt idx="225">
                  <c:v>24.074999999999999</c:v>
                </c:pt>
                <c:pt idx="226">
                  <c:v>24.171333333333333</c:v>
                </c:pt>
                <c:pt idx="227">
                  <c:v>24.267666666666667</c:v>
                </c:pt>
                <c:pt idx="228">
                  <c:v>24.364000000000001</c:v>
                </c:pt>
                <c:pt idx="229">
                  <c:v>24.460333333333335</c:v>
                </c:pt>
                <c:pt idx="230">
                  <c:v>24.556666666666668</c:v>
                </c:pt>
                <c:pt idx="231">
                  <c:v>24.652999999999999</c:v>
                </c:pt>
                <c:pt idx="232">
                  <c:v>24.749333333333333</c:v>
                </c:pt>
                <c:pt idx="233">
                  <c:v>24.845666666666666</c:v>
                </c:pt>
                <c:pt idx="234">
                  <c:v>24.942</c:v>
                </c:pt>
                <c:pt idx="235">
                  <c:v>25.038333333333334</c:v>
                </c:pt>
                <c:pt idx="236">
                  <c:v>25.134666666666668</c:v>
                </c:pt>
                <c:pt idx="237">
                  <c:v>25.231000000000002</c:v>
                </c:pt>
                <c:pt idx="238">
                  <c:v>25.327333333333332</c:v>
                </c:pt>
                <c:pt idx="239">
                  <c:v>25.423666666666666</c:v>
                </c:pt>
                <c:pt idx="240">
                  <c:v>25.52</c:v>
                </c:pt>
                <c:pt idx="241">
                  <c:v>25.616333333333333</c:v>
                </c:pt>
                <c:pt idx="242">
                  <c:v>25.712666666666667</c:v>
                </c:pt>
                <c:pt idx="243">
                  <c:v>25.809000000000001</c:v>
                </c:pt>
                <c:pt idx="244">
                  <c:v>25.905333333333335</c:v>
                </c:pt>
                <c:pt idx="245">
                  <c:v>26.001666666666669</c:v>
                </c:pt>
                <c:pt idx="246">
                  <c:v>26.097999999999999</c:v>
                </c:pt>
                <c:pt idx="247">
                  <c:v>26.194333333333333</c:v>
                </c:pt>
                <c:pt idx="248">
                  <c:v>26.290666666666667</c:v>
                </c:pt>
                <c:pt idx="249">
                  <c:v>26.387</c:v>
                </c:pt>
                <c:pt idx="250">
                  <c:v>26.483333333333334</c:v>
                </c:pt>
                <c:pt idx="251">
                  <c:v>26.579666666666668</c:v>
                </c:pt>
                <c:pt idx="252">
                  <c:v>26.676000000000002</c:v>
                </c:pt>
                <c:pt idx="253">
                  <c:v>26.772333333333332</c:v>
                </c:pt>
                <c:pt idx="254">
                  <c:v>26.868666666666666</c:v>
                </c:pt>
                <c:pt idx="255">
                  <c:v>26.965</c:v>
                </c:pt>
                <c:pt idx="256">
                  <c:v>27.061333333333334</c:v>
                </c:pt>
                <c:pt idx="257">
                  <c:v>27.157666666666668</c:v>
                </c:pt>
                <c:pt idx="258">
                  <c:v>27.254000000000001</c:v>
                </c:pt>
                <c:pt idx="259">
                  <c:v>27.350333333333335</c:v>
                </c:pt>
                <c:pt idx="260">
                  <c:v>27.446666666666665</c:v>
                </c:pt>
                <c:pt idx="261">
                  <c:v>27.542999999999999</c:v>
                </c:pt>
                <c:pt idx="262">
                  <c:v>27.639333333333333</c:v>
                </c:pt>
                <c:pt idx="263">
                  <c:v>27.735666666666667</c:v>
                </c:pt>
                <c:pt idx="264">
                  <c:v>27.832000000000001</c:v>
                </c:pt>
                <c:pt idx="265">
                  <c:v>27.928333333333335</c:v>
                </c:pt>
                <c:pt idx="266">
                  <c:v>28.024666666666668</c:v>
                </c:pt>
                <c:pt idx="267">
                  <c:v>28.120999999999999</c:v>
                </c:pt>
                <c:pt idx="268">
                  <c:v>28.217333333333332</c:v>
                </c:pt>
                <c:pt idx="269">
                  <c:v>28.313666666666666</c:v>
                </c:pt>
                <c:pt idx="270">
                  <c:v>28.41</c:v>
                </c:pt>
                <c:pt idx="271">
                  <c:v>28.506333333333334</c:v>
                </c:pt>
                <c:pt idx="272">
                  <c:v>28.602666666666668</c:v>
                </c:pt>
                <c:pt idx="273">
                  <c:v>28.699000000000002</c:v>
                </c:pt>
                <c:pt idx="274">
                  <c:v>28.795333333333335</c:v>
                </c:pt>
                <c:pt idx="275">
                  <c:v>28.891666666666666</c:v>
                </c:pt>
                <c:pt idx="276">
                  <c:v>28.988</c:v>
                </c:pt>
                <c:pt idx="277">
                  <c:v>29.084333333333333</c:v>
                </c:pt>
                <c:pt idx="278">
                  <c:v>29.180666666666667</c:v>
                </c:pt>
                <c:pt idx="279">
                  <c:v>29.277000000000001</c:v>
                </c:pt>
                <c:pt idx="280">
                  <c:v>29.373333333333335</c:v>
                </c:pt>
                <c:pt idx="281">
                  <c:v>29.469666666666669</c:v>
                </c:pt>
                <c:pt idx="282">
                  <c:v>29.565999999999999</c:v>
                </c:pt>
                <c:pt idx="283">
                  <c:v>29.662333333333333</c:v>
                </c:pt>
                <c:pt idx="284">
                  <c:v>29.758666666666667</c:v>
                </c:pt>
                <c:pt idx="285">
                  <c:v>29.855</c:v>
                </c:pt>
                <c:pt idx="286">
                  <c:v>29.951333333333334</c:v>
                </c:pt>
                <c:pt idx="287">
                  <c:v>30.047666666666668</c:v>
                </c:pt>
                <c:pt idx="288">
                  <c:v>30.144000000000002</c:v>
                </c:pt>
                <c:pt idx="289">
                  <c:v>30.240333333333332</c:v>
                </c:pt>
                <c:pt idx="290">
                  <c:v>30.336666666666666</c:v>
                </c:pt>
                <c:pt idx="291">
                  <c:v>30.433</c:v>
                </c:pt>
                <c:pt idx="292">
                  <c:v>30.529333333333334</c:v>
                </c:pt>
                <c:pt idx="293">
                  <c:v>30.625666666666667</c:v>
                </c:pt>
                <c:pt idx="294">
                  <c:v>30.722000000000001</c:v>
                </c:pt>
                <c:pt idx="295">
                  <c:v>30.818333333333335</c:v>
                </c:pt>
                <c:pt idx="296">
                  <c:v>30.914666666666669</c:v>
                </c:pt>
                <c:pt idx="297">
                  <c:v>31.010999999999999</c:v>
                </c:pt>
                <c:pt idx="298">
                  <c:v>31.107333333333333</c:v>
                </c:pt>
                <c:pt idx="299">
                  <c:v>31.203666666666667</c:v>
                </c:pt>
                <c:pt idx="300">
                  <c:v>31.3</c:v>
                </c:pt>
              </c:numCache>
            </c:numRef>
          </c:xVal>
          <c:yVal>
            <c:numRef>
              <c:f>'Fosforzuurbepaling (2)'!$V$6:$V$306</c:f>
              <c:numCache>
                <c:formatCode>0.0000</c:formatCode>
                <c:ptCount val="301"/>
                <c:pt idx="0">
                  <c:v>0.310998060923317</c:v>
                </c:pt>
                <c:pt idx="1">
                  <c:v>0.31516443812273154</c:v>
                </c:pt>
                <c:pt idx="2">
                  <c:v>0.32094780572992254</c:v>
                </c:pt>
                <c:pt idx="3">
                  <c:v>0.32834816373567016</c:v>
                </c:pt>
                <c:pt idx="4">
                  <c:v>0.33736551214458443</c:v>
                </c:pt>
                <c:pt idx="5">
                  <c:v>0.34799985096127511</c:v>
                </c:pt>
                <c:pt idx="6">
                  <c:v>0.36025118018113245</c:v>
                </c:pt>
                <c:pt idx="7">
                  <c:v>0.37411949979954634</c:v>
                </c:pt>
                <c:pt idx="8">
                  <c:v>0.38960480982573681</c:v>
                </c:pt>
                <c:pt idx="9">
                  <c:v>0.40670711025970369</c:v>
                </c:pt>
                <c:pt idx="10">
                  <c:v>0.42545989056178696</c:v>
                </c:pt>
                <c:pt idx="11">
                  <c:v>0.4480139523264815</c:v>
                </c:pt>
                <c:pt idx="12">
                  <c:v>0.47565620765777389</c:v>
                </c:pt>
                <c:pt idx="13">
                  <c:v>0.50838665655566417</c:v>
                </c:pt>
                <c:pt idx="14">
                  <c:v>0.54620529901554238</c:v>
                </c:pt>
                <c:pt idx="15">
                  <c:v>0.58911213504201831</c:v>
                </c:pt>
                <c:pt idx="16">
                  <c:v>0.63710716462587236</c:v>
                </c:pt>
                <c:pt idx="17">
                  <c:v>0.69019038778554409</c:v>
                </c:pt>
                <c:pt idx="18">
                  <c:v>0.7483618045072038</c:v>
                </c:pt>
                <c:pt idx="19">
                  <c:v>0.81162141480007122</c:v>
                </c:pt>
                <c:pt idx="20">
                  <c:v>0.87996921864570676</c:v>
                </c:pt>
                <c:pt idx="21">
                  <c:v>0.95340521606255002</c:v>
                </c:pt>
                <c:pt idx="22">
                  <c:v>1.0319294070506011</c:v>
                </c:pt>
                <c:pt idx="23">
                  <c:v>1.1122780520936129</c:v>
                </c:pt>
                <c:pt idx="24">
                  <c:v>1.1843961933932585</c:v>
                </c:pt>
                <c:pt idx="25">
                  <c:v>1.2475753033646078</c:v>
                </c:pt>
                <c:pt idx="26">
                  <c:v>1.3018153819892206</c:v>
                </c:pt>
                <c:pt idx="27">
                  <c:v>1.3456693985642234</c:v>
                </c:pt>
                <c:pt idx="28">
                  <c:v>1.3738614415987684</c:v>
                </c:pt>
                <c:pt idx="29">
                  <c:v>1.3859080995444641</c:v>
                </c:pt>
                <c:pt idx="30">
                  <c:v>1.3818093723920901</c:v>
                </c:pt>
                <c:pt idx="31">
                  <c:v>1.3558888596339935</c:v>
                </c:pt>
                <c:pt idx="32">
                  <c:v>1.3072994883531743</c:v>
                </c:pt>
                <c:pt idx="33">
                  <c:v>1.2486431517256702</c:v>
                </c:pt>
                <c:pt idx="34">
                  <c:v>1.180123714505855</c:v>
                </c:pt>
                <c:pt idx="35">
                  <c:v>1.1018443300918934</c:v>
                </c:pt>
                <c:pt idx="36">
                  <c:v>1.0222704678888428</c:v>
                </c:pt>
                <c:pt idx="37">
                  <c:v>0.94678407590506419</c:v>
                </c:pt>
                <c:pt idx="38">
                  <c:v>0.87538515413133777</c:v>
                </c:pt>
                <c:pt idx="39">
                  <c:v>0.80807370258610312</c:v>
                </c:pt>
                <c:pt idx="40">
                  <c:v>0.7448497212417009</c:v>
                </c:pt>
                <c:pt idx="41">
                  <c:v>0.6857132101350103</c:v>
                </c:pt>
                <c:pt idx="42">
                  <c:v>0.63066416923837176</c:v>
                </c:pt>
                <c:pt idx="43">
                  <c:v>0.57970955605902019</c:v>
                </c:pt>
                <c:pt idx="44">
                  <c:v>0.53336488866117848</c:v>
                </c:pt>
                <c:pt idx="45">
                  <c:v>0.49195002996300585</c:v>
                </c:pt>
                <c:pt idx="46">
                  <c:v>0.45546497998294194</c:v>
                </c:pt>
                <c:pt idx="47">
                  <c:v>0.42390973871176696</c:v>
                </c:pt>
                <c:pt idx="48">
                  <c:v>0.397284306140261</c:v>
                </c:pt>
                <c:pt idx="49">
                  <c:v>0.37558868228686382</c:v>
                </c:pt>
                <c:pt idx="50">
                  <c:v>0.35882286712391581</c:v>
                </c:pt>
                <c:pt idx="51">
                  <c:v>0.34698686067907658</c:v>
                </c:pt>
                <c:pt idx="52">
                  <c:v>0.34008066294312617</c:v>
                </c:pt>
                <c:pt idx="53">
                  <c:v>0.33810427390684489</c:v>
                </c:pt>
                <c:pt idx="54">
                  <c:v>0.34039162023764197</c:v>
                </c:pt>
                <c:pt idx="55">
                  <c:v>0.34352751615428379</c:v>
                </c:pt>
                <c:pt idx="56">
                  <c:v>0.34702976100596611</c:v>
                </c:pt>
                <c:pt idx="57">
                  <c:v>0.35089835480190862</c:v>
                </c:pt>
                <c:pt idx="58">
                  <c:v>0.35513329753289163</c:v>
                </c:pt>
                <c:pt idx="59">
                  <c:v>0.35973458919891499</c:v>
                </c:pt>
                <c:pt idx="60">
                  <c:v>0.36470222979997885</c:v>
                </c:pt>
                <c:pt idx="61">
                  <c:v>0.37003621932686326</c:v>
                </c:pt>
                <c:pt idx="62">
                  <c:v>0.37573655780722776</c:v>
                </c:pt>
                <c:pt idx="63">
                  <c:v>0.38180324520419301</c:v>
                </c:pt>
                <c:pt idx="64">
                  <c:v>0.38823628154541856</c:v>
                </c:pt>
                <c:pt idx="65">
                  <c:v>0.39503566683090435</c:v>
                </c:pt>
                <c:pt idx="66">
                  <c:v>0.4022014010329909</c:v>
                </c:pt>
                <c:pt idx="67">
                  <c:v>0.40973348418855754</c:v>
                </c:pt>
                <c:pt idx="68">
                  <c:v>0.41763191627916463</c:v>
                </c:pt>
                <c:pt idx="69">
                  <c:v>0.42589669729559226</c:v>
                </c:pt>
                <c:pt idx="70">
                  <c:v>0.4345278272562802</c:v>
                </c:pt>
                <c:pt idx="71">
                  <c:v>0.44365161230554934</c:v>
                </c:pt>
                <c:pt idx="72">
                  <c:v>0.45437132516456247</c:v>
                </c:pt>
                <c:pt idx="73">
                  <c:v>0.46694367159492683</c:v>
                </c:pt>
                <c:pt idx="74">
                  <c:v>0.4813686516058624</c:v>
                </c:pt>
                <c:pt idx="75">
                  <c:v>0.49764626519736904</c:v>
                </c:pt>
                <c:pt idx="76">
                  <c:v>0.51577651238788658</c:v>
                </c:pt>
                <c:pt idx="77">
                  <c:v>0.53575939314053544</c:v>
                </c:pt>
                <c:pt idx="78">
                  <c:v>0.55759490748297535</c:v>
                </c:pt>
                <c:pt idx="79">
                  <c:v>0.58128305540598635</c:v>
                </c:pt>
                <c:pt idx="80">
                  <c:v>0.60682383689112873</c:v>
                </c:pt>
                <c:pt idx="81">
                  <c:v>0.63421725198450185</c:v>
                </c:pt>
                <c:pt idx="82">
                  <c:v>0.66346330064922621</c:v>
                </c:pt>
                <c:pt idx="83">
                  <c:v>0.69456198288530191</c:v>
                </c:pt>
                <c:pt idx="84">
                  <c:v>0.72751329871116854</c:v>
                </c:pt>
                <c:pt idx="85">
                  <c:v>0.76231724812682611</c:v>
                </c:pt>
                <c:pt idx="86">
                  <c:v>0.79810851611540257</c:v>
                </c:pt>
                <c:pt idx="87">
                  <c:v>0.83088835012290474</c:v>
                </c:pt>
                <c:pt idx="88">
                  <c:v>0.86015609691881023</c:v>
                </c:pt>
                <c:pt idx="89">
                  <c:v>0.88591175652155862</c:v>
                </c:pt>
                <c:pt idx="90">
                  <c:v>0.90815532891271045</c:v>
                </c:pt>
                <c:pt idx="91">
                  <c:v>0.92618911728075293</c:v>
                </c:pt>
                <c:pt idx="92">
                  <c:v>0.937914158315721</c:v>
                </c:pt>
                <c:pt idx="93">
                  <c:v>0.94317040419025922</c:v>
                </c:pt>
                <c:pt idx="94">
                  <c:v>0.94188719555978673</c:v>
                </c:pt>
                <c:pt idx="95">
                  <c:v>0.93405735366844389</c:v>
                </c:pt>
                <c:pt idx="96">
                  <c:v>0.91968087855311009</c:v>
                </c:pt>
                <c:pt idx="97">
                  <c:v>0.89875777019534575</c:v>
                </c:pt>
                <c:pt idx="98">
                  <c:v>0.87128802859515064</c:v>
                </c:pt>
                <c:pt idx="99">
                  <c:v>0.83727165373408541</c:v>
                </c:pt>
                <c:pt idx="100">
                  <c:v>0.7967086456674688</c:v>
                </c:pt>
                <c:pt idx="101">
                  <c:v>0.7517324080312896</c:v>
                </c:pt>
                <c:pt idx="102">
                  <c:v>0.70804566668340518</c:v>
                </c:pt>
                <c:pt idx="103">
                  <c:v>0.66595944301469512</c:v>
                </c:pt>
                <c:pt idx="104">
                  <c:v>0.6254737370251594</c:v>
                </c:pt>
                <c:pt idx="105">
                  <c:v>0.58658854867791865</c:v>
                </c:pt>
                <c:pt idx="106">
                  <c:v>0.54930302200254566</c:v>
                </c:pt>
                <c:pt idx="107">
                  <c:v>0.51354305785929832</c:v>
                </c:pt>
                <c:pt idx="108">
                  <c:v>0.47926096883014818</c:v>
                </c:pt>
                <c:pt idx="109">
                  <c:v>0.44645675493353504</c:v>
                </c:pt>
                <c:pt idx="110">
                  <c:v>0.41513041615101925</c:v>
                </c:pt>
                <c:pt idx="111">
                  <c:v>0.38528195248260078</c:v>
                </c:pt>
                <c:pt idx="112">
                  <c:v>0.3569113639282796</c:v>
                </c:pt>
                <c:pt idx="113">
                  <c:v>0.33001865048805573</c:v>
                </c:pt>
                <c:pt idx="114">
                  <c:v>0.30460381219880855</c:v>
                </c:pt>
                <c:pt idx="115">
                  <c:v>0.28066684902365874</c:v>
                </c:pt>
                <c:pt idx="116">
                  <c:v>0.25820776094416648</c:v>
                </c:pt>
                <c:pt idx="117">
                  <c:v>0.23722654801565096</c:v>
                </c:pt>
                <c:pt idx="118">
                  <c:v>0.21772321018279303</c:v>
                </c:pt>
                <c:pt idx="119">
                  <c:v>0.19969774748247213</c:v>
                </c:pt>
                <c:pt idx="120">
                  <c:v>0.18315015989624853</c:v>
                </c:pt>
                <c:pt idx="121">
                  <c:v>0.16808044744256195</c:v>
                </c:pt>
                <c:pt idx="122">
                  <c:v>0.15448861010297266</c:v>
                </c:pt>
                <c:pt idx="123">
                  <c:v>0.14237464787748069</c:v>
                </c:pt>
                <c:pt idx="124">
                  <c:v>0.13173856076608606</c:v>
                </c:pt>
                <c:pt idx="125">
                  <c:v>0.1225803487872284</c:v>
                </c:pt>
                <c:pt idx="126">
                  <c:v>0.11490001192246807</c:v>
                </c:pt>
                <c:pt idx="127">
                  <c:v>0.10869755019024473</c:v>
                </c:pt>
                <c:pt idx="128">
                  <c:v>0.10397296355367902</c:v>
                </c:pt>
                <c:pt idx="129">
                  <c:v>0.10072625206809001</c:v>
                </c:pt>
                <c:pt idx="130">
                  <c:v>9.89574156965983E-2</c:v>
                </c:pt>
                <c:pt idx="131">
                  <c:v>9.866645443920391E-2</c:v>
                </c:pt>
                <c:pt idx="132">
                  <c:v>9.9744608033288495E-2</c:v>
                </c:pt>
                <c:pt idx="133">
                  <c:v>0.10105140029016224</c:v>
                </c:pt>
                <c:pt idx="134">
                  <c:v>0.10228265542491932</c:v>
                </c:pt>
                <c:pt idx="135">
                  <c:v>0.10343837343755971</c:v>
                </c:pt>
                <c:pt idx="136">
                  <c:v>0.10451855434652313</c:v>
                </c:pt>
                <c:pt idx="137">
                  <c:v>0.10552319811493018</c:v>
                </c:pt>
                <c:pt idx="138">
                  <c:v>0.10645230477966024</c:v>
                </c:pt>
                <c:pt idx="139">
                  <c:v>0.10730587435915299</c:v>
                </c:pt>
                <c:pt idx="140">
                  <c:v>0.10808390679808939</c:v>
                </c:pt>
                <c:pt idx="141">
                  <c:v>0.10878640211490911</c:v>
                </c:pt>
                <c:pt idx="142">
                  <c:v>0.10941336034649154</c:v>
                </c:pt>
                <c:pt idx="143">
                  <c:v>0.10996478143751762</c:v>
                </c:pt>
                <c:pt idx="144">
                  <c:v>0.11044066542486669</c:v>
                </c:pt>
                <c:pt idx="145">
                  <c:v>0.11084101229009909</c:v>
                </c:pt>
                <c:pt idx="146">
                  <c:v>0.1111658220516545</c:v>
                </c:pt>
                <c:pt idx="147">
                  <c:v>0.11141509469109324</c:v>
                </c:pt>
                <c:pt idx="148">
                  <c:v>0.11158883022685499</c:v>
                </c:pt>
                <c:pt idx="149">
                  <c:v>0.11168702864050008</c:v>
                </c:pt>
                <c:pt idx="150">
                  <c:v>0.11170968995046816</c:v>
                </c:pt>
                <c:pt idx="151">
                  <c:v>0.11165681411987989</c:v>
                </c:pt>
                <c:pt idx="152">
                  <c:v>0.11152840118561463</c:v>
                </c:pt>
                <c:pt idx="153">
                  <c:v>0.11132445114767239</c:v>
                </c:pt>
                <c:pt idx="154">
                  <c:v>0.11104496400605315</c:v>
                </c:pt>
                <c:pt idx="155">
                  <c:v>0.11068993974231725</c:v>
                </c:pt>
                <c:pt idx="156">
                  <c:v>0.11025937833802497</c:v>
                </c:pt>
                <c:pt idx="157">
                  <c:v>0.10975327984849541</c:v>
                </c:pt>
                <c:pt idx="158">
                  <c:v>0.10917164421840947</c:v>
                </c:pt>
                <c:pt idx="159">
                  <c:v>0.10851447150308624</c:v>
                </c:pt>
                <c:pt idx="160">
                  <c:v>0.10778176166564635</c:v>
                </c:pt>
                <c:pt idx="161">
                  <c:v>0.10697351470608976</c:v>
                </c:pt>
                <c:pt idx="162">
                  <c:v>0.10608973062441651</c:v>
                </c:pt>
                <c:pt idx="163">
                  <c:v>0.10513040945750596</c:v>
                </c:pt>
                <c:pt idx="164">
                  <c:v>0.10409555115003903</c:v>
                </c:pt>
                <c:pt idx="165">
                  <c:v>0.10298515573889513</c:v>
                </c:pt>
                <c:pt idx="166">
                  <c:v>0.10179922320563456</c:v>
                </c:pt>
                <c:pt idx="167">
                  <c:v>0.10055871757892487</c:v>
                </c:pt>
                <c:pt idx="168">
                  <c:v>9.9323787616712789E-2</c:v>
                </c:pt>
                <c:pt idx="169">
                  <c:v>9.8098177959121041E-2</c:v>
                </c:pt>
                <c:pt idx="170">
                  <c:v>9.6881888532390908E-2</c:v>
                </c:pt>
                <c:pt idx="171">
                  <c:v>9.5674919373401737E-2</c:v>
                </c:pt>
                <c:pt idx="172">
                  <c:v>9.4477270482153555E-2</c:v>
                </c:pt>
                <c:pt idx="173">
                  <c:v>9.3288941840206654E-2</c:v>
                </c:pt>
                <c:pt idx="174">
                  <c:v>9.2109933484440423E-2</c:v>
                </c:pt>
                <c:pt idx="175">
                  <c:v>9.0940245359535793E-2</c:v>
                </c:pt>
                <c:pt idx="176">
                  <c:v>8.9779877520811818E-2</c:v>
                </c:pt>
                <c:pt idx="177">
                  <c:v>8.8628829931389139E-2</c:v>
                </c:pt>
                <c:pt idx="178">
                  <c:v>8.748710259126774E-2</c:v>
                </c:pt>
                <c:pt idx="179">
                  <c:v>8.6354695518887331E-2</c:v>
                </c:pt>
                <c:pt idx="180">
                  <c:v>8.5231608732687578E-2</c:v>
                </c:pt>
                <c:pt idx="181">
                  <c:v>8.4117842158909745E-2</c:v>
                </c:pt>
                <c:pt idx="182">
                  <c:v>8.3013395889752262E-2</c:v>
                </c:pt>
                <c:pt idx="183">
                  <c:v>8.191826986989606E-2</c:v>
                </c:pt>
                <c:pt idx="184">
                  <c:v>8.0832464099341153E-2</c:v>
                </c:pt>
                <c:pt idx="185">
                  <c:v>7.9755978596527222E-2</c:v>
                </c:pt>
                <c:pt idx="186">
                  <c:v>7.8688813361454266E-2</c:v>
                </c:pt>
                <c:pt idx="187">
                  <c:v>7.7630968394122299E-2</c:v>
                </c:pt>
                <c:pt idx="188">
                  <c:v>7.6582443657651919E-2</c:v>
                </c:pt>
                <c:pt idx="189">
                  <c:v>7.5543239207362209E-2</c:v>
                </c:pt>
                <c:pt idx="190">
                  <c:v>7.4513355024813474E-2</c:v>
                </c:pt>
                <c:pt idx="191">
                  <c:v>7.349279109156602E-2</c:v>
                </c:pt>
                <c:pt idx="192">
                  <c:v>7.2481547407619862E-2</c:v>
                </c:pt>
                <c:pt idx="193">
                  <c:v>7.1479624009854373E-2</c:v>
                </c:pt>
                <c:pt idx="194">
                  <c:v>7.0487020861390165E-2</c:v>
                </c:pt>
                <c:pt idx="195">
                  <c:v>6.9503737962227252E-2</c:v>
                </c:pt>
                <c:pt idx="196">
                  <c:v>6.8529775330805315E-2</c:v>
                </c:pt>
                <c:pt idx="197">
                  <c:v>6.7565132967124353E-2</c:v>
                </c:pt>
                <c:pt idx="198">
                  <c:v>6.6609810852744672E-2</c:v>
                </c:pt>
                <c:pt idx="199">
                  <c:v>6.5663809024545661E-2</c:v>
                </c:pt>
                <c:pt idx="200">
                  <c:v>6.4727127445647945E-2</c:v>
                </c:pt>
                <c:pt idx="201">
                  <c:v>6.3799766116051509E-2</c:v>
                </c:pt>
                <c:pt idx="202">
                  <c:v>6.2881725054196064E-2</c:v>
                </c:pt>
                <c:pt idx="203">
                  <c:v>6.1973004241641885E-2</c:v>
                </c:pt>
                <c:pt idx="204">
                  <c:v>6.107360371526839E-2</c:v>
                </c:pt>
                <c:pt idx="205">
                  <c:v>6.0183523438196176E-2</c:v>
                </c:pt>
                <c:pt idx="206">
                  <c:v>5.9302763428864938E-2</c:v>
                </c:pt>
                <c:pt idx="207">
                  <c:v>5.8431323668834988E-2</c:v>
                </c:pt>
                <c:pt idx="208">
                  <c:v>5.7569204158106325E-2</c:v>
                </c:pt>
                <c:pt idx="209">
                  <c:v>5.6716404933558333E-2</c:v>
                </c:pt>
                <c:pt idx="210">
                  <c:v>5.5872925958311628E-2</c:v>
                </c:pt>
                <c:pt idx="211">
                  <c:v>5.5038767250805899E-2</c:v>
                </c:pt>
                <c:pt idx="212">
                  <c:v>5.4213928811041145E-2</c:v>
                </c:pt>
                <c:pt idx="213">
                  <c:v>5.3398410602137993E-2</c:v>
                </c:pt>
                <c:pt idx="214">
                  <c:v>5.259221269785519E-2</c:v>
                </c:pt>
                <c:pt idx="215">
                  <c:v>5.1795335024433994E-2</c:v>
                </c:pt>
                <c:pt idx="216">
                  <c:v>5.1007777618753768E-2</c:v>
                </c:pt>
                <c:pt idx="217">
                  <c:v>5.0229540462374836E-2</c:v>
                </c:pt>
                <c:pt idx="218">
                  <c:v>4.9460623592176567E-2</c:v>
                </c:pt>
                <c:pt idx="219">
                  <c:v>4.8701026971279586E-2</c:v>
                </c:pt>
                <c:pt idx="220">
                  <c:v>4.7950750599683893E-2</c:v>
                </c:pt>
                <c:pt idx="221">
                  <c:v>4.720979451426887E-2</c:v>
                </c:pt>
                <c:pt idx="222">
                  <c:v>4.6478158659715441E-2</c:v>
                </c:pt>
                <c:pt idx="223">
                  <c:v>4.5755843072902987E-2</c:v>
                </c:pt>
                <c:pt idx="224">
                  <c:v>4.5042847772271202E-2</c:v>
                </c:pt>
                <c:pt idx="225">
                  <c:v>4.4339172720940706E-2</c:v>
                </c:pt>
                <c:pt idx="226">
                  <c:v>4.3644817918911498E-2</c:v>
                </c:pt>
                <c:pt idx="227">
                  <c:v>4.2959783384623265E-2</c:v>
                </c:pt>
                <c:pt idx="228">
                  <c:v>4.2284069099636321E-2</c:v>
                </c:pt>
                <c:pt idx="229">
                  <c:v>4.1617675100830046E-2</c:v>
                </c:pt>
                <c:pt idx="230">
                  <c:v>4.0960601351325059E-2</c:v>
                </c:pt>
                <c:pt idx="231">
                  <c:v>4.0312847851121353E-2</c:v>
                </c:pt>
                <c:pt idx="232">
                  <c:v>3.9674414637098317E-2</c:v>
                </c:pt>
                <c:pt idx="233">
                  <c:v>3.9045301672376569E-2</c:v>
                </c:pt>
                <c:pt idx="234">
                  <c:v>3.8425508956956109E-2</c:v>
                </c:pt>
                <c:pt idx="235">
                  <c:v>3.7815036527716318E-2</c:v>
                </c:pt>
                <c:pt idx="236">
                  <c:v>3.7213884329338122E-2</c:v>
                </c:pt>
                <c:pt idx="237">
                  <c:v>3.6622052417140595E-2</c:v>
                </c:pt>
                <c:pt idx="238">
                  <c:v>3.6039540754244356E-2</c:v>
                </c:pt>
                <c:pt idx="239">
                  <c:v>3.5466349359089093E-2</c:v>
                </c:pt>
                <c:pt idx="240">
                  <c:v>3.4902478213235118E-2</c:v>
                </c:pt>
                <c:pt idx="241">
                  <c:v>3.4347927335122118E-2</c:v>
                </c:pt>
                <c:pt idx="242">
                  <c:v>3.3802696724750093E-2</c:v>
                </c:pt>
                <c:pt idx="243">
                  <c:v>3.3266786363679364E-2</c:v>
                </c:pt>
                <c:pt idx="244">
                  <c:v>3.2740196270349603E-2</c:v>
                </c:pt>
                <c:pt idx="245">
                  <c:v>3.2222926426321137E-2</c:v>
                </c:pt>
                <c:pt idx="246">
                  <c:v>3.1714976868473334E-2</c:v>
                </c:pt>
                <c:pt idx="247">
                  <c:v>3.1216347559926822E-2</c:v>
                </c:pt>
                <c:pt idx="248">
                  <c:v>3.0727038500681595E-2</c:v>
                </c:pt>
                <c:pt idx="249">
                  <c:v>3.0247049727617034E-2</c:v>
                </c:pt>
                <c:pt idx="250">
                  <c:v>2.9776381185414071E-2</c:v>
                </c:pt>
                <c:pt idx="251">
                  <c:v>2.9315032929391777E-2</c:v>
                </c:pt>
                <c:pt idx="252">
                  <c:v>2.8863004922670771E-2</c:v>
                </c:pt>
                <c:pt idx="253">
                  <c:v>2.842029718369074E-2</c:v>
                </c:pt>
                <c:pt idx="254">
                  <c:v>2.7986909694011998E-2</c:v>
                </c:pt>
                <c:pt idx="255">
                  <c:v>2.7562842472074231E-2</c:v>
                </c:pt>
                <c:pt idx="256">
                  <c:v>2.7148095517877443E-2</c:v>
                </c:pt>
                <c:pt idx="257">
                  <c:v>2.6742668812981943E-2</c:v>
                </c:pt>
                <c:pt idx="258">
                  <c:v>2.6346562394267109E-2</c:v>
                </c:pt>
                <c:pt idx="259">
                  <c:v>2.5959776187974182E-2</c:v>
                </c:pt>
                <c:pt idx="260">
                  <c:v>2.5582310286301615E-2</c:v>
                </c:pt>
                <c:pt idx="261">
                  <c:v>2.5214164633930333E-2</c:v>
                </c:pt>
                <c:pt idx="262">
                  <c:v>2.4855339230860338E-2</c:v>
                </c:pt>
                <c:pt idx="263">
                  <c:v>2.4505834095531323E-2</c:v>
                </c:pt>
                <c:pt idx="264">
                  <c:v>2.4165649227943283E-2</c:v>
                </c:pt>
                <c:pt idx="265">
                  <c:v>2.3834784628096222E-2</c:v>
                </c:pt>
                <c:pt idx="266">
                  <c:v>2.3513240277550449E-2</c:v>
                </c:pt>
                <c:pt idx="267">
                  <c:v>2.3201016194745652E-2</c:v>
                </c:pt>
                <c:pt idx="268">
                  <c:v>2.2898112361242142E-2</c:v>
                </c:pt>
                <c:pt idx="269">
                  <c:v>2.2604528795479608E-2</c:v>
                </c:pt>
                <c:pt idx="270">
                  <c:v>2.2320265497458053E-2</c:v>
                </c:pt>
                <c:pt idx="271">
                  <c:v>2.2045322448737786E-2</c:v>
                </c:pt>
                <c:pt idx="272">
                  <c:v>2.1779699667758494E-2</c:v>
                </c:pt>
                <c:pt idx="273">
                  <c:v>2.1523397154520185E-2</c:v>
                </c:pt>
                <c:pt idx="274">
                  <c:v>2.1276414890583156E-2</c:v>
                </c:pt>
                <c:pt idx="275">
                  <c:v>2.103875289438711E-2</c:v>
                </c:pt>
                <c:pt idx="276">
                  <c:v>2.0810411147492349E-2</c:v>
                </c:pt>
                <c:pt idx="277">
                  <c:v>2.0591389686778254E-2</c:v>
                </c:pt>
                <c:pt idx="278">
                  <c:v>2.038168845692576E-2</c:v>
                </c:pt>
                <c:pt idx="279">
                  <c:v>2.0181307513253931E-2</c:v>
                </c:pt>
                <c:pt idx="280">
                  <c:v>1.9990246800443697E-2</c:v>
                </c:pt>
                <c:pt idx="281">
                  <c:v>1.9808506373814136E-2</c:v>
                </c:pt>
                <c:pt idx="282">
                  <c:v>1.9636086214925547E-2</c:v>
                </c:pt>
                <c:pt idx="283">
                  <c:v>1.9472986305338249E-2</c:v>
                </c:pt>
                <c:pt idx="284">
                  <c:v>1.9319206645052236E-2</c:v>
                </c:pt>
                <c:pt idx="285">
                  <c:v>1.9174747270946892E-2</c:v>
                </c:pt>
                <c:pt idx="286">
                  <c:v>1.9039608146142837E-2</c:v>
                </c:pt>
                <c:pt idx="287">
                  <c:v>1.8913789270640066E-2</c:v>
                </c:pt>
                <c:pt idx="288">
                  <c:v>1.8797290681317962E-2</c:v>
                </c:pt>
                <c:pt idx="289">
                  <c:v>1.8690112322857458E-2</c:v>
                </c:pt>
                <c:pt idx="290">
                  <c:v>1.8592254232137929E-2</c:v>
                </c:pt>
                <c:pt idx="291">
                  <c:v>1.8503716427599071E-2</c:v>
                </c:pt>
                <c:pt idx="292">
                  <c:v>1.8424498853921806E-2</c:v>
                </c:pt>
                <c:pt idx="293">
                  <c:v>1.835460156642521E-2</c:v>
                </c:pt>
                <c:pt idx="294">
                  <c:v>1.8294024528229903E-2</c:v>
                </c:pt>
                <c:pt idx="295">
                  <c:v>1.8242767757775571E-2</c:v>
                </c:pt>
                <c:pt idx="296">
                  <c:v>1.8200831236622528E-2</c:v>
                </c:pt>
                <c:pt idx="297">
                  <c:v>1.8168214983210463E-2</c:v>
                </c:pt>
                <c:pt idx="298">
                  <c:v>1.8144918997539373E-2</c:v>
                </c:pt>
                <c:pt idx="299">
                  <c:v>1.8130943261169572E-2</c:v>
                </c:pt>
                <c:pt idx="300">
                  <c:v>1.8126287774101059E-2</c:v>
                </c:pt>
              </c:numCache>
            </c:numRef>
          </c:yVal>
          <c:smooth val="1"/>
          <c:extLst>
            <c:ext xmlns:c16="http://schemas.microsoft.com/office/drawing/2014/chart" uri="{C3380CC4-5D6E-409C-BE32-E72D297353CC}">
              <c16:uniqueId val="{00000000-152F-4C39-8D1C-45A077131B75}"/>
            </c:ext>
          </c:extLst>
        </c:ser>
        <c:ser>
          <c:idx val="0"/>
          <c:order val="1"/>
          <c:tx>
            <c:v>2nd derivative</c:v>
          </c:tx>
          <c:spPr>
            <a:ln w="25400">
              <a:solidFill>
                <a:srgbClr val="09007E"/>
              </a:solidFill>
              <a:prstDash val="solid"/>
            </a:ln>
          </c:spPr>
          <c:marker>
            <c:symbol val="none"/>
          </c:marker>
          <c:xVal>
            <c:numRef>
              <c:f>'Fosforzuurbepaling (2)'!$T$6:$T$306</c:f>
              <c:numCache>
                <c:formatCode>0.0000</c:formatCode>
                <c:ptCount val="301"/>
                <c:pt idx="0">
                  <c:v>2.4</c:v>
                </c:pt>
                <c:pt idx="1">
                  <c:v>2.4963333333333333</c:v>
                </c:pt>
                <c:pt idx="2">
                  <c:v>2.5926666666666667</c:v>
                </c:pt>
                <c:pt idx="3">
                  <c:v>2.6890000000000001</c:v>
                </c:pt>
                <c:pt idx="4">
                  <c:v>2.7853333333333334</c:v>
                </c:pt>
                <c:pt idx="5">
                  <c:v>2.8816666666666668</c:v>
                </c:pt>
                <c:pt idx="6">
                  <c:v>2.9779999999999998</c:v>
                </c:pt>
                <c:pt idx="7">
                  <c:v>3.0743333333333331</c:v>
                </c:pt>
                <c:pt idx="8">
                  <c:v>3.1706666666666665</c:v>
                </c:pt>
                <c:pt idx="9">
                  <c:v>3.2669999999999999</c:v>
                </c:pt>
                <c:pt idx="10">
                  <c:v>3.3633333333333333</c:v>
                </c:pt>
                <c:pt idx="11">
                  <c:v>3.4596666666666667</c:v>
                </c:pt>
                <c:pt idx="12">
                  <c:v>3.556</c:v>
                </c:pt>
                <c:pt idx="13">
                  <c:v>3.6523333333333334</c:v>
                </c:pt>
                <c:pt idx="14">
                  <c:v>3.7486666666666668</c:v>
                </c:pt>
                <c:pt idx="15">
                  <c:v>3.8449999999999998</c:v>
                </c:pt>
                <c:pt idx="16">
                  <c:v>3.9413333333333336</c:v>
                </c:pt>
                <c:pt idx="17">
                  <c:v>4.0376666666666665</c:v>
                </c:pt>
                <c:pt idx="18">
                  <c:v>4.1340000000000003</c:v>
                </c:pt>
                <c:pt idx="19">
                  <c:v>4.2303333333333333</c:v>
                </c:pt>
                <c:pt idx="20">
                  <c:v>4.3266666666666662</c:v>
                </c:pt>
                <c:pt idx="21">
                  <c:v>4.423</c:v>
                </c:pt>
                <c:pt idx="22">
                  <c:v>4.5193333333333339</c:v>
                </c:pt>
                <c:pt idx="23">
                  <c:v>4.6156666666666668</c:v>
                </c:pt>
                <c:pt idx="24">
                  <c:v>4.7119999999999997</c:v>
                </c:pt>
                <c:pt idx="25">
                  <c:v>4.8083333333333336</c:v>
                </c:pt>
                <c:pt idx="26">
                  <c:v>4.9046666666666674</c:v>
                </c:pt>
                <c:pt idx="27">
                  <c:v>5.0009999999999994</c:v>
                </c:pt>
                <c:pt idx="28">
                  <c:v>5.0973333333333333</c:v>
                </c:pt>
                <c:pt idx="29">
                  <c:v>5.1936666666666671</c:v>
                </c:pt>
                <c:pt idx="30">
                  <c:v>5.29</c:v>
                </c:pt>
                <c:pt idx="31">
                  <c:v>5.386333333333333</c:v>
                </c:pt>
                <c:pt idx="32">
                  <c:v>5.4826666666666668</c:v>
                </c:pt>
                <c:pt idx="33">
                  <c:v>5.5790000000000006</c:v>
                </c:pt>
                <c:pt idx="34">
                  <c:v>5.6753333333333336</c:v>
                </c:pt>
                <c:pt idx="35">
                  <c:v>5.7716666666666665</c:v>
                </c:pt>
                <c:pt idx="36">
                  <c:v>5.8680000000000003</c:v>
                </c:pt>
                <c:pt idx="37">
                  <c:v>5.9643333333333342</c:v>
                </c:pt>
                <c:pt idx="38">
                  <c:v>6.0606666666666662</c:v>
                </c:pt>
                <c:pt idx="39">
                  <c:v>6.157</c:v>
                </c:pt>
                <c:pt idx="40">
                  <c:v>6.2533333333333339</c:v>
                </c:pt>
                <c:pt idx="41">
                  <c:v>6.3496666666666668</c:v>
                </c:pt>
                <c:pt idx="42">
                  <c:v>6.4459999999999997</c:v>
                </c:pt>
                <c:pt idx="43">
                  <c:v>6.5423333333333336</c:v>
                </c:pt>
                <c:pt idx="44">
                  <c:v>6.6386666666666674</c:v>
                </c:pt>
                <c:pt idx="45">
                  <c:v>6.7349999999999994</c:v>
                </c:pt>
                <c:pt idx="46">
                  <c:v>6.8313333333333333</c:v>
                </c:pt>
                <c:pt idx="47">
                  <c:v>6.9276666666666671</c:v>
                </c:pt>
                <c:pt idx="48">
                  <c:v>7.0240000000000009</c:v>
                </c:pt>
                <c:pt idx="49">
                  <c:v>7.120333333333333</c:v>
                </c:pt>
                <c:pt idx="50">
                  <c:v>7.2166666666666668</c:v>
                </c:pt>
                <c:pt idx="51">
                  <c:v>7.3130000000000006</c:v>
                </c:pt>
                <c:pt idx="52">
                  <c:v>7.4093333333333344</c:v>
                </c:pt>
                <c:pt idx="53">
                  <c:v>7.5056666666666665</c:v>
                </c:pt>
                <c:pt idx="54">
                  <c:v>7.6020000000000003</c:v>
                </c:pt>
                <c:pt idx="55">
                  <c:v>7.6983333333333341</c:v>
                </c:pt>
                <c:pt idx="56">
                  <c:v>7.7946666666666662</c:v>
                </c:pt>
                <c:pt idx="57">
                  <c:v>7.891</c:v>
                </c:pt>
                <c:pt idx="58">
                  <c:v>7.9873333333333338</c:v>
                </c:pt>
                <c:pt idx="59">
                  <c:v>8.0836666666666677</c:v>
                </c:pt>
                <c:pt idx="60">
                  <c:v>8.18</c:v>
                </c:pt>
                <c:pt idx="61">
                  <c:v>8.2763333333333335</c:v>
                </c:pt>
                <c:pt idx="62">
                  <c:v>8.3726666666666674</c:v>
                </c:pt>
                <c:pt idx="63">
                  <c:v>8.4690000000000012</c:v>
                </c:pt>
                <c:pt idx="64">
                  <c:v>8.5653333333333332</c:v>
                </c:pt>
                <c:pt idx="65">
                  <c:v>8.6616666666666671</c:v>
                </c:pt>
                <c:pt idx="66">
                  <c:v>8.7580000000000009</c:v>
                </c:pt>
                <c:pt idx="67">
                  <c:v>8.8543333333333329</c:v>
                </c:pt>
                <c:pt idx="68">
                  <c:v>8.9506666666666668</c:v>
                </c:pt>
                <c:pt idx="69">
                  <c:v>9.0470000000000006</c:v>
                </c:pt>
                <c:pt idx="70">
                  <c:v>9.1433333333333344</c:v>
                </c:pt>
                <c:pt idx="71">
                  <c:v>9.2396666666666665</c:v>
                </c:pt>
                <c:pt idx="72">
                  <c:v>9.3360000000000003</c:v>
                </c:pt>
                <c:pt idx="73">
                  <c:v>9.4323333333333341</c:v>
                </c:pt>
                <c:pt idx="74">
                  <c:v>9.528666666666668</c:v>
                </c:pt>
                <c:pt idx="75">
                  <c:v>9.625</c:v>
                </c:pt>
                <c:pt idx="76">
                  <c:v>9.7213333333333338</c:v>
                </c:pt>
                <c:pt idx="77">
                  <c:v>9.8176666666666677</c:v>
                </c:pt>
                <c:pt idx="78">
                  <c:v>9.9139999999999997</c:v>
                </c:pt>
                <c:pt idx="79">
                  <c:v>10.010333333333334</c:v>
                </c:pt>
                <c:pt idx="80">
                  <c:v>10.106666666666667</c:v>
                </c:pt>
                <c:pt idx="81">
                  <c:v>10.203000000000001</c:v>
                </c:pt>
                <c:pt idx="82">
                  <c:v>10.299333333333333</c:v>
                </c:pt>
                <c:pt idx="83">
                  <c:v>10.395666666666667</c:v>
                </c:pt>
                <c:pt idx="84">
                  <c:v>10.492000000000001</c:v>
                </c:pt>
                <c:pt idx="85">
                  <c:v>10.588333333333335</c:v>
                </c:pt>
                <c:pt idx="86">
                  <c:v>10.684666666666667</c:v>
                </c:pt>
                <c:pt idx="87">
                  <c:v>10.781000000000001</c:v>
                </c:pt>
                <c:pt idx="88">
                  <c:v>10.877333333333334</c:v>
                </c:pt>
                <c:pt idx="89">
                  <c:v>10.973666666666668</c:v>
                </c:pt>
                <c:pt idx="90">
                  <c:v>11.07</c:v>
                </c:pt>
                <c:pt idx="91">
                  <c:v>11.166333333333334</c:v>
                </c:pt>
                <c:pt idx="92">
                  <c:v>11.262666666666668</c:v>
                </c:pt>
                <c:pt idx="93">
                  <c:v>11.359000000000002</c:v>
                </c:pt>
                <c:pt idx="94">
                  <c:v>11.455333333333334</c:v>
                </c:pt>
                <c:pt idx="95">
                  <c:v>11.551666666666668</c:v>
                </c:pt>
                <c:pt idx="96">
                  <c:v>11.648000000000001</c:v>
                </c:pt>
                <c:pt idx="97">
                  <c:v>11.744333333333334</c:v>
                </c:pt>
                <c:pt idx="98">
                  <c:v>11.840666666666667</c:v>
                </c:pt>
                <c:pt idx="99">
                  <c:v>11.937000000000001</c:v>
                </c:pt>
                <c:pt idx="100">
                  <c:v>12.033333333333335</c:v>
                </c:pt>
                <c:pt idx="101">
                  <c:v>12.129666666666667</c:v>
                </c:pt>
                <c:pt idx="102">
                  <c:v>12.226000000000001</c:v>
                </c:pt>
                <c:pt idx="103">
                  <c:v>12.322333333333335</c:v>
                </c:pt>
                <c:pt idx="104">
                  <c:v>12.418666666666669</c:v>
                </c:pt>
                <c:pt idx="105">
                  <c:v>12.515000000000001</c:v>
                </c:pt>
                <c:pt idx="106">
                  <c:v>12.611333333333334</c:v>
                </c:pt>
                <c:pt idx="107">
                  <c:v>12.707666666666668</c:v>
                </c:pt>
                <c:pt idx="108">
                  <c:v>12.804</c:v>
                </c:pt>
                <c:pt idx="109">
                  <c:v>12.900333333333334</c:v>
                </c:pt>
                <c:pt idx="110">
                  <c:v>12.996666666666668</c:v>
                </c:pt>
                <c:pt idx="111">
                  <c:v>13.093000000000002</c:v>
                </c:pt>
                <c:pt idx="112">
                  <c:v>13.189333333333334</c:v>
                </c:pt>
                <c:pt idx="113">
                  <c:v>13.285666666666668</c:v>
                </c:pt>
                <c:pt idx="114">
                  <c:v>13.382000000000001</c:v>
                </c:pt>
                <c:pt idx="115">
                  <c:v>13.478333333333335</c:v>
                </c:pt>
                <c:pt idx="116">
                  <c:v>13.574666666666667</c:v>
                </c:pt>
                <c:pt idx="117">
                  <c:v>13.671000000000001</c:v>
                </c:pt>
                <c:pt idx="118">
                  <c:v>13.767333333333335</c:v>
                </c:pt>
                <c:pt idx="119">
                  <c:v>13.863666666666667</c:v>
                </c:pt>
                <c:pt idx="120">
                  <c:v>13.96</c:v>
                </c:pt>
                <c:pt idx="121">
                  <c:v>14.056333333333335</c:v>
                </c:pt>
                <c:pt idx="122">
                  <c:v>14.152666666666669</c:v>
                </c:pt>
                <c:pt idx="123">
                  <c:v>14.249000000000001</c:v>
                </c:pt>
                <c:pt idx="124">
                  <c:v>14.345333333333334</c:v>
                </c:pt>
                <c:pt idx="125">
                  <c:v>14.441666666666668</c:v>
                </c:pt>
                <c:pt idx="126">
                  <c:v>14.538000000000002</c:v>
                </c:pt>
                <c:pt idx="127">
                  <c:v>14.634333333333334</c:v>
                </c:pt>
                <c:pt idx="128">
                  <c:v>14.730666666666668</c:v>
                </c:pt>
                <c:pt idx="129">
                  <c:v>14.827000000000002</c:v>
                </c:pt>
                <c:pt idx="130">
                  <c:v>14.923333333333334</c:v>
                </c:pt>
                <c:pt idx="131">
                  <c:v>15.019666666666668</c:v>
                </c:pt>
                <c:pt idx="132">
                  <c:v>15.116000000000001</c:v>
                </c:pt>
                <c:pt idx="133">
                  <c:v>15.212333333333335</c:v>
                </c:pt>
                <c:pt idx="134">
                  <c:v>15.308666666666667</c:v>
                </c:pt>
                <c:pt idx="135">
                  <c:v>15.405000000000001</c:v>
                </c:pt>
                <c:pt idx="136">
                  <c:v>15.501333333333335</c:v>
                </c:pt>
                <c:pt idx="137">
                  <c:v>15.597666666666669</c:v>
                </c:pt>
                <c:pt idx="138">
                  <c:v>15.694000000000001</c:v>
                </c:pt>
                <c:pt idx="139">
                  <c:v>15.790333333333335</c:v>
                </c:pt>
                <c:pt idx="140">
                  <c:v>15.886666666666668</c:v>
                </c:pt>
                <c:pt idx="141">
                  <c:v>15.983000000000001</c:v>
                </c:pt>
                <c:pt idx="142">
                  <c:v>16.079333333333334</c:v>
                </c:pt>
                <c:pt idx="143">
                  <c:v>16.175666666666668</c:v>
                </c:pt>
                <c:pt idx="144">
                  <c:v>16.272000000000002</c:v>
                </c:pt>
                <c:pt idx="145">
                  <c:v>16.368333333333332</c:v>
                </c:pt>
                <c:pt idx="146">
                  <c:v>16.464666666666666</c:v>
                </c:pt>
                <c:pt idx="147">
                  <c:v>16.561</c:v>
                </c:pt>
                <c:pt idx="148">
                  <c:v>16.657333333333334</c:v>
                </c:pt>
                <c:pt idx="149">
                  <c:v>16.753666666666668</c:v>
                </c:pt>
                <c:pt idx="150">
                  <c:v>16.850000000000001</c:v>
                </c:pt>
                <c:pt idx="151">
                  <c:v>16.946333333333335</c:v>
                </c:pt>
                <c:pt idx="152">
                  <c:v>17.042666666666666</c:v>
                </c:pt>
                <c:pt idx="153">
                  <c:v>17.138999999999999</c:v>
                </c:pt>
                <c:pt idx="154">
                  <c:v>17.235333333333333</c:v>
                </c:pt>
                <c:pt idx="155">
                  <c:v>17.331666666666667</c:v>
                </c:pt>
                <c:pt idx="156">
                  <c:v>17.428000000000001</c:v>
                </c:pt>
                <c:pt idx="157">
                  <c:v>17.524333333333335</c:v>
                </c:pt>
                <c:pt idx="158">
                  <c:v>17.620666666666668</c:v>
                </c:pt>
                <c:pt idx="159">
                  <c:v>17.717000000000002</c:v>
                </c:pt>
                <c:pt idx="160">
                  <c:v>17.813333333333333</c:v>
                </c:pt>
                <c:pt idx="161">
                  <c:v>17.909666666666666</c:v>
                </c:pt>
                <c:pt idx="162">
                  <c:v>18.006</c:v>
                </c:pt>
                <c:pt idx="163">
                  <c:v>18.102333333333334</c:v>
                </c:pt>
                <c:pt idx="164">
                  <c:v>18.198666666666668</c:v>
                </c:pt>
                <c:pt idx="165">
                  <c:v>18.295000000000002</c:v>
                </c:pt>
                <c:pt idx="166">
                  <c:v>18.391333333333336</c:v>
                </c:pt>
                <c:pt idx="167">
                  <c:v>18.487666666666666</c:v>
                </c:pt>
                <c:pt idx="168">
                  <c:v>18.584</c:v>
                </c:pt>
                <c:pt idx="169">
                  <c:v>18.680333333333333</c:v>
                </c:pt>
                <c:pt idx="170">
                  <c:v>18.776666666666667</c:v>
                </c:pt>
                <c:pt idx="171">
                  <c:v>18.873000000000001</c:v>
                </c:pt>
                <c:pt idx="172">
                  <c:v>18.969333333333331</c:v>
                </c:pt>
                <c:pt idx="173">
                  <c:v>19.065666666666665</c:v>
                </c:pt>
                <c:pt idx="174">
                  <c:v>19.161999999999999</c:v>
                </c:pt>
                <c:pt idx="175">
                  <c:v>19.258333333333333</c:v>
                </c:pt>
                <c:pt idx="176">
                  <c:v>19.354666666666667</c:v>
                </c:pt>
                <c:pt idx="177">
                  <c:v>19.451000000000001</c:v>
                </c:pt>
                <c:pt idx="178">
                  <c:v>19.547333333333334</c:v>
                </c:pt>
                <c:pt idx="179">
                  <c:v>19.643666666666668</c:v>
                </c:pt>
                <c:pt idx="180">
                  <c:v>19.739999999999998</c:v>
                </c:pt>
                <c:pt idx="181">
                  <c:v>19.836333333333332</c:v>
                </c:pt>
                <c:pt idx="182">
                  <c:v>19.932666666666666</c:v>
                </c:pt>
                <c:pt idx="183">
                  <c:v>20.029</c:v>
                </c:pt>
                <c:pt idx="184">
                  <c:v>20.125333333333334</c:v>
                </c:pt>
                <c:pt idx="185">
                  <c:v>20.221666666666668</c:v>
                </c:pt>
                <c:pt idx="186">
                  <c:v>20.318000000000001</c:v>
                </c:pt>
                <c:pt idx="187">
                  <c:v>20.414333333333332</c:v>
                </c:pt>
                <c:pt idx="188">
                  <c:v>20.510666666666665</c:v>
                </c:pt>
                <c:pt idx="189">
                  <c:v>20.606999999999999</c:v>
                </c:pt>
                <c:pt idx="190">
                  <c:v>20.703333333333333</c:v>
                </c:pt>
                <c:pt idx="191">
                  <c:v>20.799666666666667</c:v>
                </c:pt>
                <c:pt idx="192">
                  <c:v>20.896000000000001</c:v>
                </c:pt>
                <c:pt idx="193">
                  <c:v>20.992333333333335</c:v>
                </c:pt>
                <c:pt idx="194">
                  <c:v>21.088666666666665</c:v>
                </c:pt>
                <c:pt idx="195">
                  <c:v>21.184999999999999</c:v>
                </c:pt>
                <c:pt idx="196">
                  <c:v>21.281333333333333</c:v>
                </c:pt>
                <c:pt idx="197">
                  <c:v>21.377666666666666</c:v>
                </c:pt>
                <c:pt idx="198">
                  <c:v>21.474</c:v>
                </c:pt>
                <c:pt idx="199">
                  <c:v>21.570333333333334</c:v>
                </c:pt>
                <c:pt idx="200">
                  <c:v>21.666666666666668</c:v>
                </c:pt>
                <c:pt idx="201">
                  <c:v>21.763000000000002</c:v>
                </c:pt>
                <c:pt idx="202">
                  <c:v>21.859333333333332</c:v>
                </c:pt>
                <c:pt idx="203">
                  <c:v>21.955666666666666</c:v>
                </c:pt>
                <c:pt idx="204">
                  <c:v>22.052</c:v>
                </c:pt>
                <c:pt idx="205">
                  <c:v>22.148333333333333</c:v>
                </c:pt>
                <c:pt idx="206">
                  <c:v>22.244666666666667</c:v>
                </c:pt>
                <c:pt idx="207">
                  <c:v>22.341000000000001</c:v>
                </c:pt>
                <c:pt idx="208">
                  <c:v>22.437333333333335</c:v>
                </c:pt>
                <c:pt idx="209">
                  <c:v>22.533666666666665</c:v>
                </c:pt>
                <c:pt idx="210">
                  <c:v>22.63</c:v>
                </c:pt>
                <c:pt idx="211">
                  <c:v>22.726333333333333</c:v>
                </c:pt>
                <c:pt idx="212">
                  <c:v>22.822666666666667</c:v>
                </c:pt>
                <c:pt idx="213">
                  <c:v>22.919</c:v>
                </c:pt>
                <c:pt idx="214">
                  <c:v>23.015333333333334</c:v>
                </c:pt>
                <c:pt idx="215">
                  <c:v>23.111666666666668</c:v>
                </c:pt>
                <c:pt idx="216">
                  <c:v>23.207999999999998</c:v>
                </c:pt>
                <c:pt idx="217">
                  <c:v>23.304333333333332</c:v>
                </c:pt>
                <c:pt idx="218">
                  <c:v>23.400666666666666</c:v>
                </c:pt>
                <c:pt idx="219">
                  <c:v>23.497</c:v>
                </c:pt>
                <c:pt idx="220">
                  <c:v>23.593333333333334</c:v>
                </c:pt>
                <c:pt idx="221">
                  <c:v>23.689666666666668</c:v>
                </c:pt>
                <c:pt idx="222">
                  <c:v>23.786000000000001</c:v>
                </c:pt>
                <c:pt idx="223">
                  <c:v>23.882333333333335</c:v>
                </c:pt>
                <c:pt idx="224">
                  <c:v>23.978666666666665</c:v>
                </c:pt>
                <c:pt idx="225">
                  <c:v>24.074999999999999</c:v>
                </c:pt>
                <c:pt idx="226">
                  <c:v>24.171333333333333</c:v>
                </c:pt>
                <c:pt idx="227">
                  <c:v>24.267666666666667</c:v>
                </c:pt>
                <c:pt idx="228">
                  <c:v>24.364000000000001</c:v>
                </c:pt>
                <c:pt idx="229">
                  <c:v>24.460333333333335</c:v>
                </c:pt>
                <c:pt idx="230">
                  <c:v>24.556666666666668</c:v>
                </c:pt>
                <c:pt idx="231">
                  <c:v>24.652999999999999</c:v>
                </c:pt>
                <c:pt idx="232">
                  <c:v>24.749333333333333</c:v>
                </c:pt>
                <c:pt idx="233">
                  <c:v>24.845666666666666</c:v>
                </c:pt>
                <c:pt idx="234">
                  <c:v>24.942</c:v>
                </c:pt>
                <c:pt idx="235">
                  <c:v>25.038333333333334</c:v>
                </c:pt>
                <c:pt idx="236">
                  <c:v>25.134666666666668</c:v>
                </c:pt>
                <c:pt idx="237">
                  <c:v>25.231000000000002</c:v>
                </c:pt>
                <c:pt idx="238">
                  <c:v>25.327333333333332</c:v>
                </c:pt>
                <c:pt idx="239">
                  <c:v>25.423666666666666</c:v>
                </c:pt>
                <c:pt idx="240">
                  <c:v>25.52</c:v>
                </c:pt>
                <c:pt idx="241">
                  <c:v>25.616333333333333</c:v>
                </c:pt>
                <c:pt idx="242">
                  <c:v>25.712666666666667</c:v>
                </c:pt>
                <c:pt idx="243">
                  <c:v>25.809000000000001</c:v>
                </c:pt>
                <c:pt idx="244">
                  <c:v>25.905333333333335</c:v>
                </c:pt>
                <c:pt idx="245">
                  <c:v>26.001666666666669</c:v>
                </c:pt>
                <c:pt idx="246">
                  <c:v>26.097999999999999</c:v>
                </c:pt>
                <c:pt idx="247">
                  <c:v>26.194333333333333</c:v>
                </c:pt>
                <c:pt idx="248">
                  <c:v>26.290666666666667</c:v>
                </c:pt>
                <c:pt idx="249">
                  <c:v>26.387</c:v>
                </c:pt>
                <c:pt idx="250">
                  <c:v>26.483333333333334</c:v>
                </c:pt>
                <c:pt idx="251">
                  <c:v>26.579666666666668</c:v>
                </c:pt>
                <c:pt idx="252">
                  <c:v>26.676000000000002</c:v>
                </c:pt>
                <c:pt idx="253">
                  <c:v>26.772333333333332</c:v>
                </c:pt>
                <c:pt idx="254">
                  <c:v>26.868666666666666</c:v>
                </c:pt>
                <c:pt idx="255">
                  <c:v>26.965</c:v>
                </c:pt>
                <c:pt idx="256">
                  <c:v>27.061333333333334</c:v>
                </c:pt>
                <c:pt idx="257">
                  <c:v>27.157666666666668</c:v>
                </c:pt>
                <c:pt idx="258">
                  <c:v>27.254000000000001</c:v>
                </c:pt>
                <c:pt idx="259">
                  <c:v>27.350333333333335</c:v>
                </c:pt>
                <c:pt idx="260">
                  <c:v>27.446666666666665</c:v>
                </c:pt>
                <c:pt idx="261">
                  <c:v>27.542999999999999</c:v>
                </c:pt>
                <c:pt idx="262">
                  <c:v>27.639333333333333</c:v>
                </c:pt>
                <c:pt idx="263">
                  <c:v>27.735666666666667</c:v>
                </c:pt>
                <c:pt idx="264">
                  <c:v>27.832000000000001</c:v>
                </c:pt>
                <c:pt idx="265">
                  <c:v>27.928333333333335</c:v>
                </c:pt>
                <c:pt idx="266">
                  <c:v>28.024666666666668</c:v>
                </c:pt>
                <c:pt idx="267">
                  <c:v>28.120999999999999</c:v>
                </c:pt>
                <c:pt idx="268">
                  <c:v>28.217333333333332</c:v>
                </c:pt>
                <c:pt idx="269">
                  <c:v>28.313666666666666</c:v>
                </c:pt>
                <c:pt idx="270">
                  <c:v>28.41</c:v>
                </c:pt>
                <c:pt idx="271">
                  <c:v>28.506333333333334</c:v>
                </c:pt>
                <c:pt idx="272">
                  <c:v>28.602666666666668</c:v>
                </c:pt>
                <c:pt idx="273">
                  <c:v>28.699000000000002</c:v>
                </c:pt>
                <c:pt idx="274">
                  <c:v>28.795333333333335</c:v>
                </c:pt>
                <c:pt idx="275">
                  <c:v>28.891666666666666</c:v>
                </c:pt>
                <c:pt idx="276">
                  <c:v>28.988</c:v>
                </c:pt>
                <c:pt idx="277">
                  <c:v>29.084333333333333</c:v>
                </c:pt>
                <c:pt idx="278">
                  <c:v>29.180666666666667</c:v>
                </c:pt>
                <c:pt idx="279">
                  <c:v>29.277000000000001</c:v>
                </c:pt>
                <c:pt idx="280">
                  <c:v>29.373333333333335</c:v>
                </c:pt>
                <c:pt idx="281">
                  <c:v>29.469666666666669</c:v>
                </c:pt>
                <c:pt idx="282">
                  <c:v>29.565999999999999</c:v>
                </c:pt>
                <c:pt idx="283">
                  <c:v>29.662333333333333</c:v>
                </c:pt>
                <c:pt idx="284">
                  <c:v>29.758666666666667</c:v>
                </c:pt>
                <c:pt idx="285">
                  <c:v>29.855</c:v>
                </c:pt>
                <c:pt idx="286">
                  <c:v>29.951333333333334</c:v>
                </c:pt>
                <c:pt idx="287">
                  <c:v>30.047666666666668</c:v>
                </c:pt>
                <c:pt idx="288">
                  <c:v>30.144000000000002</c:v>
                </c:pt>
                <c:pt idx="289">
                  <c:v>30.240333333333332</c:v>
                </c:pt>
                <c:pt idx="290">
                  <c:v>30.336666666666666</c:v>
                </c:pt>
                <c:pt idx="291">
                  <c:v>30.433</c:v>
                </c:pt>
                <c:pt idx="292">
                  <c:v>30.529333333333334</c:v>
                </c:pt>
                <c:pt idx="293">
                  <c:v>30.625666666666667</c:v>
                </c:pt>
                <c:pt idx="294">
                  <c:v>30.722000000000001</c:v>
                </c:pt>
                <c:pt idx="295">
                  <c:v>30.818333333333335</c:v>
                </c:pt>
                <c:pt idx="296">
                  <c:v>30.914666666666669</c:v>
                </c:pt>
                <c:pt idx="297">
                  <c:v>31.010999999999999</c:v>
                </c:pt>
                <c:pt idx="298">
                  <c:v>31.107333333333333</c:v>
                </c:pt>
                <c:pt idx="299">
                  <c:v>31.203666666666667</c:v>
                </c:pt>
                <c:pt idx="300">
                  <c:v>31.3</c:v>
                </c:pt>
              </c:numCache>
            </c:numRef>
          </c:xVal>
          <c:yVal>
            <c:numRef>
              <c:f>'Fosforzuurbepaling (2)'!$W$6:$W$306</c:f>
              <c:numCache>
                <c:formatCode>0.0000</c:formatCode>
                <c:ptCount val="301"/>
                <c:pt idx="0">
                  <c:v>1.7424263203272543E-2</c:v>
                </c:pt>
                <c:pt idx="1">
                  <c:v>2.5816946310867533E-2</c:v>
                </c:pt>
                <c:pt idx="2">
                  <c:v>3.4209653345113264E-2</c:v>
                </c:pt>
                <c:pt idx="3">
                  <c:v>4.2602336452420141E-2</c:v>
                </c:pt>
                <c:pt idx="4">
                  <c:v>5.0994995633076266E-2</c:v>
                </c:pt>
                <c:pt idx="5">
                  <c:v>5.9387702667322004E-2</c:v>
                </c:pt>
                <c:pt idx="6">
                  <c:v>6.778038577491699E-2</c:v>
                </c:pt>
                <c:pt idx="7">
                  <c:v>7.6173044955284999E-2</c:v>
                </c:pt>
                <c:pt idx="8">
                  <c:v>8.456572806288E-2</c:v>
                </c:pt>
                <c:pt idx="9">
                  <c:v>9.2958435096837599E-2</c:v>
                </c:pt>
                <c:pt idx="10">
                  <c:v>0.1038447353992292</c:v>
                </c:pt>
                <c:pt idx="11">
                  <c:v>0.1302540408118896</c:v>
                </c:pt>
                <c:pt idx="12">
                  <c:v>0.15666337015148885</c:v>
                </c:pt>
                <c:pt idx="13">
                  <c:v>0.1830726994913762</c:v>
                </c:pt>
                <c:pt idx="14">
                  <c:v>0.2094820049040366</c:v>
                </c:pt>
                <c:pt idx="15">
                  <c:v>0.23589133424334771</c:v>
                </c:pt>
                <c:pt idx="16">
                  <c:v>0.26230059180213039</c:v>
                </c:pt>
                <c:pt idx="17">
                  <c:v>0.28870989721479073</c:v>
                </c:pt>
                <c:pt idx="18">
                  <c:v>0.31511920262745113</c:v>
                </c:pt>
                <c:pt idx="19">
                  <c:v>0.34152855589398923</c:v>
                </c:pt>
                <c:pt idx="20">
                  <c:v>0.36793781345277193</c:v>
                </c:pt>
                <c:pt idx="21">
                  <c:v>0.39434716671931003</c:v>
                </c:pt>
                <c:pt idx="22">
                  <c:v>0.42075647213197043</c:v>
                </c:pt>
                <c:pt idx="23">
                  <c:v>0.39753696198229904</c:v>
                </c:pt>
                <c:pt idx="24">
                  <c:v>0.35114057947821153</c:v>
                </c:pt>
                <c:pt idx="25">
                  <c:v>0.30474429268303199</c:v>
                </c:pt>
                <c:pt idx="26">
                  <c:v>0.25834791018009695</c:v>
                </c:pt>
                <c:pt idx="27">
                  <c:v>0.18826716505494351</c:v>
                </c:pt>
                <c:pt idx="28">
                  <c:v>0.10446757741450495</c:v>
                </c:pt>
                <c:pt idx="29">
                  <c:v>2.0668037629672852E-2</c:v>
                </c:pt>
                <c:pt idx="30">
                  <c:v>-6.3131550010765702E-2</c:v>
                </c:pt>
                <c:pt idx="31">
                  <c:v>-0.21260760420360159</c:v>
                </c:pt>
                <c:pt idx="32">
                  <c:v>-0.27882276174516191</c:v>
                </c:pt>
                <c:pt idx="33">
                  <c:v>-0.33001534599757981</c:v>
                </c:pt>
                <c:pt idx="34">
                  <c:v>-0.38120797810445162</c:v>
                </c:pt>
                <c:pt idx="35">
                  <c:v>-0.42363138894523228</c:v>
                </c:pt>
                <c:pt idx="36">
                  <c:v>-0.40241609448516519</c:v>
                </c:pt>
                <c:pt idx="37">
                  <c:v>-0.38120080002394563</c:v>
                </c:pt>
                <c:pt idx="38">
                  <c:v>-0.35998564912493547</c:v>
                </c:pt>
                <c:pt idx="39">
                  <c:v>-0.33877035466486838</c:v>
                </c:pt>
                <c:pt idx="40">
                  <c:v>-0.31755520376528196</c:v>
                </c:pt>
                <c:pt idx="41">
                  <c:v>-0.29633990930463866</c:v>
                </c:pt>
                <c:pt idx="42">
                  <c:v>-0.27512471055232701</c:v>
                </c:pt>
                <c:pt idx="43">
                  <c:v>-0.25334962154647844</c:v>
                </c:pt>
                <c:pt idx="44">
                  <c:v>-0.22776239772808121</c:v>
                </c:pt>
                <c:pt idx="45">
                  <c:v>-0.2021752217635617</c:v>
                </c:pt>
                <c:pt idx="46">
                  <c:v>-0.17658799794516447</c:v>
                </c:pt>
                <c:pt idx="47">
                  <c:v>-0.15100067841872367</c:v>
                </c:pt>
                <c:pt idx="48">
                  <c:v>-0.12541345460032643</c:v>
                </c:pt>
                <c:pt idx="49">
                  <c:v>-9.9826182927763379E-2</c:v>
                </c:pt>
                <c:pt idx="50">
                  <c:v>-7.4238959109078032E-2</c:v>
                </c:pt>
                <c:pt idx="51">
                  <c:v>-4.8651687436803079E-2</c:v>
                </c:pt>
                <c:pt idx="52">
                  <c:v>-2.3064463618405848E-2</c:v>
                </c:pt>
                <c:pt idx="53">
                  <c:v>2.5228080541572235E-3</c:v>
                </c:pt>
                <c:pt idx="54">
                  <c:v>1.5324626901656643E-2</c:v>
                </c:pt>
                <c:pt idx="55">
                  <c:v>1.7226052482944308E-2</c:v>
                </c:pt>
                <c:pt idx="56">
                  <c:v>1.9127478064520094E-2</c:v>
                </c:pt>
                <c:pt idx="57">
                  <c:v>2.1028999353275086E-2</c:v>
                </c:pt>
                <c:pt idx="58">
                  <c:v>2.2930472788728597E-2</c:v>
                </c:pt>
                <c:pt idx="59">
                  <c:v>2.4831946223605864E-2</c:v>
                </c:pt>
                <c:pt idx="60">
                  <c:v>2.6733419659059374E-2</c:v>
                </c:pt>
                <c:pt idx="61">
                  <c:v>2.863484524034704E-2</c:v>
                </c:pt>
                <c:pt idx="62">
                  <c:v>3.0536366529390152E-2</c:v>
                </c:pt>
                <c:pt idx="63">
                  <c:v>3.2437792110677821E-2</c:v>
                </c:pt>
                <c:pt idx="64">
                  <c:v>3.4339217691965483E-2</c:v>
                </c:pt>
                <c:pt idx="65">
                  <c:v>3.6240738981008595E-2</c:v>
                </c:pt>
                <c:pt idx="66">
                  <c:v>3.814211670870666E-2</c:v>
                </c:pt>
                <c:pt idx="67">
                  <c:v>4.0043637997461655E-2</c:v>
                </c:pt>
                <c:pt idx="68">
                  <c:v>4.1945111432915162E-2</c:v>
                </c:pt>
                <c:pt idx="69">
                  <c:v>4.3846537013914708E-2</c:v>
                </c:pt>
                <c:pt idx="70">
                  <c:v>4.574805830295782E-2</c:v>
                </c:pt>
                <c:pt idx="71">
                  <c:v>5.082597577210865E-2</c:v>
                </c:pt>
                <c:pt idx="72">
                  <c:v>6.0441731958505232E-2</c:v>
                </c:pt>
                <c:pt idx="73">
                  <c:v>7.0057440291024092E-2</c:v>
                </c:pt>
                <c:pt idx="74">
                  <c:v>7.9673148623542939E-2</c:v>
                </c:pt>
                <c:pt idx="75">
                  <c:v>8.9288904809939521E-2</c:v>
                </c:pt>
                <c:pt idx="76">
                  <c:v>9.8904708850790057E-2</c:v>
                </c:pt>
                <c:pt idx="77">
                  <c:v>0.1085204171830208</c:v>
                </c:pt>
                <c:pt idx="78">
                  <c:v>0.1181361733697055</c:v>
                </c:pt>
                <c:pt idx="79">
                  <c:v>0.12775197740969169</c:v>
                </c:pt>
                <c:pt idx="80">
                  <c:v>0.13736759003416696</c:v>
                </c:pt>
                <c:pt idx="81">
                  <c:v>0.14698344192860713</c:v>
                </c:pt>
                <c:pt idx="82">
                  <c:v>0.15659910240696012</c:v>
                </c:pt>
                <c:pt idx="83">
                  <c:v>0.16621485859364482</c:v>
                </c:pt>
                <c:pt idx="84">
                  <c:v>0.17583061478032952</c:v>
                </c:pt>
                <c:pt idx="85">
                  <c:v>0.18544646667419343</c:v>
                </c:pt>
                <c:pt idx="86">
                  <c:v>0.17926097143592382</c:v>
                </c:pt>
                <c:pt idx="87">
                  <c:v>0.16103228471609865</c:v>
                </c:pt>
                <c:pt idx="88">
                  <c:v>0.14280340658018637</c:v>
                </c:pt>
                <c:pt idx="89">
                  <c:v>0.1245746241520295</c:v>
                </c:pt>
                <c:pt idx="90">
                  <c:v>0.10634574601669344</c:v>
                </c:pt>
                <c:pt idx="91">
                  <c:v>7.7614092401592699E-2</c:v>
                </c:pt>
                <c:pt idx="92">
                  <c:v>4.4132463873669842E-2</c:v>
                </c:pt>
                <c:pt idx="93">
                  <c:v>1.0346389039634788E-2</c:v>
                </c:pt>
                <c:pt idx="94">
                  <c:v>-2.3632728297375002E-2</c:v>
                </c:pt>
                <c:pt idx="95">
                  <c:v>-5.7611941342716473E-2</c:v>
                </c:pt>
                <c:pt idx="96">
                  <c:v>-9.1590962971970821E-2</c:v>
                </c:pt>
                <c:pt idx="97">
                  <c:v>-0.12556998460122515</c:v>
                </c:pt>
                <c:pt idx="98">
                  <c:v>-0.15954910193881119</c:v>
                </c:pt>
                <c:pt idx="99">
                  <c:v>-0.19352821927582098</c:v>
                </c:pt>
                <c:pt idx="100">
                  <c:v>-0.22750704948956441</c:v>
                </c:pt>
                <c:pt idx="101">
                  <c:v>-0.23090543976233074</c:v>
                </c:pt>
                <c:pt idx="102">
                  <c:v>-0.22259839115105795</c:v>
                </c:pt>
                <c:pt idx="103">
                  <c:v>-0.21429124683260592</c:v>
                </c:pt>
                <c:pt idx="104">
                  <c:v>-0.20598391109806677</c:v>
                </c:pt>
                <c:pt idx="105">
                  <c:v>-0.19767667107185932</c:v>
                </c:pt>
                <c:pt idx="106">
                  <c:v>-0.18944456161754253</c:v>
                </c:pt>
                <c:pt idx="107">
                  <c:v>-0.18177387373912107</c:v>
                </c:pt>
                <c:pt idx="108">
                  <c:v>-0.17410328156931942</c:v>
                </c:pt>
                <c:pt idx="109">
                  <c:v>-0.16643259369205043</c:v>
                </c:pt>
                <c:pt idx="110">
                  <c:v>-0.15876190581420521</c:v>
                </c:pt>
                <c:pt idx="111">
                  <c:v>-0.15109131364411546</c:v>
                </c:pt>
                <c:pt idx="112">
                  <c:v>-0.14342072147431381</c:v>
                </c:pt>
                <c:pt idx="113">
                  <c:v>-0.13575022501197948</c:v>
                </c:pt>
                <c:pt idx="114">
                  <c:v>-0.12807944142666694</c:v>
                </c:pt>
                <c:pt idx="115">
                  <c:v>-0.12040875354882172</c:v>
                </c:pt>
                <c:pt idx="116">
                  <c:v>-0.11273825708677551</c:v>
                </c:pt>
                <c:pt idx="117">
                  <c:v>-0.10506747350117485</c:v>
                </c:pt>
                <c:pt idx="118">
                  <c:v>-9.7396977038984589E-2</c:v>
                </c:pt>
                <c:pt idx="119">
                  <c:v>-8.9726289161283432E-2</c:v>
                </c:pt>
                <c:pt idx="120">
                  <c:v>-8.2055601283582275E-2</c:v>
                </c:pt>
                <c:pt idx="121">
                  <c:v>-7.4385009113492495E-2</c:v>
                </c:pt>
                <c:pt idx="122">
                  <c:v>-6.6714321235935403E-2</c:v>
                </c:pt>
                <c:pt idx="123">
                  <c:v>-5.9043729065989696E-2</c:v>
                </c:pt>
                <c:pt idx="124">
                  <c:v>-5.1373136895899923E-2</c:v>
                </c:pt>
                <c:pt idx="125">
                  <c:v>-4.3702449018270799E-2</c:v>
                </c:pt>
                <c:pt idx="126">
                  <c:v>-3.6031856848253052E-2</c:v>
                </c:pt>
                <c:pt idx="127">
                  <c:v>-2.8361168970623928E-2</c:v>
                </c:pt>
                <c:pt idx="128">
                  <c:v>-2.0690672508361634E-2</c:v>
                </c:pt>
                <c:pt idx="129">
                  <c:v>-1.3019984630660477E-2</c:v>
                </c:pt>
                <c:pt idx="130">
                  <c:v>-5.3492010452759042E-3</c:v>
                </c:pt>
                <c:pt idx="131">
                  <c:v>2.3213911246698065E-3</c:v>
                </c:pt>
                <c:pt idx="132">
                  <c:v>6.9788166577115117E-3</c:v>
                </c:pt>
                <c:pt idx="133">
                  <c:v>6.5867977730852756E-3</c:v>
                </c:pt>
                <c:pt idx="134">
                  <c:v>6.1947788884590396E-3</c:v>
                </c:pt>
                <c:pt idx="135">
                  <c:v>5.8027600037607735E-3</c:v>
                </c:pt>
                <c:pt idx="136">
                  <c:v>5.4107411192065684E-3</c:v>
                </c:pt>
                <c:pt idx="137">
                  <c:v>5.0185308190694392E-3</c:v>
                </c:pt>
                <c:pt idx="138">
                  <c:v>4.6264162266877575E-3</c:v>
                </c:pt>
                <c:pt idx="139">
                  <c:v>4.2345887575003837E-3</c:v>
                </c:pt>
                <c:pt idx="140">
                  <c:v>3.8424741651187015E-3</c:v>
                </c:pt>
                <c:pt idx="141">
                  <c:v>3.4502638649815728E-3</c:v>
                </c:pt>
                <c:pt idx="142">
                  <c:v>3.0583406881107833E-3</c:v>
                </c:pt>
                <c:pt idx="143">
                  <c:v>2.6662260958011312E-3</c:v>
                </c:pt>
                <c:pt idx="144">
                  <c:v>2.274111503419449E-3</c:v>
                </c:pt>
                <c:pt idx="145">
                  <c:v>1.8820926187211829E-3</c:v>
                </c:pt>
                <c:pt idx="146">
                  <c:v>1.4899780263395008E-3</c:v>
                </c:pt>
                <c:pt idx="147">
                  <c:v>1.0979591417852948E-3</c:v>
                </c:pt>
                <c:pt idx="148">
                  <c:v>7.0594025708702892E-4</c:v>
                </c:pt>
                <c:pt idx="149">
                  <c:v>3.1382566477737675E-4</c:v>
                </c:pt>
                <c:pt idx="150">
                  <c:v>-7.8193219920889213E-5</c:v>
                </c:pt>
                <c:pt idx="151">
                  <c:v>-4.703078123025715E-4</c:v>
                </c:pt>
                <c:pt idx="152">
                  <c:v>-8.6251811236767002E-4</c:v>
                </c:pt>
                <c:pt idx="153">
                  <c:v>-1.2544412892384596E-3</c:v>
                </c:pt>
                <c:pt idx="154">
                  <c:v>-1.6464601739367255E-3</c:v>
                </c:pt>
                <c:pt idx="155">
                  <c:v>-2.0384790585629615E-3</c:v>
                </c:pt>
                <c:pt idx="156">
                  <c:v>-2.4306893587000902E-3</c:v>
                </c:pt>
                <c:pt idx="157">
                  <c:v>-2.8226125355708797E-3</c:v>
                </c:pt>
                <c:pt idx="158">
                  <c:v>-3.2148228357080084E-3</c:v>
                </c:pt>
                <c:pt idx="159">
                  <c:v>-3.606841720334244E-3</c:v>
                </c:pt>
                <c:pt idx="160">
                  <c:v>-3.9988606049604801E-3</c:v>
                </c:pt>
                <c:pt idx="161">
                  <c:v>-4.3908794895867161E-3</c:v>
                </c:pt>
                <c:pt idx="162">
                  <c:v>-4.7830897896518143E-3</c:v>
                </c:pt>
                <c:pt idx="163">
                  <c:v>-5.1750129665946339E-3</c:v>
                </c:pt>
                <c:pt idx="164">
                  <c:v>-5.5671275589763165E-3</c:v>
                </c:pt>
                <c:pt idx="165">
                  <c:v>-5.9591464436025525E-3</c:v>
                </c:pt>
                <c:pt idx="166">
                  <c:v>-6.3512610359842342E-3</c:v>
                </c:pt>
                <c:pt idx="167">
                  <c:v>-6.4338568117912956E-3</c:v>
                </c:pt>
                <c:pt idx="168">
                  <c:v>-6.385620112986475E-3</c:v>
                </c:pt>
                <c:pt idx="169">
                  <c:v>-6.3370962911314041E-3</c:v>
                </c:pt>
                <c:pt idx="170">
                  <c:v>-6.2887638847151971E-3</c:v>
                </c:pt>
                <c:pt idx="171">
                  <c:v>-6.2404314782989892E-3</c:v>
                </c:pt>
                <c:pt idx="172">
                  <c:v>-6.1920033641273357E-3</c:v>
                </c:pt>
                <c:pt idx="173">
                  <c:v>-6.1437666653945443E-3</c:v>
                </c:pt>
                <c:pt idx="174">
                  <c:v>-6.0951471357840277E-3</c:v>
                </c:pt>
                <c:pt idx="175">
                  <c:v>-6.0469104370512363E-3</c:v>
                </c:pt>
                <c:pt idx="176">
                  <c:v>-5.9984823229516128E-3</c:v>
                </c:pt>
                <c:pt idx="177">
                  <c:v>-5.9500542087799592E-3</c:v>
                </c:pt>
                <c:pt idx="178">
                  <c:v>-5.9018175101191979E-3</c:v>
                </c:pt>
                <c:pt idx="179">
                  <c:v>-5.85348510363096E-3</c:v>
                </c:pt>
                <c:pt idx="180">
                  <c:v>-5.8049612817758899E-3</c:v>
                </c:pt>
                <c:pt idx="181">
                  <c:v>-5.7568202907265151E-3</c:v>
                </c:pt>
                <c:pt idx="182">
                  <c:v>-5.708296468871445E-3</c:v>
                </c:pt>
                <c:pt idx="183">
                  <c:v>-5.6599640624552371E-3</c:v>
                </c:pt>
                <c:pt idx="184">
                  <c:v>-5.6116316560390301E-3</c:v>
                </c:pt>
                <c:pt idx="185">
                  <c:v>-5.5632035418673757E-3</c:v>
                </c:pt>
                <c:pt idx="186">
                  <c:v>-5.5147754276957221E-3</c:v>
                </c:pt>
                <c:pt idx="187">
                  <c:v>-5.4663473134520385E-3</c:v>
                </c:pt>
                <c:pt idx="188">
                  <c:v>-5.4181106147912772E-3</c:v>
                </c:pt>
                <c:pt idx="189">
                  <c:v>-5.3696825006196228E-3</c:v>
                </c:pt>
                <c:pt idx="190">
                  <c:v>-5.3212543864479692E-3</c:v>
                </c:pt>
                <c:pt idx="191">
                  <c:v>-5.2728262723483457E-3</c:v>
                </c:pt>
                <c:pt idx="192">
                  <c:v>-5.2245895736155543E-3</c:v>
                </c:pt>
                <c:pt idx="193">
                  <c:v>-5.1760657516884542E-3</c:v>
                </c:pt>
                <c:pt idx="194">
                  <c:v>-5.1277333452722463E-3</c:v>
                </c:pt>
                <c:pt idx="195">
                  <c:v>-5.0794009388560393E-3</c:v>
                </c:pt>
                <c:pt idx="196">
                  <c:v>-5.0310685323678014E-3</c:v>
                </c:pt>
                <c:pt idx="197">
                  <c:v>-4.9827361259515935E-3</c:v>
                </c:pt>
                <c:pt idx="198">
                  <c:v>-4.93430801185197E-3</c:v>
                </c:pt>
                <c:pt idx="199">
                  <c:v>-4.8858798976803165E-3</c:v>
                </c:pt>
                <c:pt idx="200">
                  <c:v>-4.837451783508662E-3</c:v>
                </c:pt>
                <c:pt idx="201">
                  <c:v>-4.789119377092455E-3</c:v>
                </c:pt>
                <c:pt idx="202">
                  <c:v>-4.7406912628487705E-3</c:v>
                </c:pt>
                <c:pt idx="203">
                  <c:v>-4.6924545641880092E-3</c:v>
                </c:pt>
                <c:pt idx="204">
                  <c:v>-4.6440264500163557E-3</c:v>
                </c:pt>
                <c:pt idx="205">
                  <c:v>-4.5955983358447021E-3</c:v>
                </c:pt>
                <c:pt idx="206">
                  <c:v>-4.5471702216730477E-3</c:v>
                </c:pt>
                <c:pt idx="207">
                  <c:v>-4.4988378152568407E-3</c:v>
                </c:pt>
                <c:pt idx="208">
                  <c:v>-4.4506011165600639E-3</c:v>
                </c:pt>
                <c:pt idx="209">
                  <c:v>-4.4020772946689792E-3</c:v>
                </c:pt>
                <c:pt idx="210">
                  <c:v>-4.3537448882167568E-3</c:v>
                </c:pt>
                <c:pt idx="211">
                  <c:v>-4.3054124817645343E-3</c:v>
                </c:pt>
                <c:pt idx="212">
                  <c:v>-4.2568886598734488E-3</c:v>
                </c:pt>
                <c:pt idx="213">
                  <c:v>-4.2087476689321186E-3</c:v>
                </c:pt>
                <c:pt idx="214">
                  <c:v>-4.1601281393216028E-3</c:v>
                </c:pt>
                <c:pt idx="215">
                  <c:v>-4.1117957328693795E-3</c:v>
                </c:pt>
                <c:pt idx="216">
                  <c:v>-4.0634633264531725E-3</c:v>
                </c:pt>
                <c:pt idx="217">
                  <c:v>-4.01513092000095E-3</c:v>
                </c:pt>
                <c:pt idx="218">
                  <c:v>-3.9667028058292956E-3</c:v>
                </c:pt>
                <c:pt idx="219">
                  <c:v>-3.918274691657642E-3</c:v>
                </c:pt>
                <c:pt idx="220">
                  <c:v>-3.8700379929608657E-3</c:v>
                </c:pt>
                <c:pt idx="221">
                  <c:v>-3.8215141710697806E-3</c:v>
                </c:pt>
                <c:pt idx="222">
                  <c:v>-3.7732774723730047E-3</c:v>
                </c:pt>
                <c:pt idx="223">
                  <c:v>-3.7249450659567968E-3</c:v>
                </c:pt>
                <c:pt idx="224">
                  <c:v>-3.6764212440657117E-3</c:v>
                </c:pt>
                <c:pt idx="225">
                  <c:v>-3.6280888376134892E-3</c:v>
                </c:pt>
                <c:pt idx="226">
                  <c:v>-3.5797564311972818E-3</c:v>
                </c:pt>
                <c:pt idx="227">
                  <c:v>-3.5314240247450593E-3</c:v>
                </c:pt>
                <c:pt idx="228">
                  <c:v>-3.4830916183288515E-3</c:v>
                </c:pt>
                <c:pt idx="229">
                  <c:v>-3.4346635041571979E-3</c:v>
                </c:pt>
                <c:pt idx="230">
                  <c:v>-3.3862353899855439E-3</c:v>
                </c:pt>
                <c:pt idx="231">
                  <c:v>-3.3379986912887676E-3</c:v>
                </c:pt>
                <c:pt idx="232">
                  <c:v>-3.2894748693976824E-3</c:v>
                </c:pt>
                <c:pt idx="233">
                  <c:v>-3.241142462981475E-3</c:v>
                </c:pt>
                <c:pt idx="234">
                  <c:v>-3.1928100565292526E-3</c:v>
                </c:pt>
                <c:pt idx="235">
                  <c:v>-3.144286234638167E-3</c:v>
                </c:pt>
                <c:pt idx="236">
                  <c:v>-3.0960495359413911E-3</c:v>
                </c:pt>
                <c:pt idx="237">
                  <c:v>-3.0476214217697371E-3</c:v>
                </c:pt>
                <c:pt idx="238">
                  <c:v>-2.9992890153175147E-3</c:v>
                </c:pt>
                <c:pt idx="239">
                  <c:v>-2.9508609011458607E-3</c:v>
                </c:pt>
                <c:pt idx="240">
                  <c:v>-2.9025284947296532E-3</c:v>
                </c:pt>
                <c:pt idx="241">
                  <c:v>-2.8541960882774308E-3</c:v>
                </c:pt>
                <c:pt idx="242">
                  <c:v>-2.8057679741417918E-3</c:v>
                </c:pt>
                <c:pt idx="243">
                  <c:v>-2.7574355676895693E-3</c:v>
                </c:pt>
                <c:pt idx="244">
                  <c:v>-2.7090074535539303E-3</c:v>
                </c:pt>
                <c:pt idx="245">
                  <c:v>-2.660770754821139E-3</c:v>
                </c:pt>
                <c:pt idx="246">
                  <c:v>-2.6122469329300539E-3</c:v>
                </c:pt>
                <c:pt idx="247">
                  <c:v>-2.5639145264958387E-3</c:v>
                </c:pt>
                <c:pt idx="248">
                  <c:v>-2.515582120061624E-3</c:v>
                </c:pt>
                <c:pt idx="249">
                  <c:v>-2.4670582981705384E-3</c:v>
                </c:pt>
                <c:pt idx="250">
                  <c:v>-2.4188215994737625E-3</c:v>
                </c:pt>
                <c:pt idx="251">
                  <c:v>-2.3703934853201163E-3</c:v>
                </c:pt>
                <c:pt idx="252">
                  <c:v>-2.3220610788678934E-3</c:v>
                </c:pt>
                <c:pt idx="253">
                  <c:v>-2.2735372569768083E-3</c:v>
                </c:pt>
                <c:pt idx="254">
                  <c:v>-2.2253005582800319E-3</c:v>
                </c:pt>
                <c:pt idx="255">
                  <c:v>-2.1768724441083784E-3</c:v>
                </c:pt>
                <c:pt idx="256">
                  <c:v>-2.1284443299547321E-3</c:v>
                </c:pt>
                <c:pt idx="257">
                  <c:v>-2.080207631239948E-3</c:v>
                </c:pt>
                <c:pt idx="258">
                  <c:v>-2.0316838093488629E-3</c:v>
                </c:pt>
                <c:pt idx="259">
                  <c:v>-1.9834471106520866E-3</c:v>
                </c:pt>
                <c:pt idx="260">
                  <c:v>-1.9350189964804328E-3</c:v>
                </c:pt>
                <c:pt idx="261">
                  <c:v>-1.8865908823267866E-3</c:v>
                </c:pt>
                <c:pt idx="262">
                  <c:v>-1.8383541836300104E-3</c:v>
                </c:pt>
                <c:pt idx="263">
                  <c:v>-1.7900217771957953E-3</c:v>
                </c:pt>
                <c:pt idx="264">
                  <c:v>-1.7415936630241415E-3</c:v>
                </c:pt>
                <c:pt idx="265">
                  <c:v>-1.6930698411150487E-3</c:v>
                </c:pt>
                <c:pt idx="266">
                  <c:v>-1.6447374346808337E-3</c:v>
                </c:pt>
                <c:pt idx="267">
                  <c:v>-1.5963093205271874E-3</c:v>
                </c:pt>
                <c:pt idx="268">
                  <c:v>-1.5479769140929723E-3</c:v>
                </c:pt>
                <c:pt idx="269">
                  <c:v>-1.4996445076587573E-3</c:v>
                </c:pt>
                <c:pt idx="270">
                  <c:v>-1.4512163935051108E-3</c:v>
                </c:pt>
                <c:pt idx="271">
                  <c:v>-1.4028839870708959E-3</c:v>
                </c:pt>
                <c:pt idx="272">
                  <c:v>-1.3544558728992419E-3</c:v>
                </c:pt>
                <c:pt idx="273">
                  <c:v>-1.3060277587275881E-3</c:v>
                </c:pt>
                <c:pt idx="274">
                  <c:v>-1.2576953523113807E-3</c:v>
                </c:pt>
                <c:pt idx="275">
                  <c:v>-1.209362945859158E-3</c:v>
                </c:pt>
                <c:pt idx="276">
                  <c:v>-1.161030539424943E-3</c:v>
                </c:pt>
                <c:pt idx="277">
                  <c:v>-1.1125067175338577E-3</c:v>
                </c:pt>
                <c:pt idx="278">
                  <c:v>-1.0642700188370816E-3</c:v>
                </c:pt>
                <c:pt idx="279">
                  <c:v>-1.0158419046654278E-3</c:v>
                </c:pt>
                <c:pt idx="280">
                  <c:v>-9.6760520598665912E-4</c:v>
                </c:pt>
                <c:pt idx="281">
                  <c:v>-9.1917709179699771E-4</c:v>
                </c:pt>
                <c:pt idx="282">
                  <c:v>-8.7065326992392001E-4</c:v>
                </c:pt>
                <c:pt idx="283">
                  <c:v>-8.2232086347169744E-4</c:v>
                </c:pt>
                <c:pt idx="284">
                  <c:v>-7.7398845705548989E-4</c:v>
                </c:pt>
                <c:pt idx="285">
                  <c:v>-7.25560342883836E-4</c:v>
                </c:pt>
                <c:pt idx="286">
                  <c:v>-6.7722793644962094E-4</c:v>
                </c:pt>
                <c:pt idx="287">
                  <c:v>-6.28895530015406E-4</c:v>
                </c:pt>
                <c:pt idx="288">
                  <c:v>-5.8037170812432078E-4</c:v>
                </c:pt>
                <c:pt idx="289">
                  <c:v>-5.3213500942754456E-4</c:v>
                </c:pt>
                <c:pt idx="290">
                  <c:v>-4.8380260299332956E-4</c:v>
                </c:pt>
                <c:pt idx="291">
                  <c:v>-4.3527878108423683E-4</c:v>
                </c:pt>
                <c:pt idx="292">
                  <c:v>-3.8704208238746061E-4</c:v>
                </c:pt>
                <c:pt idx="293">
                  <c:v>-3.3861396823381423E-4</c:v>
                </c:pt>
                <c:pt idx="294">
                  <c:v>-2.9018585406216039E-4</c:v>
                </c:pt>
                <c:pt idx="295">
                  <c:v>-2.4185344762794533E-4</c:v>
                </c:pt>
                <c:pt idx="296">
                  <c:v>-1.935210411937303E-4</c:v>
                </c:pt>
                <c:pt idx="297">
                  <c:v>-1.4509292702207644E-4</c:v>
                </c:pt>
                <c:pt idx="298">
                  <c:v>-9.6664812868430059E-5</c:v>
                </c:pt>
                <c:pt idx="299">
                  <c:v>-4.833240643421503E-5</c:v>
                </c:pt>
                <c:pt idx="300">
                  <c:v>-9.5707737438852625E-8</c:v>
                </c:pt>
              </c:numCache>
            </c:numRef>
          </c:yVal>
          <c:smooth val="1"/>
          <c:extLst>
            <c:ext xmlns:c16="http://schemas.microsoft.com/office/drawing/2014/chart" uri="{C3380CC4-5D6E-409C-BE32-E72D297353CC}">
              <c16:uniqueId val="{00000001-152F-4C39-8D1C-45A077131B75}"/>
            </c:ext>
          </c:extLst>
        </c:ser>
        <c:dLbls>
          <c:showLegendKey val="0"/>
          <c:showVal val="0"/>
          <c:showCatName val="0"/>
          <c:showSerName val="0"/>
          <c:showPercent val="0"/>
          <c:showBubbleSize val="0"/>
        </c:dLbls>
        <c:axId val="283982800"/>
        <c:axId val="283980624"/>
      </c:scatterChart>
      <c:valAx>
        <c:axId val="283982800"/>
        <c:scaling>
          <c:orientation val="minMax"/>
        </c:scaling>
        <c:delete val="0"/>
        <c:axPos val="b"/>
        <c:majorGridlines/>
        <c:title>
          <c:tx>
            <c:rich>
              <a:bodyPr/>
              <a:lstStyle/>
              <a:p>
                <a:pPr>
                  <a:defRPr sz="1000" b="1" i="0" u="none" strike="noStrike" baseline="0">
                    <a:solidFill>
                      <a:srgbClr val="000000"/>
                    </a:solidFill>
                    <a:latin typeface="Arial"/>
                    <a:ea typeface="Arial"/>
                    <a:cs typeface="Arial"/>
                  </a:defRPr>
                </a:pPr>
                <a:r>
                  <a:rPr lang="pt-BR"/>
                  <a:t>Volume (mL)</a:t>
                </a:r>
              </a:p>
            </c:rich>
          </c:tx>
          <c:layout>
            <c:manualLayout>
              <c:xMode val="edge"/>
              <c:yMode val="edge"/>
              <c:x val="0.46712966871357808"/>
              <c:y val="0.94387828002903273"/>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nl-NL"/>
          </a:p>
        </c:txPr>
        <c:crossAx val="283980624"/>
        <c:crosses val="autoZero"/>
        <c:crossBetween val="midCat"/>
      </c:valAx>
      <c:valAx>
        <c:axId val="283980624"/>
        <c:scaling>
          <c:orientation val="minMax"/>
        </c:scaling>
        <c:delete val="0"/>
        <c:axPos val="l"/>
        <c:majorGridlines>
          <c:spPr>
            <a:ln w="3175">
              <a:solidFill>
                <a:srgbClr val="000000"/>
              </a:solidFill>
              <a:prstDash val="solid"/>
            </a:ln>
          </c:spPr>
        </c:majorGridlines>
        <c:title>
          <c:tx>
            <c:rich>
              <a:bodyPr/>
              <a:lstStyle/>
              <a:p>
                <a:pPr>
                  <a:defRPr sz="1075" b="1" i="0" u="none" strike="noStrike" baseline="0">
                    <a:solidFill>
                      <a:srgbClr val="000000"/>
                    </a:solidFill>
                    <a:latin typeface="Arial"/>
                    <a:ea typeface="Arial"/>
                    <a:cs typeface="Arial"/>
                  </a:defRPr>
                </a:pPr>
                <a:r>
                  <a:rPr lang="pt-BR"/>
                  <a:t>dpH/dV</a:t>
                </a:r>
              </a:p>
            </c:rich>
          </c:tx>
          <c:layout>
            <c:manualLayout>
              <c:xMode val="edge"/>
              <c:yMode val="edge"/>
              <c:x val="1.0062977664981961E-2"/>
              <c:y val="0.45803488849608076"/>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nl-NL"/>
          </a:p>
        </c:txPr>
        <c:crossAx val="283982800"/>
        <c:crosses val="autoZero"/>
        <c:crossBetween val="midCat"/>
      </c:valAx>
      <c:spPr>
        <a:noFill/>
        <a:ln w="12700">
          <a:solidFill>
            <a:srgbClr val="808080"/>
          </a:solidFill>
          <a:prstDash val="solid"/>
        </a:ln>
      </c:spPr>
    </c:plotArea>
    <c:legend>
      <c:legendPos val="r"/>
      <c:layout>
        <c:manualLayout>
          <c:xMode val="edge"/>
          <c:yMode val="edge"/>
          <c:x val="0.11021525201911762"/>
          <c:y val="1.2499866088167551E-2"/>
          <c:w val="0.48790395002277631"/>
          <c:h val="5.4999910725446105E-2"/>
        </c:manualLayout>
      </c:layout>
      <c:overlay val="0"/>
      <c:spPr>
        <a:solidFill>
          <a:srgbClr val="FFFFFF"/>
        </a:solidFill>
        <a:ln w="3175">
          <a:solidFill>
            <a:srgbClr val="000000"/>
          </a:solidFill>
          <a:prstDash val="solid"/>
        </a:ln>
      </c:spPr>
      <c:txPr>
        <a:bodyPr/>
        <a:lstStyle/>
        <a:p>
          <a:pPr>
            <a:defRPr sz="780" b="0" i="0" u="none" strike="noStrike" baseline="0">
              <a:solidFill>
                <a:srgbClr val="000000"/>
              </a:solidFill>
              <a:latin typeface="Arial"/>
              <a:ea typeface="Arial"/>
              <a:cs typeface="Arial"/>
            </a:defRPr>
          </a:pPr>
          <a:endParaRPr lang="nl-NL"/>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0.98425196899999956" l="0.78740157499999996" r="0.78740157499999996" t="0.98425196899999956" header="0.49212598500001148" footer="0.49212598500001148"/>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268600331771933E-2"/>
          <c:y val="7.7783091156850295E-2"/>
          <c:w val="0.88927174241301365"/>
          <c:h val="0.79885351684511363"/>
        </c:manualLayout>
      </c:layout>
      <c:scatterChart>
        <c:scatterStyle val="smoothMarker"/>
        <c:varyColors val="0"/>
        <c:ser>
          <c:idx val="0"/>
          <c:order val="0"/>
          <c:tx>
            <c:v>raw data</c:v>
          </c:tx>
          <c:spPr>
            <a:ln w="28575">
              <a:noFill/>
            </a:ln>
          </c:spPr>
          <c:marker>
            <c:symbol val="diamond"/>
            <c:size val="4"/>
            <c:spPr>
              <a:solidFill>
                <a:srgbClr val="09007E"/>
              </a:solidFill>
              <a:ln>
                <a:solidFill>
                  <a:srgbClr val="09007E"/>
                </a:solidFill>
                <a:prstDash val="solid"/>
              </a:ln>
            </c:spPr>
          </c:marker>
          <c:xVal>
            <c:numRef>
              <c:f>'Fosforzuurbepaling (2)'!$A$6:$A$281</c:f>
              <c:numCache>
                <c:formatCode>0.000</c:formatCode>
                <c:ptCount val="276"/>
                <c:pt idx="0">
                  <c:v>2.2000000000000002</c:v>
                </c:pt>
                <c:pt idx="1">
                  <c:v>3.35</c:v>
                </c:pt>
                <c:pt idx="2">
                  <c:v>4.55</c:v>
                </c:pt>
                <c:pt idx="3">
                  <c:v>4.9400000000000004</c:v>
                </c:pt>
                <c:pt idx="4">
                  <c:v>5.3</c:v>
                </c:pt>
                <c:pt idx="5">
                  <c:v>5.4</c:v>
                </c:pt>
                <c:pt idx="6">
                  <c:v>5.76</c:v>
                </c:pt>
                <c:pt idx="7">
                  <c:v>6.53</c:v>
                </c:pt>
                <c:pt idx="8">
                  <c:v>7.55</c:v>
                </c:pt>
                <c:pt idx="9">
                  <c:v>9.1999999999999993</c:v>
                </c:pt>
                <c:pt idx="10">
                  <c:v>10.63</c:v>
                </c:pt>
                <c:pt idx="11">
                  <c:v>11.1</c:v>
                </c:pt>
                <c:pt idx="12">
                  <c:v>11.3</c:v>
                </c:pt>
                <c:pt idx="13">
                  <c:v>12.06</c:v>
                </c:pt>
                <c:pt idx="14">
                  <c:v>12.6</c:v>
                </c:pt>
                <c:pt idx="15">
                  <c:v>15.08</c:v>
                </c:pt>
                <c:pt idx="16">
                  <c:v>18.420000000000002</c:v>
                </c:pt>
                <c:pt idx="17">
                  <c:v>31.3</c:v>
                </c:pt>
              </c:numCache>
            </c:numRef>
          </c:xVal>
          <c:yVal>
            <c:numRef>
              <c:f>'Fosforzuurbepaling (2)'!$B$6:$B$281</c:f>
              <c:numCache>
                <c:formatCode>0.000</c:formatCode>
                <c:ptCount val="276"/>
                <c:pt idx="0">
                  <c:v>3.15</c:v>
                </c:pt>
                <c:pt idx="1">
                  <c:v>3.57</c:v>
                </c:pt>
                <c:pt idx="2">
                  <c:v>4.17</c:v>
                </c:pt>
                <c:pt idx="3">
                  <c:v>4.72</c:v>
                </c:pt>
                <c:pt idx="4">
                  <c:v>5.13</c:v>
                </c:pt>
                <c:pt idx="5">
                  <c:v>5.68</c:v>
                </c:pt>
                <c:pt idx="6">
                  <c:v>6.05</c:v>
                </c:pt>
                <c:pt idx="7">
                  <c:v>6.53</c:v>
                </c:pt>
                <c:pt idx="8">
                  <c:v>6.89</c:v>
                </c:pt>
                <c:pt idx="9">
                  <c:v>7.59</c:v>
                </c:pt>
                <c:pt idx="10">
                  <c:v>8.33</c:v>
                </c:pt>
                <c:pt idx="11">
                  <c:v>8.76</c:v>
                </c:pt>
                <c:pt idx="12">
                  <c:v>8.98</c:v>
                </c:pt>
                <c:pt idx="13">
                  <c:v>9.76</c:v>
                </c:pt>
                <c:pt idx="14">
                  <c:v>10.02</c:v>
                </c:pt>
                <c:pt idx="15">
                  <c:v>10.61</c:v>
                </c:pt>
                <c:pt idx="16">
                  <c:v>10.99</c:v>
                </c:pt>
                <c:pt idx="17">
                  <c:v>11.58</c:v>
                </c:pt>
              </c:numCache>
            </c:numRef>
          </c:yVal>
          <c:smooth val="1"/>
          <c:extLst>
            <c:ext xmlns:c16="http://schemas.microsoft.com/office/drawing/2014/chart" uri="{C3380CC4-5D6E-409C-BE32-E72D297353CC}">
              <c16:uniqueId val="{00000000-F888-454D-B2D1-99EBD2D3C348}"/>
            </c:ext>
          </c:extLst>
        </c:ser>
        <c:ser>
          <c:idx val="1"/>
          <c:order val="1"/>
          <c:tx>
            <c:v>smoothed data</c:v>
          </c:tx>
          <c:spPr>
            <a:ln w="25400">
              <a:solidFill>
                <a:srgbClr val="FF0000"/>
              </a:solidFill>
              <a:prstDash val="solid"/>
            </a:ln>
          </c:spPr>
          <c:marker>
            <c:symbol val="none"/>
          </c:marker>
          <c:xVal>
            <c:numRef>
              <c:f>'Fosforzuurbepaling (2)'!$T$6:$T$1006</c:f>
              <c:numCache>
                <c:formatCode>0.0000</c:formatCode>
                <c:ptCount val="1001"/>
                <c:pt idx="0">
                  <c:v>2.4</c:v>
                </c:pt>
                <c:pt idx="1">
                  <c:v>2.4963333333333333</c:v>
                </c:pt>
                <c:pt idx="2">
                  <c:v>2.5926666666666667</c:v>
                </c:pt>
                <c:pt idx="3">
                  <c:v>2.6890000000000001</c:v>
                </c:pt>
                <c:pt idx="4">
                  <c:v>2.7853333333333334</c:v>
                </c:pt>
                <c:pt idx="5">
                  <c:v>2.8816666666666668</c:v>
                </c:pt>
                <c:pt idx="6">
                  <c:v>2.9779999999999998</c:v>
                </c:pt>
                <c:pt idx="7">
                  <c:v>3.0743333333333331</c:v>
                </c:pt>
                <c:pt idx="8">
                  <c:v>3.1706666666666665</c:v>
                </c:pt>
                <c:pt idx="9">
                  <c:v>3.2669999999999999</c:v>
                </c:pt>
                <c:pt idx="10">
                  <c:v>3.3633333333333333</c:v>
                </c:pt>
                <c:pt idx="11">
                  <c:v>3.4596666666666667</c:v>
                </c:pt>
                <c:pt idx="12">
                  <c:v>3.556</c:v>
                </c:pt>
                <c:pt idx="13">
                  <c:v>3.6523333333333334</c:v>
                </c:pt>
                <c:pt idx="14">
                  <c:v>3.7486666666666668</c:v>
                </c:pt>
                <c:pt idx="15">
                  <c:v>3.8449999999999998</c:v>
                </c:pt>
                <c:pt idx="16">
                  <c:v>3.9413333333333336</c:v>
                </c:pt>
                <c:pt idx="17">
                  <c:v>4.0376666666666665</c:v>
                </c:pt>
                <c:pt idx="18">
                  <c:v>4.1340000000000003</c:v>
                </c:pt>
                <c:pt idx="19">
                  <c:v>4.2303333333333333</c:v>
                </c:pt>
                <c:pt idx="20">
                  <c:v>4.3266666666666662</c:v>
                </c:pt>
                <c:pt idx="21">
                  <c:v>4.423</c:v>
                </c:pt>
                <c:pt idx="22">
                  <c:v>4.5193333333333339</c:v>
                </c:pt>
                <c:pt idx="23">
                  <c:v>4.6156666666666668</c:v>
                </c:pt>
                <c:pt idx="24">
                  <c:v>4.7119999999999997</c:v>
                </c:pt>
                <c:pt idx="25">
                  <c:v>4.8083333333333336</c:v>
                </c:pt>
                <c:pt idx="26">
                  <c:v>4.9046666666666674</c:v>
                </c:pt>
                <c:pt idx="27">
                  <c:v>5.0009999999999994</c:v>
                </c:pt>
                <c:pt idx="28">
                  <c:v>5.0973333333333333</c:v>
                </c:pt>
                <c:pt idx="29">
                  <c:v>5.1936666666666671</c:v>
                </c:pt>
                <c:pt idx="30">
                  <c:v>5.29</c:v>
                </c:pt>
                <c:pt idx="31">
                  <c:v>5.386333333333333</c:v>
                </c:pt>
                <c:pt idx="32">
                  <c:v>5.4826666666666668</c:v>
                </c:pt>
                <c:pt idx="33">
                  <c:v>5.5790000000000006</c:v>
                </c:pt>
                <c:pt idx="34">
                  <c:v>5.6753333333333336</c:v>
                </c:pt>
                <c:pt idx="35">
                  <c:v>5.7716666666666665</c:v>
                </c:pt>
                <c:pt idx="36">
                  <c:v>5.8680000000000003</c:v>
                </c:pt>
                <c:pt idx="37">
                  <c:v>5.9643333333333342</c:v>
                </c:pt>
                <c:pt idx="38">
                  <c:v>6.0606666666666662</c:v>
                </c:pt>
                <c:pt idx="39">
                  <c:v>6.157</c:v>
                </c:pt>
                <c:pt idx="40">
                  <c:v>6.2533333333333339</c:v>
                </c:pt>
                <c:pt idx="41">
                  <c:v>6.3496666666666668</c:v>
                </c:pt>
                <c:pt idx="42">
                  <c:v>6.4459999999999997</c:v>
                </c:pt>
                <c:pt idx="43">
                  <c:v>6.5423333333333336</c:v>
                </c:pt>
                <c:pt idx="44">
                  <c:v>6.6386666666666674</c:v>
                </c:pt>
                <c:pt idx="45">
                  <c:v>6.7349999999999994</c:v>
                </c:pt>
                <c:pt idx="46">
                  <c:v>6.8313333333333333</c:v>
                </c:pt>
                <c:pt idx="47">
                  <c:v>6.9276666666666671</c:v>
                </c:pt>
                <c:pt idx="48">
                  <c:v>7.0240000000000009</c:v>
                </c:pt>
                <c:pt idx="49">
                  <c:v>7.120333333333333</c:v>
                </c:pt>
                <c:pt idx="50">
                  <c:v>7.2166666666666668</c:v>
                </c:pt>
                <c:pt idx="51">
                  <c:v>7.3130000000000006</c:v>
                </c:pt>
                <c:pt idx="52">
                  <c:v>7.4093333333333344</c:v>
                </c:pt>
                <c:pt idx="53">
                  <c:v>7.5056666666666665</c:v>
                </c:pt>
                <c:pt idx="54">
                  <c:v>7.6020000000000003</c:v>
                </c:pt>
                <c:pt idx="55">
                  <c:v>7.6983333333333341</c:v>
                </c:pt>
                <c:pt idx="56">
                  <c:v>7.7946666666666662</c:v>
                </c:pt>
                <c:pt idx="57">
                  <c:v>7.891</c:v>
                </c:pt>
                <c:pt idx="58">
                  <c:v>7.9873333333333338</c:v>
                </c:pt>
                <c:pt idx="59">
                  <c:v>8.0836666666666677</c:v>
                </c:pt>
                <c:pt idx="60">
                  <c:v>8.18</c:v>
                </c:pt>
                <c:pt idx="61">
                  <c:v>8.2763333333333335</c:v>
                </c:pt>
                <c:pt idx="62">
                  <c:v>8.3726666666666674</c:v>
                </c:pt>
                <c:pt idx="63">
                  <c:v>8.4690000000000012</c:v>
                </c:pt>
                <c:pt idx="64">
                  <c:v>8.5653333333333332</c:v>
                </c:pt>
                <c:pt idx="65">
                  <c:v>8.6616666666666671</c:v>
                </c:pt>
                <c:pt idx="66">
                  <c:v>8.7580000000000009</c:v>
                </c:pt>
                <c:pt idx="67">
                  <c:v>8.8543333333333329</c:v>
                </c:pt>
                <c:pt idx="68">
                  <c:v>8.9506666666666668</c:v>
                </c:pt>
                <c:pt idx="69">
                  <c:v>9.0470000000000006</c:v>
                </c:pt>
                <c:pt idx="70">
                  <c:v>9.1433333333333344</c:v>
                </c:pt>
                <c:pt idx="71">
                  <c:v>9.2396666666666665</c:v>
                </c:pt>
                <c:pt idx="72">
                  <c:v>9.3360000000000003</c:v>
                </c:pt>
                <c:pt idx="73">
                  <c:v>9.4323333333333341</c:v>
                </c:pt>
                <c:pt idx="74">
                  <c:v>9.528666666666668</c:v>
                </c:pt>
                <c:pt idx="75">
                  <c:v>9.625</c:v>
                </c:pt>
                <c:pt idx="76">
                  <c:v>9.7213333333333338</c:v>
                </c:pt>
                <c:pt idx="77">
                  <c:v>9.8176666666666677</c:v>
                </c:pt>
                <c:pt idx="78">
                  <c:v>9.9139999999999997</c:v>
                </c:pt>
                <c:pt idx="79">
                  <c:v>10.010333333333334</c:v>
                </c:pt>
                <c:pt idx="80">
                  <c:v>10.106666666666667</c:v>
                </c:pt>
                <c:pt idx="81">
                  <c:v>10.203000000000001</c:v>
                </c:pt>
                <c:pt idx="82">
                  <c:v>10.299333333333333</c:v>
                </c:pt>
                <c:pt idx="83">
                  <c:v>10.395666666666667</c:v>
                </c:pt>
                <c:pt idx="84">
                  <c:v>10.492000000000001</c:v>
                </c:pt>
                <c:pt idx="85">
                  <c:v>10.588333333333335</c:v>
                </c:pt>
                <c:pt idx="86">
                  <c:v>10.684666666666667</c:v>
                </c:pt>
                <c:pt idx="87">
                  <c:v>10.781000000000001</c:v>
                </c:pt>
                <c:pt idx="88">
                  <c:v>10.877333333333334</c:v>
                </c:pt>
                <c:pt idx="89">
                  <c:v>10.973666666666668</c:v>
                </c:pt>
                <c:pt idx="90">
                  <c:v>11.07</c:v>
                </c:pt>
                <c:pt idx="91">
                  <c:v>11.166333333333334</c:v>
                </c:pt>
                <c:pt idx="92">
                  <c:v>11.262666666666668</c:v>
                </c:pt>
                <c:pt idx="93">
                  <c:v>11.359000000000002</c:v>
                </c:pt>
                <c:pt idx="94">
                  <c:v>11.455333333333334</c:v>
                </c:pt>
                <c:pt idx="95">
                  <c:v>11.551666666666668</c:v>
                </c:pt>
                <c:pt idx="96">
                  <c:v>11.648000000000001</c:v>
                </c:pt>
                <c:pt idx="97">
                  <c:v>11.744333333333334</c:v>
                </c:pt>
                <c:pt idx="98">
                  <c:v>11.840666666666667</c:v>
                </c:pt>
                <c:pt idx="99">
                  <c:v>11.937000000000001</c:v>
                </c:pt>
                <c:pt idx="100">
                  <c:v>12.033333333333335</c:v>
                </c:pt>
                <c:pt idx="101">
                  <c:v>12.129666666666667</c:v>
                </c:pt>
                <c:pt idx="102">
                  <c:v>12.226000000000001</c:v>
                </c:pt>
                <c:pt idx="103">
                  <c:v>12.322333333333335</c:v>
                </c:pt>
                <c:pt idx="104">
                  <c:v>12.418666666666669</c:v>
                </c:pt>
                <c:pt idx="105">
                  <c:v>12.515000000000001</c:v>
                </c:pt>
                <c:pt idx="106">
                  <c:v>12.611333333333334</c:v>
                </c:pt>
                <c:pt idx="107">
                  <c:v>12.707666666666668</c:v>
                </c:pt>
                <c:pt idx="108">
                  <c:v>12.804</c:v>
                </c:pt>
                <c:pt idx="109">
                  <c:v>12.900333333333334</c:v>
                </c:pt>
                <c:pt idx="110">
                  <c:v>12.996666666666668</c:v>
                </c:pt>
                <c:pt idx="111">
                  <c:v>13.093000000000002</c:v>
                </c:pt>
                <c:pt idx="112">
                  <c:v>13.189333333333334</c:v>
                </c:pt>
                <c:pt idx="113">
                  <c:v>13.285666666666668</c:v>
                </c:pt>
                <c:pt idx="114">
                  <c:v>13.382000000000001</c:v>
                </c:pt>
                <c:pt idx="115">
                  <c:v>13.478333333333335</c:v>
                </c:pt>
                <c:pt idx="116">
                  <c:v>13.574666666666667</c:v>
                </c:pt>
                <c:pt idx="117">
                  <c:v>13.671000000000001</c:v>
                </c:pt>
                <c:pt idx="118">
                  <c:v>13.767333333333335</c:v>
                </c:pt>
                <c:pt idx="119">
                  <c:v>13.863666666666667</c:v>
                </c:pt>
                <c:pt idx="120">
                  <c:v>13.96</c:v>
                </c:pt>
                <c:pt idx="121">
                  <c:v>14.056333333333335</c:v>
                </c:pt>
                <c:pt idx="122">
                  <c:v>14.152666666666669</c:v>
                </c:pt>
                <c:pt idx="123">
                  <c:v>14.249000000000001</c:v>
                </c:pt>
                <c:pt idx="124">
                  <c:v>14.345333333333334</c:v>
                </c:pt>
                <c:pt idx="125">
                  <c:v>14.441666666666668</c:v>
                </c:pt>
                <c:pt idx="126">
                  <c:v>14.538000000000002</c:v>
                </c:pt>
                <c:pt idx="127">
                  <c:v>14.634333333333334</c:v>
                </c:pt>
                <c:pt idx="128">
                  <c:v>14.730666666666668</c:v>
                </c:pt>
                <c:pt idx="129">
                  <c:v>14.827000000000002</c:v>
                </c:pt>
                <c:pt idx="130">
                  <c:v>14.923333333333334</c:v>
                </c:pt>
                <c:pt idx="131">
                  <c:v>15.019666666666668</c:v>
                </c:pt>
                <c:pt idx="132">
                  <c:v>15.116000000000001</c:v>
                </c:pt>
                <c:pt idx="133">
                  <c:v>15.212333333333335</c:v>
                </c:pt>
                <c:pt idx="134">
                  <c:v>15.308666666666667</c:v>
                </c:pt>
                <c:pt idx="135">
                  <c:v>15.405000000000001</c:v>
                </c:pt>
                <c:pt idx="136">
                  <c:v>15.501333333333335</c:v>
                </c:pt>
                <c:pt idx="137">
                  <c:v>15.597666666666669</c:v>
                </c:pt>
                <c:pt idx="138">
                  <c:v>15.694000000000001</c:v>
                </c:pt>
                <c:pt idx="139">
                  <c:v>15.790333333333335</c:v>
                </c:pt>
                <c:pt idx="140">
                  <c:v>15.886666666666668</c:v>
                </c:pt>
                <c:pt idx="141">
                  <c:v>15.983000000000001</c:v>
                </c:pt>
                <c:pt idx="142">
                  <c:v>16.079333333333334</c:v>
                </c:pt>
                <c:pt idx="143">
                  <c:v>16.175666666666668</c:v>
                </c:pt>
                <c:pt idx="144">
                  <c:v>16.272000000000002</c:v>
                </c:pt>
                <c:pt idx="145">
                  <c:v>16.368333333333332</c:v>
                </c:pt>
                <c:pt idx="146">
                  <c:v>16.464666666666666</c:v>
                </c:pt>
                <c:pt idx="147">
                  <c:v>16.561</c:v>
                </c:pt>
                <c:pt idx="148">
                  <c:v>16.657333333333334</c:v>
                </c:pt>
                <c:pt idx="149">
                  <c:v>16.753666666666668</c:v>
                </c:pt>
                <c:pt idx="150">
                  <c:v>16.850000000000001</c:v>
                </c:pt>
                <c:pt idx="151">
                  <c:v>16.946333333333335</c:v>
                </c:pt>
                <c:pt idx="152">
                  <c:v>17.042666666666666</c:v>
                </c:pt>
                <c:pt idx="153">
                  <c:v>17.138999999999999</c:v>
                </c:pt>
                <c:pt idx="154">
                  <c:v>17.235333333333333</c:v>
                </c:pt>
                <c:pt idx="155">
                  <c:v>17.331666666666667</c:v>
                </c:pt>
                <c:pt idx="156">
                  <c:v>17.428000000000001</c:v>
                </c:pt>
                <c:pt idx="157">
                  <c:v>17.524333333333335</c:v>
                </c:pt>
                <c:pt idx="158">
                  <c:v>17.620666666666668</c:v>
                </c:pt>
                <c:pt idx="159">
                  <c:v>17.717000000000002</c:v>
                </c:pt>
                <c:pt idx="160">
                  <c:v>17.813333333333333</c:v>
                </c:pt>
                <c:pt idx="161">
                  <c:v>17.909666666666666</c:v>
                </c:pt>
                <c:pt idx="162">
                  <c:v>18.006</c:v>
                </c:pt>
                <c:pt idx="163">
                  <c:v>18.102333333333334</c:v>
                </c:pt>
                <c:pt idx="164">
                  <c:v>18.198666666666668</c:v>
                </c:pt>
                <c:pt idx="165">
                  <c:v>18.295000000000002</c:v>
                </c:pt>
                <c:pt idx="166">
                  <c:v>18.391333333333336</c:v>
                </c:pt>
                <c:pt idx="167">
                  <c:v>18.487666666666666</c:v>
                </c:pt>
                <c:pt idx="168">
                  <c:v>18.584</c:v>
                </c:pt>
                <c:pt idx="169">
                  <c:v>18.680333333333333</c:v>
                </c:pt>
                <c:pt idx="170">
                  <c:v>18.776666666666667</c:v>
                </c:pt>
                <c:pt idx="171">
                  <c:v>18.873000000000001</c:v>
                </c:pt>
                <c:pt idx="172">
                  <c:v>18.969333333333331</c:v>
                </c:pt>
                <c:pt idx="173">
                  <c:v>19.065666666666665</c:v>
                </c:pt>
                <c:pt idx="174">
                  <c:v>19.161999999999999</c:v>
                </c:pt>
                <c:pt idx="175">
                  <c:v>19.258333333333333</c:v>
                </c:pt>
                <c:pt idx="176">
                  <c:v>19.354666666666667</c:v>
                </c:pt>
                <c:pt idx="177">
                  <c:v>19.451000000000001</c:v>
                </c:pt>
                <c:pt idx="178">
                  <c:v>19.547333333333334</c:v>
                </c:pt>
                <c:pt idx="179">
                  <c:v>19.643666666666668</c:v>
                </c:pt>
                <c:pt idx="180">
                  <c:v>19.739999999999998</c:v>
                </c:pt>
                <c:pt idx="181">
                  <c:v>19.836333333333332</c:v>
                </c:pt>
                <c:pt idx="182">
                  <c:v>19.932666666666666</c:v>
                </c:pt>
                <c:pt idx="183">
                  <c:v>20.029</c:v>
                </c:pt>
                <c:pt idx="184">
                  <c:v>20.125333333333334</c:v>
                </c:pt>
                <c:pt idx="185">
                  <c:v>20.221666666666668</c:v>
                </c:pt>
                <c:pt idx="186">
                  <c:v>20.318000000000001</c:v>
                </c:pt>
                <c:pt idx="187">
                  <c:v>20.414333333333332</c:v>
                </c:pt>
                <c:pt idx="188">
                  <c:v>20.510666666666665</c:v>
                </c:pt>
                <c:pt idx="189">
                  <c:v>20.606999999999999</c:v>
                </c:pt>
                <c:pt idx="190">
                  <c:v>20.703333333333333</c:v>
                </c:pt>
                <c:pt idx="191">
                  <c:v>20.799666666666667</c:v>
                </c:pt>
                <c:pt idx="192">
                  <c:v>20.896000000000001</c:v>
                </c:pt>
                <c:pt idx="193">
                  <c:v>20.992333333333335</c:v>
                </c:pt>
                <c:pt idx="194">
                  <c:v>21.088666666666665</c:v>
                </c:pt>
                <c:pt idx="195">
                  <c:v>21.184999999999999</c:v>
                </c:pt>
                <c:pt idx="196">
                  <c:v>21.281333333333333</c:v>
                </c:pt>
                <c:pt idx="197">
                  <c:v>21.377666666666666</c:v>
                </c:pt>
                <c:pt idx="198">
                  <c:v>21.474</c:v>
                </c:pt>
                <c:pt idx="199">
                  <c:v>21.570333333333334</c:v>
                </c:pt>
                <c:pt idx="200">
                  <c:v>21.666666666666668</c:v>
                </c:pt>
                <c:pt idx="201">
                  <c:v>21.763000000000002</c:v>
                </c:pt>
                <c:pt idx="202">
                  <c:v>21.859333333333332</c:v>
                </c:pt>
                <c:pt idx="203">
                  <c:v>21.955666666666666</c:v>
                </c:pt>
                <c:pt idx="204">
                  <c:v>22.052</c:v>
                </c:pt>
                <c:pt idx="205">
                  <c:v>22.148333333333333</c:v>
                </c:pt>
                <c:pt idx="206">
                  <c:v>22.244666666666667</c:v>
                </c:pt>
                <c:pt idx="207">
                  <c:v>22.341000000000001</c:v>
                </c:pt>
                <c:pt idx="208">
                  <c:v>22.437333333333335</c:v>
                </c:pt>
                <c:pt idx="209">
                  <c:v>22.533666666666665</c:v>
                </c:pt>
                <c:pt idx="210">
                  <c:v>22.63</c:v>
                </c:pt>
                <c:pt idx="211">
                  <c:v>22.726333333333333</c:v>
                </c:pt>
                <c:pt idx="212">
                  <c:v>22.822666666666667</c:v>
                </c:pt>
                <c:pt idx="213">
                  <c:v>22.919</c:v>
                </c:pt>
                <c:pt idx="214">
                  <c:v>23.015333333333334</c:v>
                </c:pt>
                <c:pt idx="215">
                  <c:v>23.111666666666668</c:v>
                </c:pt>
                <c:pt idx="216">
                  <c:v>23.207999999999998</c:v>
                </c:pt>
                <c:pt idx="217">
                  <c:v>23.304333333333332</c:v>
                </c:pt>
                <c:pt idx="218">
                  <c:v>23.400666666666666</c:v>
                </c:pt>
                <c:pt idx="219">
                  <c:v>23.497</c:v>
                </c:pt>
                <c:pt idx="220">
                  <c:v>23.593333333333334</c:v>
                </c:pt>
                <c:pt idx="221">
                  <c:v>23.689666666666668</c:v>
                </c:pt>
                <c:pt idx="222">
                  <c:v>23.786000000000001</c:v>
                </c:pt>
                <c:pt idx="223">
                  <c:v>23.882333333333335</c:v>
                </c:pt>
                <c:pt idx="224">
                  <c:v>23.978666666666665</c:v>
                </c:pt>
                <c:pt idx="225">
                  <c:v>24.074999999999999</c:v>
                </c:pt>
                <c:pt idx="226">
                  <c:v>24.171333333333333</c:v>
                </c:pt>
                <c:pt idx="227">
                  <c:v>24.267666666666667</c:v>
                </c:pt>
                <c:pt idx="228">
                  <c:v>24.364000000000001</c:v>
                </c:pt>
                <c:pt idx="229">
                  <c:v>24.460333333333335</c:v>
                </c:pt>
                <c:pt idx="230">
                  <c:v>24.556666666666668</c:v>
                </c:pt>
                <c:pt idx="231">
                  <c:v>24.652999999999999</c:v>
                </c:pt>
                <c:pt idx="232">
                  <c:v>24.749333333333333</c:v>
                </c:pt>
                <c:pt idx="233">
                  <c:v>24.845666666666666</c:v>
                </c:pt>
                <c:pt idx="234">
                  <c:v>24.942</c:v>
                </c:pt>
                <c:pt idx="235">
                  <c:v>25.038333333333334</c:v>
                </c:pt>
                <c:pt idx="236">
                  <c:v>25.134666666666668</c:v>
                </c:pt>
                <c:pt idx="237">
                  <c:v>25.231000000000002</c:v>
                </c:pt>
                <c:pt idx="238">
                  <c:v>25.327333333333332</c:v>
                </c:pt>
                <c:pt idx="239">
                  <c:v>25.423666666666666</c:v>
                </c:pt>
                <c:pt idx="240">
                  <c:v>25.52</c:v>
                </c:pt>
                <c:pt idx="241">
                  <c:v>25.616333333333333</c:v>
                </c:pt>
                <c:pt idx="242">
                  <c:v>25.712666666666667</c:v>
                </c:pt>
                <c:pt idx="243">
                  <c:v>25.809000000000001</c:v>
                </c:pt>
                <c:pt idx="244">
                  <c:v>25.905333333333335</c:v>
                </c:pt>
                <c:pt idx="245">
                  <c:v>26.001666666666669</c:v>
                </c:pt>
                <c:pt idx="246">
                  <c:v>26.097999999999999</c:v>
                </c:pt>
                <c:pt idx="247">
                  <c:v>26.194333333333333</c:v>
                </c:pt>
                <c:pt idx="248">
                  <c:v>26.290666666666667</c:v>
                </c:pt>
                <c:pt idx="249">
                  <c:v>26.387</c:v>
                </c:pt>
                <c:pt idx="250">
                  <c:v>26.483333333333334</c:v>
                </c:pt>
                <c:pt idx="251">
                  <c:v>26.579666666666668</c:v>
                </c:pt>
                <c:pt idx="252">
                  <c:v>26.676000000000002</c:v>
                </c:pt>
                <c:pt idx="253">
                  <c:v>26.772333333333332</c:v>
                </c:pt>
                <c:pt idx="254">
                  <c:v>26.868666666666666</c:v>
                </c:pt>
                <c:pt idx="255">
                  <c:v>26.965</c:v>
                </c:pt>
                <c:pt idx="256">
                  <c:v>27.061333333333334</c:v>
                </c:pt>
                <c:pt idx="257">
                  <c:v>27.157666666666668</c:v>
                </c:pt>
                <c:pt idx="258">
                  <c:v>27.254000000000001</c:v>
                </c:pt>
                <c:pt idx="259">
                  <c:v>27.350333333333335</c:v>
                </c:pt>
                <c:pt idx="260">
                  <c:v>27.446666666666665</c:v>
                </c:pt>
                <c:pt idx="261">
                  <c:v>27.542999999999999</c:v>
                </c:pt>
                <c:pt idx="262">
                  <c:v>27.639333333333333</c:v>
                </c:pt>
                <c:pt idx="263">
                  <c:v>27.735666666666667</c:v>
                </c:pt>
                <c:pt idx="264">
                  <c:v>27.832000000000001</c:v>
                </c:pt>
                <c:pt idx="265">
                  <c:v>27.928333333333335</c:v>
                </c:pt>
                <c:pt idx="266">
                  <c:v>28.024666666666668</c:v>
                </c:pt>
                <c:pt idx="267">
                  <c:v>28.120999999999999</c:v>
                </c:pt>
                <c:pt idx="268">
                  <c:v>28.217333333333332</c:v>
                </c:pt>
                <c:pt idx="269">
                  <c:v>28.313666666666666</c:v>
                </c:pt>
                <c:pt idx="270">
                  <c:v>28.41</c:v>
                </c:pt>
                <c:pt idx="271">
                  <c:v>28.506333333333334</c:v>
                </c:pt>
                <c:pt idx="272">
                  <c:v>28.602666666666668</c:v>
                </c:pt>
                <c:pt idx="273">
                  <c:v>28.699000000000002</c:v>
                </c:pt>
                <c:pt idx="274">
                  <c:v>28.795333333333335</c:v>
                </c:pt>
                <c:pt idx="275">
                  <c:v>28.891666666666666</c:v>
                </c:pt>
                <c:pt idx="276">
                  <c:v>28.988</c:v>
                </c:pt>
                <c:pt idx="277">
                  <c:v>29.084333333333333</c:v>
                </c:pt>
                <c:pt idx="278">
                  <c:v>29.180666666666667</c:v>
                </c:pt>
                <c:pt idx="279">
                  <c:v>29.277000000000001</c:v>
                </c:pt>
                <c:pt idx="280">
                  <c:v>29.373333333333335</c:v>
                </c:pt>
                <c:pt idx="281">
                  <c:v>29.469666666666669</c:v>
                </c:pt>
                <c:pt idx="282">
                  <c:v>29.565999999999999</c:v>
                </c:pt>
                <c:pt idx="283">
                  <c:v>29.662333333333333</c:v>
                </c:pt>
                <c:pt idx="284">
                  <c:v>29.758666666666667</c:v>
                </c:pt>
                <c:pt idx="285">
                  <c:v>29.855</c:v>
                </c:pt>
                <c:pt idx="286">
                  <c:v>29.951333333333334</c:v>
                </c:pt>
                <c:pt idx="287">
                  <c:v>30.047666666666668</c:v>
                </c:pt>
                <c:pt idx="288">
                  <c:v>30.144000000000002</c:v>
                </c:pt>
                <c:pt idx="289">
                  <c:v>30.240333333333332</c:v>
                </c:pt>
                <c:pt idx="290">
                  <c:v>30.336666666666666</c:v>
                </c:pt>
                <c:pt idx="291">
                  <c:v>30.433</c:v>
                </c:pt>
                <c:pt idx="292">
                  <c:v>30.529333333333334</c:v>
                </c:pt>
                <c:pt idx="293">
                  <c:v>30.625666666666667</c:v>
                </c:pt>
                <c:pt idx="294">
                  <c:v>30.722000000000001</c:v>
                </c:pt>
                <c:pt idx="295">
                  <c:v>30.818333333333335</c:v>
                </c:pt>
                <c:pt idx="296">
                  <c:v>30.914666666666669</c:v>
                </c:pt>
                <c:pt idx="297">
                  <c:v>31.010999999999999</c:v>
                </c:pt>
                <c:pt idx="298">
                  <c:v>31.107333333333333</c:v>
                </c:pt>
                <c:pt idx="299">
                  <c:v>31.203666666666667</c:v>
                </c:pt>
                <c:pt idx="300">
                  <c:v>31.3</c:v>
                </c:pt>
              </c:numCache>
            </c:numRef>
          </c:xVal>
          <c:yVal>
            <c:numRef>
              <c:f>'Fosforzuurbepaling (2)'!$U$6:$U$1006</c:f>
              <c:numCache>
                <c:formatCode>0.0000</c:formatCode>
                <c:ptCount val="1001"/>
                <c:pt idx="0">
                  <c:v>3.1923792965821454</c:v>
                </c:pt>
                <c:pt idx="1">
                  <c:v>3.2225262754457318</c:v>
                </c:pt>
                <c:pt idx="2">
                  <c:v>3.2531524224656319</c:v>
                </c:pt>
                <c:pt idx="3">
                  <c:v>3.2844135077174088</c:v>
                </c:pt>
                <c:pt idx="4">
                  <c:v>3.3164653012766245</c:v>
                </c:pt>
                <c:pt idx="5">
                  <c:v>3.3494635732188414</c:v>
                </c:pt>
                <c:pt idx="6">
                  <c:v>3.3835640936196212</c:v>
                </c:pt>
                <c:pt idx="7">
                  <c:v>3.4189226325545268</c:v>
                </c:pt>
                <c:pt idx="8">
                  <c:v>3.45569496009912</c:v>
                </c:pt>
                <c:pt idx="9">
                  <c:v>3.4940368463289633</c:v>
                </c:pt>
                <c:pt idx="10">
                  <c:v>3.5341042090915051</c:v>
                </c:pt>
                <c:pt idx="11">
                  <c:v>3.5761345993237805</c:v>
                </c:pt>
                <c:pt idx="12">
                  <c:v>3.6205825337480535</c:v>
                </c:pt>
                <c:pt idx="13">
                  <c:v>3.667938175011126</c:v>
                </c:pt>
                <c:pt idx="14">
                  <c:v>3.7186916857597989</c:v>
                </c:pt>
                <c:pt idx="15">
                  <c:v>3.7733332286408734</c:v>
                </c:pt>
                <c:pt idx="16">
                  <c:v>3.8323529663011522</c:v>
                </c:pt>
                <c:pt idx="17">
                  <c:v>3.8962410613874345</c:v>
                </c:pt>
                <c:pt idx="18">
                  <c:v>3.9654876765465232</c:v>
                </c:pt>
                <c:pt idx="19">
                  <c:v>4.0405829744252184</c:v>
                </c:pt>
                <c:pt idx="20">
                  <c:v>4.1220171176703229</c:v>
                </c:pt>
                <c:pt idx="21">
                  <c:v>4.2102802689286376</c:v>
                </c:pt>
                <c:pt idx="22">
                  <c:v>4.3058625908469637</c:v>
                </c:pt>
                <c:pt idx="23">
                  <c:v>4.4091829111406717</c:v>
                </c:pt>
                <c:pt idx="24">
                  <c:v>4.5198743407601469</c:v>
                </c:pt>
                <c:pt idx="25">
                  <c:v>4.6370830185456438</c:v>
                </c:pt>
                <c:pt idx="26">
                  <c:v>4.7599478178115788</c:v>
                </c:pt>
                <c:pt idx="27">
                  <c:v>4.887578235331465</c:v>
                </c:pt>
                <c:pt idx="28">
                  <c:v>5.0186972243166688</c:v>
                </c:pt>
                <c:pt idx="29">
                  <c:v>5.1517551550681988</c:v>
                </c:pt>
                <c:pt idx="30">
                  <c:v>5.2851966888221309</c:v>
                </c:pt>
                <c:pt idx="31">
                  <c:v>5.4173033147619511</c:v>
                </c:pt>
                <c:pt idx="32">
                  <c:v>5.5456706332884274</c:v>
                </c:pt>
                <c:pt idx="33">
                  <c:v>5.6688638744326081</c:v>
                </c:pt>
                <c:pt idx="34">
                  <c:v>5.7859319575431734</c:v>
                </c:pt>
                <c:pt idx="35">
                  <c:v>5.8959251351210193</c:v>
                </c:pt>
                <c:pt idx="36">
                  <c:v>5.9982076840949885</c:v>
                </c:pt>
                <c:pt idx="37">
                  <c:v>6.0930213006120288</c:v>
                </c:pt>
                <c:pt idx="38">
                  <c:v>6.1807597443032583</c:v>
                </c:pt>
                <c:pt idx="39">
                  <c:v>6.2618167747997973</c:v>
                </c:pt>
                <c:pt idx="40">
                  <c:v>6.3365861517327655</c:v>
                </c:pt>
                <c:pt idx="41">
                  <c:v>6.40546163473328</c:v>
                </c:pt>
                <c:pt idx="42">
                  <c:v>6.4688369834324613</c:v>
                </c:pt>
                <c:pt idx="43">
                  <c:v>6.5271059858421632</c:v>
                </c:pt>
                <c:pt idx="44">
                  <c:v>6.580681728494735</c:v>
                </c:pt>
                <c:pt idx="45">
                  <c:v>6.630030149855008</c:v>
                </c:pt>
                <c:pt idx="46">
                  <c:v>6.6756261548284295</c:v>
                </c:pt>
                <c:pt idx="47">
                  <c:v>6.7179446483204455</c:v>
                </c:pt>
                <c:pt idx="48">
                  <c:v>6.7574605352365031</c:v>
                </c:pt>
                <c:pt idx="49">
                  <c:v>6.7946487204820478</c:v>
                </c:pt>
                <c:pt idx="50">
                  <c:v>6.8299841089625284</c:v>
                </c:pt>
                <c:pt idx="51">
                  <c:v>6.8639416055833902</c:v>
                </c:pt>
                <c:pt idx="52">
                  <c:v>6.8969961152500803</c:v>
                </c:pt>
                <c:pt idx="53">
                  <c:v>6.929622542868044</c:v>
                </c:pt>
                <c:pt idx="54">
                  <c:v>6.9622842694334466</c:v>
                </c:pt>
                <c:pt idx="55">
                  <c:v>6.995223282492387</c:v>
                </c:pt>
                <c:pt idx="56">
                  <c:v>7.0284820150195442</c:v>
                </c:pt>
                <c:pt idx="57">
                  <c:v>7.06209575862907</c:v>
                </c:pt>
                <c:pt idx="58">
                  <c:v>7.0960998049351183</c:v>
                </c:pt>
                <c:pt idx="59">
                  <c:v>7.13052944555184</c:v>
                </c:pt>
                <c:pt idx="60">
                  <c:v>7.165419972093388</c:v>
                </c:pt>
                <c:pt idx="61">
                  <c:v>7.200806676173916</c:v>
                </c:pt>
                <c:pt idx="62">
                  <c:v>7.2367248494075742</c:v>
                </c:pt>
                <c:pt idx="63">
                  <c:v>7.2732097834085172</c:v>
                </c:pt>
                <c:pt idx="64">
                  <c:v>7.3102967697908952</c:v>
                </c:pt>
                <c:pt idx="65">
                  <c:v>7.3480211001688618</c:v>
                </c:pt>
                <c:pt idx="66">
                  <c:v>7.3864180661565699</c:v>
                </c:pt>
                <c:pt idx="67">
                  <c:v>7.4255229593681698</c:v>
                </c:pt>
                <c:pt idx="68">
                  <c:v>7.4653710714178168</c:v>
                </c:pt>
                <c:pt idx="69">
                  <c:v>7.505997693919662</c:v>
                </c:pt>
                <c:pt idx="70">
                  <c:v>7.5474381184878565</c:v>
                </c:pt>
                <c:pt idx="71">
                  <c:v>7.5897293027353552</c:v>
                </c:pt>
                <c:pt idx="72">
                  <c:v>7.632968685374462</c:v>
                </c:pt>
                <c:pt idx="73">
                  <c:v>7.6773298796341098</c:v>
                </c:pt>
                <c:pt idx="74">
                  <c:v>7.7229913558825949</c:v>
                </c:pt>
                <c:pt idx="75">
                  <c:v>7.7701315844882126</c:v>
                </c:pt>
                <c:pt idx="76">
                  <c:v>7.8189290358192611</c:v>
                </c:pt>
                <c:pt idx="77">
                  <c:v>7.8695621802440376</c:v>
                </c:pt>
                <c:pt idx="78">
                  <c:v>7.9222094881308367</c:v>
                </c:pt>
                <c:pt idx="79">
                  <c:v>7.9770494298479564</c:v>
                </c:pt>
                <c:pt idx="80">
                  <c:v>8.0342604757636948</c:v>
                </c:pt>
                <c:pt idx="81">
                  <c:v>8.0940210962463439</c:v>
                </c:pt>
                <c:pt idx="82">
                  <c:v>8.1565097616642053</c:v>
                </c:pt>
                <c:pt idx="83">
                  <c:v>8.2219049423855726</c:v>
                </c:pt>
                <c:pt idx="84">
                  <c:v>8.290385108778743</c:v>
                </c:pt>
                <c:pt idx="85">
                  <c:v>8.3621287312120138</c:v>
                </c:pt>
                <c:pt idx="86">
                  <c:v>8.4372985398453366</c:v>
                </c:pt>
                <c:pt idx="87">
                  <c:v>8.5157885042347168</c:v>
                </c:pt>
                <c:pt idx="88">
                  <c:v>8.5972672629311493</c:v>
                </c:pt>
                <c:pt idx="89">
                  <c:v>8.681396484867685</c:v>
                </c:pt>
                <c:pt idx="90">
                  <c:v>8.7678378389773819</c:v>
                </c:pt>
                <c:pt idx="91">
                  <c:v>8.8562375897236159</c:v>
                </c:pt>
                <c:pt idx="92">
                  <c:v>8.9460764515353244</c:v>
                </c:pt>
                <c:pt idx="93">
                  <c:v>9.0367340697614544</c:v>
                </c:pt>
                <c:pt idx="94">
                  <c:v>9.1275836274871427</c:v>
                </c:pt>
                <c:pt idx="95">
                  <c:v>9.2179945552764782</c:v>
                </c:pt>
                <c:pt idx="96">
                  <c:v>9.3073361941269699</c:v>
                </c:pt>
                <c:pt idx="97">
                  <c:v>9.3949778850361287</c:v>
                </c:pt>
                <c:pt idx="98">
                  <c:v>9.4802889690014709</c:v>
                </c:pt>
                <c:pt idx="99">
                  <c:v>9.5626387870205054</c:v>
                </c:pt>
                <c:pt idx="100">
                  <c:v>9.6413966800907431</c:v>
                </c:pt>
                <c:pt idx="101">
                  <c:v>9.7159814631417589</c:v>
                </c:pt>
                <c:pt idx="102">
                  <c:v>9.7862833627311314</c:v>
                </c:pt>
                <c:pt idx="103">
                  <c:v>9.8524537874146407</c:v>
                </c:pt>
                <c:pt idx="104">
                  <c:v>9.9146469203937428</c:v>
                </c:pt>
                <c:pt idx="105">
                  <c:v>9.9730169448698955</c:v>
                </c:pt>
                <c:pt idx="106">
                  <c:v>10.027718040838216</c:v>
                </c:pt>
                <c:pt idx="107">
                  <c:v>10.0789016520826</c:v>
                </c:pt>
                <c:pt idx="108">
                  <c:v>10.126711499914734</c:v>
                </c:pt>
                <c:pt idx="109">
                  <c:v>10.171289952971215</c:v>
                </c:pt>
                <c:pt idx="110">
                  <c:v>10.212779379888635</c:v>
                </c:pt>
                <c:pt idx="111">
                  <c:v>10.25132214930359</c:v>
                </c:pt>
                <c:pt idx="112">
                  <c:v>10.287060629852673</c:v>
                </c:pt>
                <c:pt idx="113">
                  <c:v>10.320137190172481</c:v>
                </c:pt>
                <c:pt idx="114">
                  <c:v>10.350694198899605</c:v>
                </c:pt>
                <c:pt idx="115">
                  <c:v>10.37887402467064</c:v>
                </c:pt>
                <c:pt idx="116">
                  <c:v>10.404819036122182</c:v>
                </c:pt>
                <c:pt idx="117">
                  <c:v>10.428671601890825</c:v>
                </c:pt>
                <c:pt idx="118">
                  <c:v>10.450574090613163</c:v>
                </c:pt>
                <c:pt idx="119">
                  <c:v>10.470668870925788</c:v>
                </c:pt>
                <c:pt idx="120">
                  <c:v>10.489098311465298</c:v>
                </c:pt>
                <c:pt idx="121">
                  <c:v>10.506004780868286</c:v>
                </c:pt>
                <c:pt idx="122">
                  <c:v>10.521530647771346</c:v>
                </c:pt>
                <c:pt idx="123">
                  <c:v>10.535818280811073</c:v>
                </c:pt>
                <c:pt idx="124">
                  <c:v>10.54901004862406</c:v>
                </c:pt>
                <c:pt idx="125">
                  <c:v>10.561248319846904</c:v>
                </c:pt>
                <c:pt idx="126">
                  <c:v>10.572675463116196</c:v>
                </c:pt>
                <c:pt idx="127">
                  <c:v>10.583433847068532</c:v>
                </c:pt>
                <c:pt idx="128">
                  <c:v>10.593665840340508</c:v>
                </c:pt>
                <c:pt idx="129">
                  <c:v>10.603513811568716</c:v>
                </c:pt>
                <c:pt idx="130">
                  <c:v>10.613120129389749</c:v>
                </c:pt>
                <c:pt idx="131">
                  <c:v>10.622627162440205</c:v>
                </c:pt>
                <c:pt idx="132">
                  <c:v>10.632175977719942</c:v>
                </c:pt>
                <c:pt idx="133">
                  <c:v>10.641848195571903</c:v>
                </c:pt>
                <c:pt idx="134">
                  <c:v>10.651642666344019</c:v>
                </c:pt>
                <c:pt idx="135">
                  <c:v>10.661552113294283</c:v>
                </c:pt>
                <c:pt idx="136">
                  <c:v>10.671569259680686</c:v>
                </c:pt>
                <c:pt idx="137">
                  <c:v>10.681686828761222</c:v>
                </c:pt>
                <c:pt idx="138">
                  <c:v>10.69189754379388</c:v>
                </c:pt>
                <c:pt idx="139">
                  <c:v>10.702194128036654</c:v>
                </c:pt>
                <c:pt idx="140">
                  <c:v>10.712569304747536</c:v>
                </c:pt>
                <c:pt idx="141">
                  <c:v>10.723015797184518</c:v>
                </c:pt>
                <c:pt idx="142">
                  <c:v>10.73352632860559</c:v>
                </c:pt>
                <c:pt idx="143">
                  <c:v>10.744093622268748</c:v>
                </c:pt>
                <c:pt idx="144">
                  <c:v>10.75471040143198</c:v>
                </c:pt>
                <c:pt idx="145">
                  <c:v>10.76536938935328</c:v>
                </c:pt>
                <c:pt idx="146">
                  <c:v>10.77606330929064</c:v>
                </c:pt>
                <c:pt idx="147">
                  <c:v>10.786784884502051</c:v>
                </c:pt>
                <c:pt idx="148">
                  <c:v>10.797526838245506</c:v>
                </c:pt>
                <c:pt idx="149">
                  <c:v>10.808281893778998</c:v>
                </c:pt>
                <c:pt idx="150">
                  <c:v>10.819042774360517</c:v>
                </c:pt>
                <c:pt idx="151">
                  <c:v>10.829802203248056</c:v>
                </c:pt>
                <c:pt idx="152">
                  <c:v>10.840552903699606</c:v>
                </c:pt>
                <c:pt idx="153">
                  <c:v>10.85128759897316</c:v>
                </c:pt>
                <c:pt idx="154">
                  <c:v>10.861999012326709</c:v>
                </c:pt>
                <c:pt idx="155">
                  <c:v>10.872679867018247</c:v>
                </c:pt>
                <c:pt idx="156">
                  <c:v>10.883322886305766</c:v>
                </c:pt>
                <c:pt idx="157">
                  <c:v>10.893920793447254</c:v>
                </c:pt>
                <c:pt idx="158">
                  <c:v>10.904466311700709</c:v>
                </c:pt>
                <c:pt idx="159">
                  <c:v>10.914952164324118</c:v>
                </c:pt>
                <c:pt idx="160">
                  <c:v>10.925371074575475</c:v>
                </c:pt>
                <c:pt idx="161">
                  <c:v>10.935715765712771</c:v>
                </c:pt>
                <c:pt idx="162">
                  <c:v>10.945978960994001</c:v>
                </c:pt>
                <c:pt idx="163">
                  <c:v>10.956153383677153</c:v>
                </c:pt>
                <c:pt idx="164">
                  <c:v>10.966231757020223</c:v>
                </c:pt>
                <c:pt idx="165">
                  <c:v>10.976206804281199</c:v>
                </c:pt>
                <c:pt idx="166">
                  <c:v>10.986071248718076</c:v>
                </c:pt>
                <c:pt idx="167">
                  <c:v>10.995818285770943</c:v>
                </c:pt>
                <c:pt idx="168">
                  <c:v>11.005445944433275</c:v>
                </c:pt>
                <c:pt idx="169">
                  <c:v>11.014955086655046</c:v>
                </c:pt>
                <c:pt idx="170">
                  <c:v>11.024346610288084</c:v>
                </c:pt>
                <c:pt idx="171">
                  <c:v>11.033621413184209</c:v>
                </c:pt>
                <c:pt idx="172">
                  <c:v>11.042780393195242</c:v>
                </c:pt>
                <c:pt idx="173">
                  <c:v>11.051824448173008</c:v>
                </c:pt>
                <c:pt idx="174">
                  <c:v>11.060754475969325</c:v>
                </c:pt>
                <c:pt idx="175">
                  <c:v>11.069571374436022</c:v>
                </c:pt>
                <c:pt idx="176">
                  <c:v>11.078276041424916</c:v>
                </c:pt>
                <c:pt idx="177">
                  <c:v>11.086869374787831</c:v>
                </c:pt>
                <c:pt idx="178">
                  <c:v>11.095352272376591</c:v>
                </c:pt>
                <c:pt idx="179">
                  <c:v>11.103725632043016</c:v>
                </c:pt>
                <c:pt idx="180">
                  <c:v>11.111990351638928</c:v>
                </c:pt>
                <c:pt idx="181">
                  <c:v>11.120147329016154</c:v>
                </c:pt>
                <c:pt idx="182">
                  <c:v>11.128197462026511</c:v>
                </c:pt>
                <c:pt idx="183">
                  <c:v>11.136141648521825</c:v>
                </c:pt>
                <c:pt idx="184">
                  <c:v>11.143980786353916</c:v>
                </c:pt>
                <c:pt idx="185">
                  <c:v>11.151715773374608</c:v>
                </c:pt>
                <c:pt idx="186">
                  <c:v>11.159347507435722</c:v>
                </c:pt>
                <c:pt idx="187">
                  <c:v>11.166876886389081</c:v>
                </c:pt>
                <c:pt idx="188">
                  <c:v>11.174304808086511</c:v>
                </c:pt>
                <c:pt idx="189">
                  <c:v>11.181632170379828</c:v>
                </c:pt>
                <c:pt idx="190">
                  <c:v>11.188859871120858</c:v>
                </c:pt>
                <c:pt idx="191">
                  <c:v>11.195988808161424</c:v>
                </c:pt>
                <c:pt idx="192">
                  <c:v>11.203019879353347</c:v>
                </c:pt>
                <c:pt idx="193">
                  <c:v>11.209953982548448</c:v>
                </c:pt>
                <c:pt idx="194">
                  <c:v>11.216792015598553</c:v>
                </c:pt>
                <c:pt idx="195">
                  <c:v>11.223534876355483</c:v>
                </c:pt>
                <c:pt idx="196">
                  <c:v>11.230183462671059</c:v>
                </c:pt>
                <c:pt idx="197">
                  <c:v>11.236738672397106</c:v>
                </c:pt>
                <c:pt idx="198">
                  <c:v>11.243201403385443</c:v>
                </c:pt>
                <c:pt idx="199">
                  <c:v>11.249572553487894</c:v>
                </c:pt>
                <c:pt idx="200">
                  <c:v>11.255853020556282</c:v>
                </c:pt>
                <c:pt idx="201">
                  <c:v>11.26204370244243</c:v>
                </c:pt>
                <c:pt idx="202">
                  <c:v>11.268145496998159</c:v>
                </c:pt>
                <c:pt idx="203">
                  <c:v>11.274159302075292</c:v>
                </c:pt>
                <c:pt idx="204">
                  <c:v>11.280086015525651</c:v>
                </c:pt>
                <c:pt idx="205">
                  <c:v>11.285926535201058</c:v>
                </c:pt>
                <c:pt idx="206">
                  <c:v>11.291681758953336</c:v>
                </c:pt>
                <c:pt idx="207">
                  <c:v>11.297352584634309</c:v>
                </c:pt>
                <c:pt idx="208">
                  <c:v>11.302939910095798</c:v>
                </c:pt>
                <c:pt idx="209">
                  <c:v>11.308444633189623</c:v>
                </c:pt>
                <c:pt idx="210">
                  <c:v>11.313867651767611</c:v>
                </c:pt>
                <c:pt idx="211">
                  <c:v>11.319209863681582</c:v>
                </c:pt>
                <c:pt idx="212">
                  <c:v>11.324472166783357</c:v>
                </c:pt>
                <c:pt idx="213">
                  <c:v>11.329655458924762</c:v>
                </c:pt>
                <c:pt idx="214">
                  <c:v>11.334760637957615</c:v>
                </c:pt>
                <c:pt idx="215">
                  <c:v>11.339788601733742</c:v>
                </c:pt>
                <c:pt idx="216">
                  <c:v>11.344740248104964</c:v>
                </c:pt>
                <c:pt idx="217">
                  <c:v>11.349616474923105</c:v>
                </c:pt>
                <c:pt idx="218">
                  <c:v>11.354418180039984</c:v>
                </c:pt>
                <c:pt idx="219">
                  <c:v>11.359146261307426</c:v>
                </c:pt>
                <c:pt idx="220">
                  <c:v>11.363801616577254</c:v>
                </c:pt>
                <c:pt idx="221">
                  <c:v>11.368385143701287</c:v>
                </c:pt>
                <c:pt idx="222">
                  <c:v>11.372897740531352</c:v>
                </c:pt>
                <c:pt idx="223">
                  <c:v>11.377340304919269</c:v>
                </c:pt>
                <c:pt idx="224">
                  <c:v>11.381713734716858</c:v>
                </c:pt>
                <c:pt idx="225">
                  <c:v>11.386018927775945</c:v>
                </c:pt>
                <c:pt idx="226">
                  <c:v>11.390256781948352</c:v>
                </c:pt>
                <c:pt idx="227">
                  <c:v>11.394428195085901</c:v>
                </c:pt>
                <c:pt idx="228">
                  <c:v>11.398534065040414</c:v>
                </c:pt>
                <c:pt idx="229">
                  <c:v>11.402575289663712</c:v>
                </c:pt>
                <c:pt idx="230">
                  <c:v>11.40655276680762</c:v>
                </c:pt>
                <c:pt idx="231">
                  <c:v>11.410467394323959</c:v>
                </c:pt>
                <c:pt idx="232">
                  <c:v>11.414320070064552</c:v>
                </c:pt>
                <c:pt idx="233">
                  <c:v>11.41811169188122</c:v>
                </c:pt>
                <c:pt idx="234">
                  <c:v>11.421843157625789</c:v>
                </c:pt>
                <c:pt idx="235">
                  <c:v>11.425515365150076</c:v>
                </c:pt>
                <c:pt idx="236">
                  <c:v>11.429129212305909</c:v>
                </c:pt>
                <c:pt idx="237">
                  <c:v>11.432685596945106</c:v>
                </c:pt>
                <c:pt idx="238">
                  <c:v>11.436185416919493</c:v>
                </c:pt>
                <c:pt idx="239">
                  <c:v>11.439629570080889</c:v>
                </c:pt>
                <c:pt idx="240">
                  <c:v>11.443018954281118</c:v>
                </c:pt>
                <c:pt idx="241">
                  <c:v>11.446354467372004</c:v>
                </c:pt>
                <c:pt idx="242">
                  <c:v>11.449637007205366</c:v>
                </c:pt>
                <c:pt idx="243">
                  <c:v>11.452867471633029</c:v>
                </c:pt>
                <c:pt idx="244">
                  <c:v>11.456046758506815</c:v>
                </c:pt>
                <c:pt idx="245">
                  <c:v>11.459175765678546</c:v>
                </c:pt>
                <c:pt idx="246">
                  <c:v>11.462255391000044</c:v>
                </c:pt>
                <c:pt idx="247">
                  <c:v>11.465286532323132</c:v>
                </c:pt>
                <c:pt idx="248">
                  <c:v>11.468270087499633</c:v>
                </c:pt>
                <c:pt idx="249">
                  <c:v>11.471206954381367</c:v>
                </c:pt>
                <c:pt idx="250">
                  <c:v>11.47409803082016</c:v>
                </c:pt>
                <c:pt idx="251">
                  <c:v>11.476944214667832</c:v>
                </c:pt>
                <c:pt idx="252">
                  <c:v>11.479746403776206</c:v>
                </c:pt>
                <c:pt idx="253">
                  <c:v>11.482505495997103</c:v>
                </c:pt>
                <c:pt idx="254">
                  <c:v>11.485222389182349</c:v>
                </c:pt>
                <c:pt idx="255">
                  <c:v>11.487897981183762</c:v>
                </c:pt>
                <c:pt idx="256">
                  <c:v>11.490533169853167</c:v>
                </c:pt>
                <c:pt idx="257">
                  <c:v>11.493128853042387</c:v>
                </c:pt>
                <c:pt idx="258">
                  <c:v>11.495685928603242</c:v>
                </c:pt>
                <c:pt idx="259">
                  <c:v>11.498205294387558</c:v>
                </c:pt>
                <c:pt idx="260">
                  <c:v>11.500687848247154</c:v>
                </c:pt>
                <c:pt idx="261">
                  <c:v>11.503134488033853</c:v>
                </c:pt>
                <c:pt idx="262">
                  <c:v>11.505546111599479</c:v>
                </c:pt>
                <c:pt idx="263">
                  <c:v>11.507923616795853</c:v>
                </c:pt>
                <c:pt idx="264">
                  <c:v>11.510267901474798</c:v>
                </c:pt>
                <c:pt idx="265">
                  <c:v>11.512579863488135</c:v>
                </c:pt>
                <c:pt idx="266">
                  <c:v>11.51486040068769</c:v>
                </c:pt>
                <c:pt idx="267">
                  <c:v>11.51711041092528</c:v>
                </c:pt>
                <c:pt idx="268">
                  <c:v>11.519330792052733</c:v>
                </c:pt>
                <c:pt idx="269">
                  <c:v>11.521522441921869</c:v>
                </c:pt>
                <c:pt idx="270">
                  <c:v>11.523686258384508</c:v>
                </c:pt>
                <c:pt idx="271">
                  <c:v>11.525823139292477</c:v>
                </c:pt>
                <c:pt idx="272">
                  <c:v>11.527933982497595</c:v>
                </c:pt>
                <c:pt idx="273">
                  <c:v>11.530019685851686</c:v>
                </c:pt>
                <c:pt idx="274">
                  <c:v>11.532081147206572</c:v>
                </c:pt>
                <c:pt idx="275">
                  <c:v>11.534119264414075</c:v>
                </c:pt>
                <c:pt idx="276">
                  <c:v>11.536134935326018</c:v>
                </c:pt>
                <c:pt idx="277">
                  <c:v>11.538129057794222</c:v>
                </c:pt>
                <c:pt idx="278">
                  <c:v>11.540102529670513</c:v>
                </c:pt>
                <c:pt idx="279">
                  <c:v>11.542056248806709</c:v>
                </c:pt>
                <c:pt idx="280">
                  <c:v>11.543991113054636</c:v>
                </c:pt>
                <c:pt idx="281">
                  <c:v>11.545908020266113</c:v>
                </c:pt>
                <c:pt idx="282">
                  <c:v>11.547807868292965</c:v>
                </c:pt>
                <c:pt idx="283">
                  <c:v>11.549691554987014</c:v>
                </c:pt>
                <c:pt idx="284">
                  <c:v>11.551559978200082</c:v>
                </c:pt>
                <c:pt idx="285">
                  <c:v>11.553414035783991</c:v>
                </c:pt>
                <c:pt idx="286">
                  <c:v>11.555254625590564</c:v>
                </c:pt>
                <c:pt idx="287">
                  <c:v>11.557082645471624</c:v>
                </c:pt>
                <c:pt idx="288">
                  <c:v>11.558898993278991</c:v>
                </c:pt>
                <c:pt idx="289">
                  <c:v>11.560704566864491</c:v>
                </c:pt>
                <c:pt idx="290">
                  <c:v>11.562500264079944</c:v>
                </c:pt>
                <c:pt idx="291">
                  <c:v>11.564286982777171</c:v>
                </c:pt>
                <c:pt idx="292">
                  <c:v>11.566065620807999</c:v>
                </c:pt>
                <c:pt idx="293">
                  <c:v>11.567837076024245</c:v>
                </c:pt>
                <c:pt idx="294">
                  <c:v>11.569602246277736</c:v>
                </c:pt>
                <c:pt idx="295">
                  <c:v>11.571362029420293</c:v>
                </c:pt>
                <c:pt idx="296">
                  <c:v>11.573117323303737</c:v>
                </c:pt>
                <c:pt idx="297">
                  <c:v>11.574869025779892</c:v>
                </c:pt>
                <c:pt idx="298">
                  <c:v>11.576618034700578</c:v>
                </c:pt>
                <c:pt idx="299">
                  <c:v>11.57836524791762</c:v>
                </c:pt>
                <c:pt idx="300">
                  <c:v>11.580111563282841</c:v>
                </c:pt>
              </c:numCache>
            </c:numRef>
          </c:yVal>
          <c:smooth val="1"/>
          <c:extLst>
            <c:ext xmlns:c16="http://schemas.microsoft.com/office/drawing/2014/chart" uri="{C3380CC4-5D6E-409C-BE32-E72D297353CC}">
              <c16:uniqueId val="{00000001-F888-454D-B2D1-99EBD2D3C348}"/>
            </c:ext>
          </c:extLst>
        </c:ser>
        <c:dLbls>
          <c:showLegendKey val="0"/>
          <c:showVal val="0"/>
          <c:showCatName val="0"/>
          <c:showSerName val="0"/>
          <c:showPercent val="0"/>
          <c:showBubbleSize val="0"/>
        </c:dLbls>
        <c:axId val="283981168"/>
        <c:axId val="397890896"/>
      </c:scatterChart>
      <c:valAx>
        <c:axId val="283981168"/>
        <c:scaling>
          <c:orientation val="minMax"/>
        </c:scaling>
        <c:delete val="0"/>
        <c:axPos val="b"/>
        <c:majorGridlines/>
        <c:title>
          <c:tx>
            <c:rich>
              <a:bodyPr/>
              <a:lstStyle/>
              <a:p>
                <a:pPr>
                  <a:defRPr sz="1000" b="1" i="0" u="none" strike="noStrike" baseline="0">
                    <a:solidFill>
                      <a:srgbClr val="000000"/>
                    </a:solidFill>
                    <a:latin typeface="Arial"/>
                    <a:ea typeface="Arial"/>
                    <a:cs typeface="Arial"/>
                  </a:defRPr>
                </a:pPr>
                <a:r>
                  <a:rPr lang="pt-BR"/>
                  <a:t>Volume (mL)</a:t>
                </a:r>
              </a:p>
            </c:rich>
          </c:tx>
          <c:layout>
            <c:manualLayout>
              <c:xMode val="edge"/>
              <c:yMode val="edge"/>
              <c:x val="0.464101206526504"/>
              <c:y val="0.94085707744019098"/>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nl-NL"/>
          </a:p>
        </c:txPr>
        <c:crossAx val="397890896"/>
        <c:crosses val="autoZero"/>
        <c:crossBetween val="midCat"/>
      </c:valAx>
      <c:valAx>
        <c:axId val="397890896"/>
        <c:scaling>
          <c:orientation val="minMax"/>
        </c:scaling>
        <c:delete val="0"/>
        <c:axPos val="l"/>
        <c:majorGridlines>
          <c:spPr>
            <a:ln w="3175">
              <a:solidFill>
                <a:srgbClr val="000000"/>
              </a:solidFill>
              <a:prstDash val="solid"/>
            </a:ln>
          </c:spPr>
        </c:majorGridlines>
        <c:title>
          <c:tx>
            <c:rich>
              <a:bodyPr/>
              <a:lstStyle/>
              <a:p>
                <a:pPr>
                  <a:defRPr sz="1100" b="1" i="0" u="none" strike="noStrike" baseline="0">
                    <a:solidFill>
                      <a:srgbClr val="000000"/>
                    </a:solidFill>
                    <a:latin typeface="Arial"/>
                    <a:ea typeface="Arial"/>
                    <a:cs typeface="Arial"/>
                  </a:defRPr>
                </a:pPr>
                <a:r>
                  <a:rPr lang="pt-BR"/>
                  <a:t>pH</a:t>
                </a:r>
              </a:p>
            </c:rich>
          </c:tx>
          <c:layout>
            <c:manualLayout>
              <c:xMode val="edge"/>
              <c:yMode val="edge"/>
              <c:x val="6.2736518320354404E-3"/>
              <c:y val="0.43731015274467688"/>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nl-NL"/>
          </a:p>
        </c:txPr>
        <c:crossAx val="283981168"/>
        <c:crosses val="autoZero"/>
        <c:crossBetween val="midCat"/>
      </c:valAx>
      <c:spPr>
        <a:noFill/>
        <a:ln w="12700">
          <a:solidFill>
            <a:srgbClr val="F9FCDE"/>
          </a:solidFill>
          <a:prstDash val="solid"/>
        </a:ln>
      </c:spPr>
    </c:plotArea>
    <c:legend>
      <c:legendPos val="r"/>
      <c:layout>
        <c:manualLayout>
          <c:xMode val="edge"/>
          <c:yMode val="edge"/>
          <c:x val="0.10627003822648158"/>
          <c:y val="1.5290506634042321E-2"/>
          <c:w val="0.45564578843050374"/>
          <c:h val="6.1162400571488224E-2"/>
        </c:manualLayout>
      </c:layout>
      <c:overlay val="0"/>
      <c:spPr>
        <a:solidFill>
          <a:srgbClr val="FFFFFF"/>
        </a:solidFill>
        <a:ln w="3175">
          <a:solidFill>
            <a:srgbClr val="000000"/>
          </a:solidFill>
          <a:prstDash val="solid"/>
        </a:ln>
      </c:spPr>
      <c:txPr>
        <a:bodyPr/>
        <a:lstStyle/>
        <a:p>
          <a:pPr>
            <a:defRPr sz="780" b="0" i="0" u="none" strike="noStrike" baseline="0">
              <a:solidFill>
                <a:srgbClr val="000000"/>
              </a:solidFill>
              <a:latin typeface="Arial"/>
              <a:ea typeface="Arial"/>
              <a:cs typeface="Arial"/>
            </a:defRPr>
          </a:pPr>
          <a:endParaRPr lang="nl-NL"/>
        </a:p>
      </c:txPr>
    </c:legend>
    <c:plotVisOnly val="1"/>
    <c:dispBlanksAs val="gap"/>
    <c:showDLblsOverMax val="0"/>
  </c:chart>
  <c:spPr>
    <a:solidFill>
      <a:srgbClr val="FFFFFF"/>
    </a:solidFill>
    <a:ln w="3175">
      <a:solidFill>
        <a:srgbClr val="000000"/>
      </a:solidFill>
      <a:prstDash val="solid"/>
    </a:ln>
  </c:spPr>
  <c:txPr>
    <a:bodyPr/>
    <a:lstStyle/>
    <a:p>
      <a:pPr>
        <a:defRPr sz="950" b="0" i="0" u="none" strike="noStrike" baseline="0">
          <a:solidFill>
            <a:srgbClr val="000000"/>
          </a:solidFill>
          <a:latin typeface="Arial"/>
          <a:ea typeface="Arial"/>
          <a:cs typeface="Arial"/>
        </a:defRPr>
      </a:pPr>
      <a:endParaRPr lang="nl-NL"/>
    </a:p>
  </c:txPr>
  <c:printSettings>
    <c:headerFooter alignWithMargins="0"/>
    <c:pageMargins b="0.98425196899999956" l="0.78740157499999996" r="0.78740157499999996" t="0.98425196899999956" header="0.49212598500001148" footer="0.49212598500001148"/>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75" b="0" i="0" u="none" strike="noStrike" baseline="0">
                <a:solidFill>
                  <a:srgbClr val="000000"/>
                </a:solidFill>
                <a:latin typeface="Arial"/>
                <a:ea typeface="Arial"/>
                <a:cs typeface="Arial"/>
              </a:defRPr>
            </a:pPr>
            <a:r>
              <a:rPr lang="pt-BR" sz="1200" b="1" i="0" strike="noStrike">
                <a:solidFill>
                  <a:srgbClr val="000000"/>
                </a:solidFill>
                <a:latin typeface="Arial"/>
                <a:cs typeface="Arial"/>
              </a:rPr>
              <a:t>T</a:t>
            </a:r>
            <a:r>
              <a:rPr lang="pt-BR" sz="1100" b="1" i="0" strike="noStrike">
                <a:solidFill>
                  <a:srgbClr val="000000"/>
                </a:solidFill>
                <a:latin typeface="Arial"/>
                <a:cs typeface="Arial"/>
              </a:rPr>
              <a:t>itration with 0.100 mol/L NaOH  of 20.0 mL</a:t>
            </a:r>
          </a:p>
          <a:p>
            <a:pPr>
              <a:defRPr sz="1075" b="0" i="0" u="none" strike="noStrike" baseline="0">
                <a:solidFill>
                  <a:srgbClr val="000000"/>
                </a:solidFill>
                <a:latin typeface="Arial"/>
                <a:ea typeface="Arial"/>
                <a:cs typeface="Arial"/>
              </a:defRPr>
            </a:pPr>
            <a:r>
              <a:rPr lang="pt-BR" sz="1100" b="1" i="0" strike="noStrike">
                <a:solidFill>
                  <a:srgbClr val="000000"/>
                </a:solidFill>
                <a:latin typeface="Arial"/>
                <a:cs typeface="Arial"/>
              </a:rPr>
              <a:t>of a mixture of 0.0250 mol/L citric acid</a:t>
            </a:r>
          </a:p>
          <a:p>
            <a:pPr>
              <a:defRPr sz="1075" b="0" i="0" u="none" strike="noStrike" baseline="0">
                <a:solidFill>
                  <a:srgbClr val="000000"/>
                </a:solidFill>
                <a:latin typeface="Arial"/>
                <a:ea typeface="Arial"/>
                <a:cs typeface="Arial"/>
              </a:defRPr>
            </a:pPr>
            <a:r>
              <a:rPr lang="pt-BR" sz="1100" b="1" i="0" strike="noStrike">
                <a:solidFill>
                  <a:srgbClr val="000000"/>
                </a:solidFill>
                <a:latin typeface="Arial"/>
                <a:cs typeface="Arial"/>
              </a:rPr>
              <a:t>and 0.0350 mol/L glycine</a:t>
            </a:r>
            <a:endParaRPr lang="pt-BR" sz="1100" b="0" i="0" strike="noStrike">
              <a:solidFill>
                <a:srgbClr val="000000"/>
              </a:solidFill>
              <a:latin typeface="Arial"/>
              <a:cs typeface="Arial"/>
            </a:endParaRPr>
          </a:p>
          <a:p>
            <a:pPr>
              <a:defRPr sz="1075" b="0" i="0" u="none" strike="noStrike" baseline="0">
                <a:solidFill>
                  <a:srgbClr val="000000"/>
                </a:solidFill>
                <a:latin typeface="Arial"/>
                <a:ea typeface="Arial"/>
                <a:cs typeface="Arial"/>
              </a:defRPr>
            </a:pPr>
            <a:r>
              <a:rPr lang="pt-BR" sz="1100" b="0" i="0" strike="noStrike">
                <a:solidFill>
                  <a:srgbClr val="000000"/>
                </a:solidFill>
                <a:latin typeface="Arial"/>
                <a:cs typeface="Arial"/>
              </a:rPr>
              <a:t>(sVol=0.02; spH=0.02)</a:t>
            </a:r>
          </a:p>
        </c:rich>
      </c:tx>
      <c:layout>
        <c:manualLayout>
          <c:xMode val="edge"/>
          <c:yMode val="edge"/>
          <c:x val="8.9454458430837672E-2"/>
          <c:y val="6.6758590856247732E-2"/>
        </c:manualLayout>
      </c:layout>
      <c:overlay val="0"/>
      <c:spPr>
        <a:noFill/>
        <a:ln w="25400">
          <a:noFill/>
        </a:ln>
      </c:spPr>
    </c:title>
    <c:autoTitleDeleted val="0"/>
    <c:plotArea>
      <c:layout>
        <c:manualLayout>
          <c:layoutTarget val="inner"/>
          <c:xMode val="edge"/>
          <c:yMode val="edge"/>
          <c:x val="7.412958552448172E-2"/>
          <c:y val="5.2009576337120333E-2"/>
          <c:w val="0.89990105867346315"/>
          <c:h val="0.8203328631354887"/>
        </c:manualLayout>
      </c:layout>
      <c:scatterChart>
        <c:scatterStyle val="smoothMarker"/>
        <c:varyColors val="0"/>
        <c:ser>
          <c:idx val="0"/>
          <c:order val="0"/>
          <c:tx>
            <c:v>Curva de Titulação</c:v>
          </c:tx>
          <c:spPr>
            <a:ln w="12700">
              <a:solidFill>
                <a:srgbClr val="09007E"/>
              </a:solidFill>
              <a:prstDash val="solid"/>
            </a:ln>
          </c:spPr>
          <c:marker>
            <c:symbol val="diamond"/>
            <c:size val="6"/>
            <c:spPr>
              <a:solidFill>
                <a:srgbClr val="09007E"/>
              </a:solidFill>
              <a:ln>
                <a:solidFill>
                  <a:srgbClr val="09007E"/>
                </a:solidFill>
                <a:prstDash val="solid"/>
              </a:ln>
            </c:spPr>
          </c:marker>
          <c:xVal>
            <c:numRef>
              <c:f>Regression!$A$41:$A$162</c:f>
              <c:numCache>
                <c:formatCode>0.000</c:formatCode>
                <c:ptCount val="122"/>
                <c:pt idx="0">
                  <c:v>0</c:v>
                </c:pt>
                <c:pt idx="1">
                  <c:v>0.87795368308434263</c:v>
                </c:pt>
                <c:pt idx="2">
                  <c:v>1.6979725172859617</c:v>
                </c:pt>
                <c:pt idx="3">
                  <c:v>2.4511264302418567</c:v>
                </c:pt>
                <c:pt idx="4">
                  <c:v>3.1349450364359654</c:v>
                </c:pt>
                <c:pt idx="5">
                  <c:v>3.7547393163549714</c:v>
                </c:pt>
                <c:pt idx="6">
                  <c:v>4.3231222967733629</c:v>
                </c:pt>
                <c:pt idx="7">
                  <c:v>4.8577314577414654</c:v>
                </c:pt>
                <c:pt idx="8">
                  <c:v>5.3776574277435429</c:v>
                </c:pt>
                <c:pt idx="9">
                  <c:v>5.8992317426600493</c:v>
                </c:pt>
                <c:pt idx="10">
                  <c:v>6.4320653895265423</c:v>
                </c:pt>
                <c:pt idx="11">
                  <c:v>6.9767121531185694</c:v>
                </c:pt>
                <c:pt idx="12">
                  <c:v>7.5253937233355828</c:v>
                </c:pt>
                <c:pt idx="13">
                  <c:v>8.0660327701480128</c:v>
                </c:pt>
                <c:pt idx="14">
                  <c:v>8.5878766272799112</c:v>
                </c:pt>
                <c:pt idx="15">
                  <c:v>9.0860306183458306</c:v>
                </c:pt>
                <c:pt idx="16">
                  <c:v>9.5631117394077592</c:v>
                </c:pt>
                <c:pt idx="17">
                  <c:v>10.027885822637472</c:v>
                </c:pt>
                <c:pt idx="18">
                  <c:v>10.491771616216283</c:v>
                </c:pt>
                <c:pt idx="19">
                  <c:v>10.964314219017979</c:v>
                </c:pt>
                <c:pt idx="20">
                  <c:v>11.448833580652718</c:v>
                </c:pt>
                <c:pt idx="21">
                  <c:v>11.939793326018844</c:v>
                </c:pt>
                <c:pt idx="22">
                  <c:v>12.423383911664132</c:v>
                </c:pt>
                <c:pt idx="23">
                  <c:v>12.881495391775388</c:v>
                </c:pt>
                <c:pt idx="24">
                  <c:v>13.297209756274242</c:v>
                </c:pt>
                <c:pt idx="25">
                  <c:v>13.659096746414434</c:v>
                </c:pt>
                <c:pt idx="26">
                  <c:v>13.962769800855312</c:v>
                </c:pt>
                <c:pt idx="27">
                  <c:v>14.210002183972392</c:v>
                </c:pt>
                <c:pt idx="28">
                  <c:v>14.406663844420109</c:v>
                </c:pt>
                <c:pt idx="29">
                  <c:v>14.560617950337473</c:v>
                </c:pt>
                <c:pt idx="30">
                  <c:v>14.680155283713248</c:v>
                </c:pt>
                <c:pt idx="31">
                  <c:v>14.773074111144524</c:v>
                </c:pt>
                <c:pt idx="32">
                  <c:v>14.84628180769505</c:v>
                </c:pt>
                <c:pt idx="33">
                  <c:v>14.905741201073397</c:v>
                </c:pt>
                <c:pt idx="34">
                  <c:v>14.956614199036267</c:v>
                </c:pt>
                <c:pt idx="35">
                  <c:v>15.003504943160806</c:v>
                </c:pt>
                <c:pt idx="36">
                  <c:v>15.050747345958371</c:v>
                </c:pt>
                <c:pt idx="37">
                  <c:v>15.102709837083239</c:v>
                </c:pt>
                <c:pt idx="38">
                  <c:v>15.16410350886872</c:v>
                </c:pt>
                <c:pt idx="39">
                  <c:v>15.240280378202442</c:v>
                </c:pt>
                <c:pt idx="40">
                  <c:v>15.337496060237754</c:v>
                </c:pt>
                <c:pt idx="41">
                  <c:v>15.463084501971025</c:v>
                </c:pt>
                <c:pt idx="42">
                  <c:v>15.625451547384728</c:v>
                </c:pt>
                <c:pt idx="43">
                  <c:v>15.83374493784504</c:v>
                </c:pt>
                <c:pt idx="44">
                  <c:v>16.097023374459241</c:v>
                </c:pt>
                <c:pt idx="45">
                  <c:v>16.422776044055354</c:v>
                </c:pt>
                <c:pt idx="46">
                  <c:v>16.814808531489689</c:v>
                </c:pt>
                <c:pt idx="47">
                  <c:v>17.270861055294517</c:v>
                </c:pt>
                <c:pt idx="48">
                  <c:v>17.780781710462179</c:v>
                </c:pt>
                <c:pt idx="49">
                  <c:v>18.326342337240931</c:v>
                </c:pt>
                <c:pt idx="50">
                  <c:v>18.883451000147033</c:v>
                </c:pt>
                <c:pt idx="51">
                  <c:v>19.426484357973095</c:v>
                </c:pt>
                <c:pt idx="52">
                  <c:v>19.933300970296841</c:v>
                </c:pt>
                <c:pt idx="53">
                  <c:v>20.389101548062172</c:v>
                </c:pt>
                <c:pt idx="54">
                  <c:v>20.788013354467694</c:v>
                </c:pt>
                <c:pt idx="55">
                  <c:v>21.132498390215915</c:v>
                </c:pt>
                <c:pt idx="56">
                  <c:v>21.431539957120549</c:v>
                </c:pt>
                <c:pt idx="57">
                  <c:v>21.698694249789696</c:v>
                </c:pt>
                <c:pt idx="58">
                  <c:v>21.950749414099846</c:v>
                </c:pt>
                <c:pt idx="59">
                  <c:v>22.207322194299195</c:v>
                </c:pt>
                <c:pt idx="60">
                  <c:v>22.491481258475687</c:v>
                </c:pt>
                <c:pt idx="61">
                  <c:v>22.831461780879181</c:v>
                </c:pt>
                <c:pt idx="62">
                  <c:v>23.263700974348467</c:v>
                </c:pt>
                <c:pt idx="63">
                  <c:v>23.837788712990005</c:v>
                </c:pt>
                <c:pt idx="64">
                  <c:v>24.624625903379638</c:v>
                </c:pt>
                <c:pt idx="65">
                  <c:v>25.730517484771553</c:v>
                </c:pt>
                <c:pt idx="66">
                  <c:v>27.32318145717727</c:v>
                </c:pt>
                <c:pt idx="67">
                  <c:v>29.683852127345745</c:v>
                </c:pt>
                <c:pt idx="68">
                  <c:v>33.322947287524585</c:v>
                </c:pt>
                <c:pt idx="69">
                  <c:v>39.274074586865027</c:v>
                </c:pt>
                <c:pt idx="70">
                  <c:v>49.999999995634425</c:v>
                </c:pt>
              </c:numCache>
            </c:numRef>
          </c:xVal>
          <c:yVal>
            <c:numRef>
              <c:f>Regression!$B$41:$B$162</c:f>
              <c:numCache>
                <c:formatCode>0.0000</c:formatCode>
                <c:ptCount val="122"/>
                <c:pt idx="0">
                  <c:v>2.9292395076433086</c:v>
                </c:pt>
                <c:pt idx="1">
                  <c:v>3.0242592277261426</c:v>
                </c:pt>
                <c:pt idx="2">
                  <c:v>3.1255907235298888</c:v>
                </c:pt>
                <c:pt idx="3">
                  <c:v>3.2933397359810788</c:v>
                </c:pt>
                <c:pt idx="4">
                  <c:v>3.4516660766305347</c:v>
                </c:pt>
                <c:pt idx="5">
                  <c:v>3.5879686920942295</c:v>
                </c:pt>
                <c:pt idx="6">
                  <c:v>3.6873442574627857</c:v>
                </c:pt>
                <c:pt idx="7">
                  <c:v>3.8579930711773232</c:v>
                </c:pt>
                <c:pt idx="8">
                  <c:v>4.0025701700123921</c:v>
                </c:pt>
                <c:pt idx="9">
                  <c:v>4.126329174600178</c:v>
                </c:pt>
                <c:pt idx="10">
                  <c:v>4.2904112158044843</c:v>
                </c:pt>
                <c:pt idx="11">
                  <c:v>4.4092143226863287</c:v>
                </c:pt>
                <c:pt idx="12">
                  <c:v>4.5311235098191993</c:v>
                </c:pt>
                <c:pt idx="13">
                  <c:v>4.666521685185482</c:v>
                </c:pt>
                <c:pt idx="14">
                  <c:v>4.8585299434066762</c:v>
                </c:pt>
                <c:pt idx="15">
                  <c:v>4.9485936682870735</c:v>
                </c:pt>
                <c:pt idx="16">
                  <c:v>5.160995920721752</c:v>
                </c:pt>
                <c:pt idx="17">
                  <c:v>5.2320278461258294</c:v>
                </c:pt>
                <c:pt idx="18">
                  <c:v>5.4014090132506976</c:v>
                </c:pt>
                <c:pt idx="19">
                  <c:v>5.520561666922843</c:v>
                </c:pt>
                <c:pt idx="20">
                  <c:v>5.6553593662136379</c:v>
                </c:pt>
                <c:pt idx="21">
                  <c:v>5.7817578076145644</c:v>
                </c:pt>
                <c:pt idx="22">
                  <c:v>5.9118777988780709</c:v>
                </c:pt>
                <c:pt idx="23">
                  <c:v>6.0577402761172214</c:v>
                </c:pt>
                <c:pt idx="24">
                  <c:v>6.1770905069722941</c:v>
                </c:pt>
                <c:pt idx="25">
                  <c:v>6.4149534237326344</c:v>
                </c:pt>
                <c:pt idx="26">
                  <c:v>6.4769112381131961</c:v>
                </c:pt>
                <c:pt idx="27">
                  <c:v>6.6273230229128508</c:v>
                </c:pt>
                <c:pt idx="28">
                  <c:v>6.7758363854579944</c:v>
                </c:pt>
                <c:pt idx="29">
                  <c:v>6.9239615864208544</c:v>
                </c:pt>
                <c:pt idx="30">
                  <c:v>7.0654141329579554</c:v>
                </c:pt>
                <c:pt idx="31">
                  <c:v>7.1705109682570018</c:v>
                </c:pt>
                <c:pt idx="32">
                  <c:v>7.335126270298276</c:v>
                </c:pt>
                <c:pt idx="33">
                  <c:v>7.4488420585508965</c:v>
                </c:pt>
                <c:pt idx="34">
                  <c:v>7.6457454612215425</c:v>
                </c:pt>
                <c:pt idx="35">
                  <c:v>7.7642439426149625</c:v>
                </c:pt>
                <c:pt idx="36">
                  <c:v>7.8785707528177369</c:v>
                </c:pt>
                <c:pt idx="37">
                  <c:v>8.0312312097087091</c:v>
                </c:pt>
                <c:pt idx="38">
                  <c:v>8.1354884830845489</c:v>
                </c:pt>
                <c:pt idx="39">
                  <c:v>8.2851109395244986</c:v>
                </c:pt>
                <c:pt idx="40">
                  <c:v>8.4163256715274422</c:v>
                </c:pt>
                <c:pt idx="41">
                  <c:v>8.5162795307449155</c:v>
                </c:pt>
                <c:pt idx="42">
                  <c:v>8.7111918529670387</c:v>
                </c:pt>
                <c:pt idx="43">
                  <c:v>8.8076140254745106</c:v>
                </c:pt>
                <c:pt idx="44">
                  <c:v>8.9355029984547709</c:v>
                </c:pt>
                <c:pt idx="45">
                  <c:v>9.0741280413936671</c:v>
                </c:pt>
                <c:pt idx="46">
                  <c:v>9.2161862707342443</c:v>
                </c:pt>
                <c:pt idx="47">
                  <c:v>9.3747626213641411</c:v>
                </c:pt>
                <c:pt idx="48">
                  <c:v>9.4781753820591188</c:v>
                </c:pt>
                <c:pt idx="49">
                  <c:v>9.6143446978506706</c:v>
                </c:pt>
                <c:pt idx="50">
                  <c:v>9.7396602970849475</c:v>
                </c:pt>
                <c:pt idx="51">
                  <c:v>9.9258049194563522</c:v>
                </c:pt>
                <c:pt idx="52">
                  <c:v>10.031987109556535</c:v>
                </c:pt>
                <c:pt idx="53">
                  <c:v>10.202887247648615</c:v>
                </c:pt>
                <c:pt idx="54">
                  <c:v>10.290634401448534</c:v>
                </c:pt>
                <c:pt idx="55">
                  <c:v>10.417895616528499</c:v>
                </c:pt>
                <c:pt idx="56">
                  <c:v>10.55434135139315</c:v>
                </c:pt>
                <c:pt idx="57">
                  <c:v>10.734422648245941</c:v>
                </c:pt>
                <c:pt idx="58">
                  <c:v>10.868167724032876</c:v>
                </c:pt>
                <c:pt idx="59">
                  <c:v>10.981642393549766</c:v>
                </c:pt>
                <c:pt idx="60">
                  <c:v>11.110603281563485</c:v>
                </c:pt>
                <c:pt idx="61">
                  <c:v>11.272657863965625</c:v>
                </c:pt>
                <c:pt idx="62">
                  <c:v>11.418746344965863</c:v>
                </c:pt>
                <c:pt idx="63">
                  <c:v>11.544600449625474</c:v>
                </c:pt>
                <c:pt idx="64">
                  <c:v>11.716381262755226</c:v>
                </c:pt>
                <c:pt idx="65">
                  <c:v>11.841987918362173</c:v>
                </c:pt>
                <c:pt idx="66">
                  <c:v>11.928379050320729</c:v>
                </c:pt>
                <c:pt idx="67">
                  <c:v>12.047820911462628</c:v>
                </c:pt>
                <c:pt idx="68">
                  <c:v>12.227039328612095</c:v>
                </c:pt>
                <c:pt idx="69">
                  <c:v>12.340699770716011</c:v>
                </c:pt>
                <c:pt idx="70">
                  <c:v>12.504307661022999</c:v>
                </c:pt>
              </c:numCache>
            </c:numRef>
          </c:yVal>
          <c:smooth val="1"/>
          <c:extLst>
            <c:ext xmlns:c16="http://schemas.microsoft.com/office/drawing/2014/chart" uri="{C3380CC4-5D6E-409C-BE32-E72D297353CC}">
              <c16:uniqueId val="{00000000-EC38-47BD-8335-FCAA4C6B34A2}"/>
            </c:ext>
          </c:extLst>
        </c:ser>
        <c:ser>
          <c:idx val="1"/>
          <c:order val="1"/>
          <c:tx>
            <c:v>pHs_ajustados</c:v>
          </c:tx>
          <c:spPr>
            <a:ln w="12700">
              <a:solidFill>
                <a:srgbClr val="FF0000"/>
              </a:solidFill>
              <a:prstDash val="solid"/>
            </a:ln>
          </c:spPr>
          <c:marker>
            <c:symbol val="circle"/>
            <c:size val="3"/>
            <c:spPr>
              <a:solidFill>
                <a:srgbClr val="FFFF99"/>
              </a:solidFill>
              <a:ln>
                <a:solidFill>
                  <a:srgbClr val="FF0000"/>
                </a:solidFill>
                <a:prstDash val="solid"/>
              </a:ln>
            </c:spPr>
          </c:marker>
          <c:xVal>
            <c:numRef>
              <c:f>Regression!$A$41:$A$162</c:f>
              <c:numCache>
                <c:formatCode>0.000</c:formatCode>
                <c:ptCount val="122"/>
                <c:pt idx="0">
                  <c:v>0</c:v>
                </c:pt>
                <c:pt idx="1">
                  <c:v>0.87795368308434263</c:v>
                </c:pt>
                <c:pt idx="2">
                  <c:v>1.6979725172859617</c:v>
                </c:pt>
                <c:pt idx="3">
                  <c:v>2.4511264302418567</c:v>
                </c:pt>
                <c:pt idx="4">
                  <c:v>3.1349450364359654</c:v>
                </c:pt>
                <c:pt idx="5">
                  <c:v>3.7547393163549714</c:v>
                </c:pt>
                <c:pt idx="6">
                  <c:v>4.3231222967733629</c:v>
                </c:pt>
                <c:pt idx="7">
                  <c:v>4.8577314577414654</c:v>
                </c:pt>
                <c:pt idx="8">
                  <c:v>5.3776574277435429</c:v>
                </c:pt>
                <c:pt idx="9">
                  <c:v>5.8992317426600493</c:v>
                </c:pt>
                <c:pt idx="10">
                  <c:v>6.4320653895265423</c:v>
                </c:pt>
                <c:pt idx="11">
                  <c:v>6.9767121531185694</c:v>
                </c:pt>
                <c:pt idx="12">
                  <c:v>7.5253937233355828</c:v>
                </c:pt>
                <c:pt idx="13">
                  <c:v>8.0660327701480128</c:v>
                </c:pt>
                <c:pt idx="14">
                  <c:v>8.5878766272799112</c:v>
                </c:pt>
                <c:pt idx="15">
                  <c:v>9.0860306183458306</c:v>
                </c:pt>
                <c:pt idx="16">
                  <c:v>9.5631117394077592</c:v>
                </c:pt>
                <c:pt idx="17">
                  <c:v>10.027885822637472</c:v>
                </c:pt>
                <c:pt idx="18">
                  <c:v>10.491771616216283</c:v>
                </c:pt>
                <c:pt idx="19">
                  <c:v>10.964314219017979</c:v>
                </c:pt>
                <c:pt idx="20">
                  <c:v>11.448833580652718</c:v>
                </c:pt>
                <c:pt idx="21">
                  <c:v>11.939793326018844</c:v>
                </c:pt>
                <c:pt idx="22">
                  <c:v>12.423383911664132</c:v>
                </c:pt>
                <c:pt idx="23">
                  <c:v>12.881495391775388</c:v>
                </c:pt>
                <c:pt idx="24">
                  <c:v>13.297209756274242</c:v>
                </c:pt>
                <c:pt idx="25">
                  <c:v>13.659096746414434</c:v>
                </c:pt>
                <c:pt idx="26">
                  <c:v>13.962769800855312</c:v>
                </c:pt>
                <c:pt idx="27">
                  <c:v>14.210002183972392</c:v>
                </c:pt>
                <c:pt idx="28">
                  <c:v>14.406663844420109</c:v>
                </c:pt>
                <c:pt idx="29">
                  <c:v>14.560617950337473</c:v>
                </c:pt>
                <c:pt idx="30">
                  <c:v>14.680155283713248</c:v>
                </c:pt>
                <c:pt idx="31">
                  <c:v>14.773074111144524</c:v>
                </c:pt>
                <c:pt idx="32">
                  <c:v>14.84628180769505</c:v>
                </c:pt>
                <c:pt idx="33">
                  <c:v>14.905741201073397</c:v>
                </c:pt>
                <c:pt idx="34">
                  <c:v>14.956614199036267</c:v>
                </c:pt>
                <c:pt idx="35">
                  <c:v>15.003504943160806</c:v>
                </c:pt>
                <c:pt idx="36">
                  <c:v>15.050747345958371</c:v>
                </c:pt>
                <c:pt idx="37">
                  <c:v>15.102709837083239</c:v>
                </c:pt>
                <c:pt idx="38">
                  <c:v>15.16410350886872</c:v>
                </c:pt>
                <c:pt idx="39">
                  <c:v>15.240280378202442</c:v>
                </c:pt>
                <c:pt idx="40">
                  <c:v>15.337496060237754</c:v>
                </c:pt>
                <c:pt idx="41">
                  <c:v>15.463084501971025</c:v>
                </c:pt>
                <c:pt idx="42">
                  <c:v>15.625451547384728</c:v>
                </c:pt>
                <c:pt idx="43">
                  <c:v>15.83374493784504</c:v>
                </c:pt>
                <c:pt idx="44">
                  <c:v>16.097023374459241</c:v>
                </c:pt>
                <c:pt idx="45">
                  <c:v>16.422776044055354</c:v>
                </c:pt>
                <c:pt idx="46">
                  <c:v>16.814808531489689</c:v>
                </c:pt>
                <c:pt idx="47">
                  <c:v>17.270861055294517</c:v>
                </c:pt>
                <c:pt idx="48">
                  <c:v>17.780781710462179</c:v>
                </c:pt>
                <c:pt idx="49">
                  <c:v>18.326342337240931</c:v>
                </c:pt>
                <c:pt idx="50">
                  <c:v>18.883451000147033</c:v>
                </c:pt>
                <c:pt idx="51">
                  <c:v>19.426484357973095</c:v>
                </c:pt>
                <c:pt idx="52">
                  <c:v>19.933300970296841</c:v>
                </c:pt>
                <c:pt idx="53">
                  <c:v>20.389101548062172</c:v>
                </c:pt>
                <c:pt idx="54">
                  <c:v>20.788013354467694</c:v>
                </c:pt>
                <c:pt idx="55">
                  <c:v>21.132498390215915</c:v>
                </c:pt>
                <c:pt idx="56">
                  <c:v>21.431539957120549</c:v>
                </c:pt>
                <c:pt idx="57">
                  <c:v>21.698694249789696</c:v>
                </c:pt>
                <c:pt idx="58">
                  <c:v>21.950749414099846</c:v>
                </c:pt>
                <c:pt idx="59">
                  <c:v>22.207322194299195</c:v>
                </c:pt>
                <c:pt idx="60">
                  <c:v>22.491481258475687</c:v>
                </c:pt>
                <c:pt idx="61">
                  <c:v>22.831461780879181</c:v>
                </c:pt>
                <c:pt idx="62">
                  <c:v>23.263700974348467</c:v>
                </c:pt>
                <c:pt idx="63">
                  <c:v>23.837788712990005</c:v>
                </c:pt>
                <c:pt idx="64">
                  <c:v>24.624625903379638</c:v>
                </c:pt>
                <c:pt idx="65">
                  <c:v>25.730517484771553</c:v>
                </c:pt>
                <c:pt idx="66">
                  <c:v>27.32318145717727</c:v>
                </c:pt>
                <c:pt idx="67">
                  <c:v>29.683852127345745</c:v>
                </c:pt>
                <c:pt idx="68">
                  <c:v>33.322947287524585</c:v>
                </c:pt>
                <c:pt idx="69">
                  <c:v>39.274074586865027</c:v>
                </c:pt>
                <c:pt idx="70">
                  <c:v>49.999999995634425</c:v>
                </c:pt>
              </c:numCache>
            </c:numRef>
          </c:xVal>
          <c:yVal>
            <c:numRef>
              <c:f>Regression!$C$41:$C$162</c:f>
              <c:numCache>
                <c:formatCode>0.0000</c:formatCode>
                <c:ptCount val="122"/>
                <c:pt idx="0">
                  <c:v>2.8861618041992188</c:v>
                </c:pt>
                <c:pt idx="1">
                  <c:v>3.0255355834960938</c:v>
                </c:pt>
                <c:pt idx="2">
                  <c:v>3.1648178100585938</c:v>
                </c:pt>
                <c:pt idx="3">
                  <c:v>3.3038558959960938</c:v>
                </c:pt>
                <c:pt idx="4">
                  <c:v>3.4426345825195313</c:v>
                </c:pt>
                <c:pt idx="5">
                  <c:v>3.5813674926757813</c:v>
                </c:pt>
                <c:pt idx="6">
                  <c:v>3.7205734252929688</c:v>
                </c:pt>
                <c:pt idx="7">
                  <c:v>3.8588485717773438</c:v>
                </c:pt>
                <c:pt idx="8">
                  <c:v>3.9975051879882813</c:v>
                </c:pt>
                <c:pt idx="9">
                  <c:v>4.1369247436523438</c:v>
                </c:pt>
                <c:pt idx="10">
                  <c:v>4.2750167846679688</c:v>
                </c:pt>
                <c:pt idx="11">
                  <c:v>4.4148788452148438</c:v>
                </c:pt>
                <c:pt idx="12">
                  <c:v>4.5546188354492188</c:v>
                </c:pt>
                <c:pt idx="13">
                  <c:v>4.6936111450195313</c:v>
                </c:pt>
                <c:pt idx="14">
                  <c:v>4.8298263549804688</c:v>
                </c:pt>
                <c:pt idx="15">
                  <c:v>4.9705123901367188</c:v>
                </c:pt>
                <c:pt idx="16">
                  <c:v>5.1053695678710938</c:v>
                </c:pt>
                <c:pt idx="17">
                  <c:v>5.2468643188476563</c:v>
                </c:pt>
                <c:pt idx="18">
                  <c:v>5.3834457397460938</c:v>
                </c:pt>
                <c:pt idx="19">
                  <c:v>5.5227127075195313</c:v>
                </c:pt>
                <c:pt idx="20">
                  <c:v>5.6611404418945313</c:v>
                </c:pt>
                <c:pt idx="21">
                  <c:v>5.8000106811523438</c:v>
                </c:pt>
                <c:pt idx="22">
                  <c:v>5.9385147094726563</c:v>
                </c:pt>
                <c:pt idx="23">
                  <c:v>6.0759658813476563</c:v>
                </c:pt>
                <c:pt idx="24">
                  <c:v>6.2145309448242188</c:v>
                </c:pt>
                <c:pt idx="25">
                  <c:v>6.3485183715820313</c:v>
                </c:pt>
                <c:pt idx="26">
                  <c:v>6.4887008666992188</c:v>
                </c:pt>
                <c:pt idx="27">
                  <c:v>6.6259994506835938</c:v>
                </c:pt>
                <c:pt idx="28">
                  <c:v>6.7635574340820313</c:v>
                </c:pt>
                <c:pt idx="29">
                  <c:v>6.9013900756835938</c:v>
                </c:pt>
                <c:pt idx="30">
                  <c:v>7.0395736694335938</c:v>
                </c:pt>
                <c:pt idx="31">
                  <c:v>7.1782913208007813</c:v>
                </c:pt>
                <c:pt idx="32">
                  <c:v>7.3167953491210938</c:v>
                </c:pt>
                <c:pt idx="33">
                  <c:v>7.4554824829101563</c:v>
                </c:pt>
                <c:pt idx="34">
                  <c:v>7.5933609008789063</c:v>
                </c:pt>
                <c:pt idx="35">
                  <c:v>7.7303237915039063</c:v>
                </c:pt>
                <c:pt idx="36">
                  <c:v>7.8659439086914063</c:v>
                </c:pt>
                <c:pt idx="37">
                  <c:v>8.0005874633789063</c:v>
                </c:pt>
                <c:pt idx="38">
                  <c:v>8.1348800659179688</c:v>
                </c:pt>
                <c:pt idx="39">
                  <c:v>8.2692489624023438</c:v>
                </c:pt>
                <c:pt idx="40">
                  <c:v>8.4039230346679688</c:v>
                </c:pt>
                <c:pt idx="41">
                  <c:v>8.5389633178710938</c:v>
                </c:pt>
                <c:pt idx="42">
                  <c:v>8.6742782592773438</c:v>
                </c:pt>
                <c:pt idx="43">
                  <c:v>8.8099288940429688</c:v>
                </c:pt>
                <c:pt idx="44">
                  <c:v>8.9457473754882813</c:v>
                </c:pt>
                <c:pt idx="45">
                  <c:v>9.0817184448242188</c:v>
                </c:pt>
                <c:pt idx="46">
                  <c:v>9.2177658081054688</c:v>
                </c:pt>
                <c:pt idx="47">
                  <c:v>9.3538589477539063</c:v>
                </c:pt>
                <c:pt idx="48">
                  <c:v>9.4900741577148438</c:v>
                </c:pt>
                <c:pt idx="49">
                  <c:v>9.6262283325195313</c:v>
                </c:pt>
                <c:pt idx="50">
                  <c:v>9.7623672485351563</c:v>
                </c:pt>
                <c:pt idx="51">
                  <c:v>9.8983230590820313</c:v>
                </c:pt>
                <c:pt idx="52">
                  <c:v>10.034309387207031</c:v>
                </c:pt>
                <c:pt idx="53">
                  <c:v>10.170051574707031</c:v>
                </c:pt>
                <c:pt idx="54">
                  <c:v>10.305747985839844</c:v>
                </c:pt>
                <c:pt idx="55">
                  <c:v>10.441261291503906</c:v>
                </c:pt>
                <c:pt idx="56">
                  <c:v>10.576713562011719</c:v>
                </c:pt>
                <c:pt idx="57">
                  <c:v>10.712287902832031</c:v>
                </c:pt>
                <c:pt idx="58">
                  <c:v>10.848320007324219</c:v>
                </c:pt>
                <c:pt idx="59">
                  <c:v>10.984977722167969</c:v>
                </c:pt>
                <c:pt idx="60">
                  <c:v>11.122184753417969</c:v>
                </c:pt>
                <c:pt idx="61">
                  <c:v>11.259651184082031</c:v>
                </c:pt>
                <c:pt idx="62">
                  <c:v>11.397163391113281</c:v>
                </c:pt>
                <c:pt idx="63">
                  <c:v>11.534584045410156</c:v>
                </c:pt>
                <c:pt idx="64">
                  <c:v>11.671730041503906</c:v>
                </c:pt>
                <c:pt idx="65">
                  <c:v>11.808845520019531</c:v>
                </c:pt>
                <c:pt idx="66">
                  <c:v>11.946022033691406</c:v>
                </c:pt>
                <c:pt idx="67">
                  <c:v>12.083091735839844</c:v>
                </c:pt>
                <c:pt idx="68">
                  <c:v>12.219718933105469</c:v>
                </c:pt>
                <c:pt idx="69">
                  <c:v>12.356880187988281</c:v>
                </c:pt>
                <c:pt idx="70">
                  <c:v>12.493522644042969</c:v>
                </c:pt>
              </c:numCache>
            </c:numRef>
          </c:yVal>
          <c:smooth val="1"/>
          <c:extLst>
            <c:ext xmlns:c16="http://schemas.microsoft.com/office/drawing/2014/chart" uri="{C3380CC4-5D6E-409C-BE32-E72D297353CC}">
              <c16:uniqueId val="{00000001-EC38-47BD-8335-FCAA4C6B34A2}"/>
            </c:ext>
          </c:extLst>
        </c:ser>
        <c:dLbls>
          <c:showLegendKey val="0"/>
          <c:showVal val="0"/>
          <c:showCatName val="0"/>
          <c:showSerName val="0"/>
          <c:showPercent val="0"/>
          <c:showBubbleSize val="0"/>
        </c:dLbls>
        <c:axId val="387165568"/>
        <c:axId val="387163936"/>
      </c:scatterChart>
      <c:valAx>
        <c:axId val="387165568"/>
        <c:scaling>
          <c:orientation val="minMax"/>
        </c:scaling>
        <c:delete val="0"/>
        <c:axPos val="b"/>
        <c:majorGridlines/>
        <c:title>
          <c:tx>
            <c:rich>
              <a:bodyPr/>
              <a:lstStyle/>
              <a:p>
                <a:pPr>
                  <a:defRPr sz="1050" b="1" i="0" u="none" strike="noStrike" baseline="0">
                    <a:solidFill>
                      <a:srgbClr val="000000"/>
                    </a:solidFill>
                    <a:latin typeface="Arial"/>
                    <a:ea typeface="Arial"/>
                    <a:cs typeface="Arial"/>
                  </a:defRPr>
                </a:pPr>
                <a:r>
                  <a:rPr lang="pt-BR"/>
                  <a:t>Titrant volume (mL)</a:t>
                </a:r>
              </a:p>
            </c:rich>
          </c:tx>
          <c:layout>
            <c:manualLayout>
              <c:xMode val="edge"/>
              <c:yMode val="edge"/>
              <c:x val="0.43819179418013027"/>
              <c:y val="0.94882944596464469"/>
            </c:manualLayout>
          </c:layout>
          <c:overlay val="0"/>
          <c:spPr>
            <a:noFill/>
            <a:ln w="25400">
              <a:noFill/>
            </a:ln>
          </c:spPr>
        </c:title>
        <c:numFmt formatCode="0.0" sourceLinked="0"/>
        <c:majorTickMark val="cross"/>
        <c:minorTickMark val="out"/>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nl-NL"/>
          </a:p>
        </c:txPr>
        <c:crossAx val="387163936"/>
        <c:crosses val="autoZero"/>
        <c:crossBetween val="midCat"/>
      </c:valAx>
      <c:valAx>
        <c:axId val="387163936"/>
        <c:scaling>
          <c:orientation val="minMax"/>
        </c:scaling>
        <c:delete val="0"/>
        <c:axPos val="l"/>
        <c:majorGridlines>
          <c:spPr>
            <a:ln w="3175">
              <a:solidFill>
                <a:srgbClr val="000000"/>
              </a:solidFill>
              <a:prstDash val="sysDash"/>
            </a:ln>
          </c:spPr>
        </c:majorGridlines>
        <c:title>
          <c:tx>
            <c:rich>
              <a:bodyPr/>
              <a:lstStyle/>
              <a:p>
                <a:pPr>
                  <a:defRPr sz="1050" b="1" i="0" u="none" strike="noStrike" baseline="0">
                    <a:solidFill>
                      <a:srgbClr val="000000"/>
                    </a:solidFill>
                    <a:latin typeface="Arial"/>
                    <a:ea typeface="Arial"/>
                    <a:cs typeface="Arial"/>
                  </a:defRPr>
                </a:pPr>
                <a:r>
                  <a:rPr lang="pt-BR"/>
                  <a:t>pH</a:t>
                </a:r>
              </a:p>
            </c:rich>
          </c:tx>
          <c:layout>
            <c:manualLayout>
              <c:xMode val="edge"/>
              <c:yMode val="edge"/>
              <c:x val="7.1735544516525404E-3"/>
              <c:y val="0.43442750507251204"/>
            </c:manualLayout>
          </c:layout>
          <c:overlay val="0"/>
          <c:spPr>
            <a:noFill/>
            <a:ln w="25400">
              <a:noFill/>
            </a:ln>
          </c:spPr>
        </c:title>
        <c:numFmt formatCode="0.0" sourceLinked="0"/>
        <c:majorTickMark val="out"/>
        <c:minorTickMark val="cross"/>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nl-NL"/>
          </a:p>
        </c:txPr>
        <c:crossAx val="387165568"/>
        <c:crosses val="autoZero"/>
        <c:crossBetween val="midCat"/>
      </c:valAx>
      <c:spPr>
        <a:noFill/>
        <a:ln w="12700">
          <a:solidFill>
            <a:schemeClr val="tx1"/>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75" b="0" i="0" u="none" strike="noStrike" baseline="0">
          <a:solidFill>
            <a:srgbClr val="000000"/>
          </a:solidFill>
          <a:latin typeface="Arial"/>
          <a:ea typeface="Arial"/>
          <a:cs typeface="Arial"/>
        </a:defRPr>
      </a:pPr>
      <a:endParaRPr lang="nl-NL"/>
    </a:p>
  </c:txPr>
  <c:printSettings>
    <c:headerFooter alignWithMargins="0"/>
    <c:pageMargins b="0.98425196899999956" l="0.78740157499999996" r="0.78740157499999996" t="0.98425196899999956" header="0.49212598500001148" footer="0.49212598500001148"/>
    <c:pageSetup orientation="landscape" horizontalDpi="300" verticalDpi="300"/>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Arial"/>
                <a:ea typeface="Arial"/>
                <a:cs typeface="Arial"/>
              </a:defRPr>
            </a:pPr>
            <a:r>
              <a:rPr lang="pt-BR" sz="1300" b="1" i="0" strike="noStrike">
                <a:solidFill>
                  <a:srgbClr val="000000"/>
                </a:solidFill>
                <a:latin typeface="Arial"/>
                <a:cs typeface="Arial"/>
              </a:rPr>
              <a:t>Titrations of hydrochloric, phosphoric and glutamic acids </a:t>
            </a:r>
          </a:p>
          <a:p>
            <a:pPr>
              <a:defRPr sz="1200" b="0" i="0" u="none" strike="noStrike" baseline="0">
                <a:solidFill>
                  <a:srgbClr val="000000"/>
                </a:solidFill>
                <a:latin typeface="Arial"/>
                <a:ea typeface="Arial"/>
                <a:cs typeface="Arial"/>
              </a:defRPr>
            </a:pPr>
            <a:r>
              <a:rPr lang="pt-BR" sz="1300" b="0" i="0" strike="noStrike">
                <a:solidFill>
                  <a:srgbClr val="000000"/>
                </a:solidFill>
                <a:latin typeface="Arial"/>
                <a:cs typeface="Arial"/>
              </a:rPr>
              <a:t>(20 mL, 0.05 mol/L, with 0.1 mol/L NaOH)</a:t>
            </a:r>
            <a:r>
              <a:rPr lang="pt-BR" sz="1300" b="1" i="0" strike="noStrike">
                <a:solidFill>
                  <a:srgbClr val="000000"/>
                </a:solidFill>
                <a:latin typeface="Arial"/>
                <a:cs typeface="Arial"/>
              </a:rPr>
              <a:t> </a:t>
            </a:r>
          </a:p>
        </c:rich>
      </c:tx>
      <c:layout>
        <c:manualLayout>
          <c:xMode val="edge"/>
          <c:yMode val="edge"/>
          <c:x val="0.14934421990354652"/>
          <c:y val="1.2048437127177285E-2"/>
        </c:manualLayout>
      </c:layout>
      <c:overlay val="0"/>
      <c:spPr>
        <a:noFill/>
        <a:ln w="25400">
          <a:noFill/>
        </a:ln>
      </c:spPr>
    </c:title>
    <c:autoTitleDeleted val="0"/>
    <c:plotArea>
      <c:layout>
        <c:manualLayout>
          <c:layoutTarget val="inner"/>
          <c:xMode val="edge"/>
          <c:yMode val="edge"/>
          <c:x val="8.9160199935860746E-2"/>
          <c:y val="6.3318777292576414E-2"/>
          <c:w val="0.88193216009575037"/>
          <c:h val="0.80567685589520011"/>
        </c:manualLayout>
      </c:layout>
      <c:scatterChart>
        <c:scatterStyle val="smoothMarker"/>
        <c:varyColors val="0"/>
        <c:ser>
          <c:idx val="0"/>
          <c:order val="0"/>
          <c:tx>
            <c:v>pH_sim</c:v>
          </c:tx>
          <c:spPr>
            <a:ln w="12700">
              <a:solidFill>
                <a:srgbClr val="09007E"/>
              </a:solidFill>
              <a:prstDash val="solid"/>
            </a:ln>
          </c:spPr>
          <c:marker>
            <c:symbol val="diamond"/>
            <c:size val="5"/>
            <c:spPr>
              <a:solidFill>
                <a:srgbClr val="09007E"/>
              </a:solidFill>
              <a:ln>
                <a:solidFill>
                  <a:srgbClr val="09007E"/>
                </a:solidFill>
                <a:prstDash val="solid"/>
              </a:ln>
            </c:spPr>
          </c:marker>
          <c:xVal>
            <c:numRef>
              <c:f>Simulation!$A$41:$A$162</c:f>
              <c:numCache>
                <c:formatCode>0.000</c:formatCode>
                <c:ptCount val="122"/>
                <c:pt idx="0">
                  <c:v>0</c:v>
                </c:pt>
                <c:pt idx="1">
                  <c:v>2.3004448812571354</c:v>
                </c:pt>
                <c:pt idx="2">
                  <c:v>4.3254298929241486</c:v>
                </c:pt>
                <c:pt idx="3">
                  <c:v>5.9982889695675112</c:v>
                </c:pt>
                <c:pt idx="4">
                  <c:v>7.2857926934375428</c:v>
                </c:pt>
                <c:pt idx="5">
                  <c:v>8.2150732792797498</c:v>
                </c:pt>
                <c:pt idx="6">
                  <c:v>8.852646873856429</c:v>
                </c:pt>
                <c:pt idx="7">
                  <c:v>9.2745251997257583</c:v>
                </c:pt>
                <c:pt idx="8">
                  <c:v>9.5472193221212365</c:v>
                </c:pt>
                <c:pt idx="9">
                  <c:v>9.7213898246991448</c:v>
                </c:pt>
                <c:pt idx="10">
                  <c:v>9.8327682426315732</c:v>
                </c:pt>
                <c:pt idx="11">
                  <c:v>9.9056407503667288</c:v>
                </c:pt>
                <c:pt idx="12">
                  <c:v>9.956512633652892</c:v>
                </c:pt>
                <c:pt idx="13">
                  <c:v>9.9971799951163121</c:v>
                </c:pt>
                <c:pt idx="14">
                  <c:v>10.037190483126324</c:v>
                </c:pt>
                <c:pt idx="15">
                  <c:v>10.085949620406609</c:v>
                </c:pt>
                <c:pt idx="16">
                  <c:v>10.154803957266267</c:v>
                </c:pt>
                <c:pt idx="17">
                  <c:v>10.259427917480934</c:v>
                </c:pt>
                <c:pt idx="18">
                  <c:v>10.422738817578647</c:v>
                </c:pt>
                <c:pt idx="19">
                  <c:v>10.678157336951699</c:v>
                </c:pt>
                <c:pt idx="20">
                  <c:v>11.071775054733735</c:v>
                </c:pt>
                <c:pt idx="21">
                  <c:v>11.659035268530715</c:v>
                </c:pt>
                <c:pt idx="22">
                  <c:v>12.487507292826194</c:v>
                </c:pt>
                <c:pt idx="23">
                  <c:v>13.560292513284367</c:v>
                </c:pt>
                <c:pt idx="24">
                  <c:v>14.799194350780454</c:v>
                </c:pt>
                <c:pt idx="25">
                  <c:v>16.054576211899985</c:v>
                </c:pt>
                <c:pt idx="26">
                  <c:v>17.173922529036645</c:v>
                </c:pt>
                <c:pt idx="27">
                  <c:v>18.068469061108772</c:v>
                </c:pt>
                <c:pt idx="28">
                  <c:v>18.725484058086295</c:v>
                </c:pt>
                <c:pt idx="29">
                  <c:v>19.179874857945833</c:v>
                </c:pt>
                <c:pt idx="30">
                  <c:v>19.48181740444852</c:v>
                </c:pt>
                <c:pt idx="31">
                  <c:v>19.677734184369911</c:v>
                </c:pt>
                <c:pt idx="32">
                  <c:v>19.803712518478278</c:v>
                </c:pt>
                <c:pt idx="33">
                  <c:v>19.885540132236201</c:v>
                </c:pt>
                <c:pt idx="34">
                  <c:v>19.941073826339561</c:v>
                </c:pt>
                <c:pt idx="35">
                  <c:v>19.982924718351569</c:v>
                </c:pt>
                <c:pt idx="36">
                  <c:v>20.020832466252614</c:v>
                </c:pt>
                <c:pt idx="37">
                  <c:v>20.063731157279108</c:v>
                </c:pt>
                <c:pt idx="38">
                  <c:v>20.121755062427837</c:v>
                </c:pt>
                <c:pt idx="39">
                  <c:v>20.208536063728388</c:v>
                </c:pt>
                <c:pt idx="40">
                  <c:v>20.344214436772745</c:v>
                </c:pt>
                <c:pt idx="41">
                  <c:v>20.55962798622204</c:v>
                </c:pt>
                <c:pt idx="42">
                  <c:v>20.902049214055296</c:v>
                </c:pt>
                <c:pt idx="43">
                  <c:v>21.442285725788679</c:v>
                </c:pt>
                <c:pt idx="44">
                  <c:v>22.281442677194718</c:v>
                </c:pt>
                <c:pt idx="45">
                  <c:v>23.553723619261291</c:v>
                </c:pt>
                <c:pt idx="46">
                  <c:v>25.425947584153619</c:v>
                </c:pt>
                <c:pt idx="47">
                  <c:v>28.122492051625159</c:v>
                </c:pt>
                <c:pt idx="48">
                  <c:v>32.065280988172162</c:v>
                </c:pt>
                <c:pt idx="49">
                  <c:v>38.31748273660196</c:v>
                </c:pt>
                <c:pt idx="50">
                  <c:v>49.999999998544808</c:v>
                </c:pt>
              </c:numCache>
            </c:numRef>
          </c:xVal>
          <c:yVal>
            <c:numRef>
              <c:f>Simulation!$B$41:$B$162</c:f>
              <c:numCache>
                <c:formatCode>0.000</c:formatCode>
                <c:ptCount val="122"/>
                <c:pt idx="0">
                  <c:v>1.8171072800722754</c:v>
                </c:pt>
                <c:pt idx="1">
                  <c:v>2.03204784726322</c:v>
                </c:pt>
                <c:pt idx="2">
                  <c:v>2.2461396194374883</c:v>
                </c:pt>
                <c:pt idx="3">
                  <c:v>2.4592837415154789</c:v>
                </c:pt>
                <c:pt idx="4">
                  <c:v>2.6715840969865385</c:v>
                </c:pt>
                <c:pt idx="5">
                  <c:v>2.8832299762264122</c:v>
                </c:pt>
                <c:pt idx="6">
                  <c:v>3.0944106420923969</c:v>
                </c:pt>
                <c:pt idx="7">
                  <c:v>3.3052786795679925</c:v>
                </c:pt>
                <c:pt idx="8">
                  <c:v>3.5159445293883027</c:v>
                </c:pt>
                <c:pt idx="9">
                  <c:v>3.7264837975794283</c:v>
                </c:pt>
                <c:pt idx="10">
                  <c:v>3.9369472311575628</c:v>
                </c:pt>
                <c:pt idx="11">
                  <c:v>4.1473695514894615</c:v>
                </c:pt>
                <c:pt idx="12">
                  <c:v>4.3577764259656462</c:v>
                </c:pt>
                <c:pt idx="13">
                  <c:v>4.568190022913047</c:v>
                </c:pt>
                <c:pt idx="14">
                  <c:v>4.7786339196049799</c:v>
                </c:pt>
                <c:pt idx="15">
                  <c:v>4.989138153184598</c:v>
                </c:pt>
                <c:pt idx="16">
                  <c:v>5.1997450596983432</c:v>
                </c:pt>
                <c:pt idx="17">
                  <c:v>5.4105160650546065</c:v>
                </c:pt>
                <c:pt idx="18">
                  <c:v>5.6215382068211683</c:v>
                </c:pt>
                <c:pt idx="19">
                  <c:v>5.8329258111339772</c:v>
                </c:pt>
                <c:pt idx="20">
                  <c:v>6.0448065155412518</c:v>
                </c:pt>
                <c:pt idx="21">
                  <c:v>6.2572748607294768</c:v>
                </c:pt>
                <c:pt idx="22">
                  <c:v>6.4703073210120445</c:v>
                </c:pt>
                <c:pt idx="23">
                  <c:v>6.6836852438660559</c:v>
                </c:pt>
                <c:pt idx="24">
                  <c:v>6.8970304591995308</c:v>
                </c:pt>
                <c:pt idx="25">
                  <c:v>7.1099804688999608</c:v>
                </c:pt>
                <c:pt idx="26">
                  <c:v>7.322349098093679</c:v>
                </c:pt>
                <c:pt idx="27">
                  <c:v>7.5341386806955644</c:v>
                </c:pt>
                <c:pt idx="28">
                  <c:v>7.7454546772478645</c:v>
                </c:pt>
                <c:pt idx="29">
                  <c:v>7.9564249462523851</c:v>
                </c:pt>
                <c:pt idx="30">
                  <c:v>8.1671594790759396</c:v>
                </c:pt>
                <c:pt idx="31">
                  <c:v>8.377740060160809</c:v>
                </c:pt>
                <c:pt idx="32">
                  <c:v>8.5882232426729104</c:v>
                </c:pt>
                <c:pt idx="33">
                  <c:v>8.7986468997393832</c:v>
                </c:pt>
                <c:pt idx="34">
                  <c:v>9.0090364657241615</c:v>
                </c:pt>
                <c:pt idx="35">
                  <c:v>9.2194099000282304</c:v>
                </c:pt>
                <c:pt idx="36">
                  <c:v>9.4297815209616029</c:v>
                </c:pt>
                <c:pt idx="37">
                  <c:v>9.6401651822701666</c:v>
                </c:pt>
                <c:pt idx="38">
                  <c:v>9.8505773086917063</c:v>
                </c:pt>
                <c:pt idx="39">
                  <c:v>10.061040246754805</c:v>
                </c:pt>
                <c:pt idx="40">
                  <c:v>10.271586190317612</c:v>
                </c:pt>
                <c:pt idx="41">
                  <c:v>10.482261360601155</c:v>
                </c:pt>
                <c:pt idx="42">
                  <c:v>10.693128606202979</c:v>
                </c:pt>
                <c:pt idx="43">
                  <c:v>10.904263374595613</c:v>
                </c:pt>
                <c:pt idx="44">
                  <c:v>11.115733453073027</c:v>
                </c:pt>
                <c:pt idx="45">
                  <c:v>11.327553158845967</c:v>
                </c:pt>
                <c:pt idx="46">
                  <c:v>11.539624057245398</c:v>
                </c:pt>
                <c:pt idx="47">
                  <c:v>11.751718173325493</c:v>
                </c:pt>
                <c:pt idx="48">
                  <c:v>11.963554366049292</c:v>
                </c:pt>
                <c:pt idx="49">
                  <c:v>12.174908797581793</c:v>
                </c:pt>
                <c:pt idx="50">
                  <c:v>12.385643935645515</c:v>
                </c:pt>
              </c:numCache>
            </c:numRef>
          </c:yVal>
          <c:smooth val="1"/>
          <c:extLst>
            <c:ext xmlns:c16="http://schemas.microsoft.com/office/drawing/2014/chart" uri="{C3380CC4-5D6E-409C-BE32-E72D297353CC}">
              <c16:uniqueId val="{00000000-2890-4C51-8F22-D29D6809648F}"/>
            </c:ext>
          </c:extLst>
        </c:ser>
        <c:ser>
          <c:idx val="1"/>
          <c:order val="1"/>
          <c:tx>
            <c:v>pH_sim_disp</c:v>
          </c:tx>
          <c:spPr>
            <a:ln w="28575">
              <a:noFill/>
            </a:ln>
          </c:spPr>
          <c:marker>
            <c:symbol val="square"/>
            <c:size val="3"/>
            <c:spPr>
              <a:solidFill>
                <a:srgbClr val="F4EE00"/>
              </a:solidFill>
              <a:ln>
                <a:solidFill>
                  <a:srgbClr val="FF0000"/>
                </a:solidFill>
                <a:prstDash val="solid"/>
              </a:ln>
            </c:spPr>
          </c:marker>
          <c:xVal>
            <c:numRef>
              <c:f>Simulation!$A$41:$A$162</c:f>
              <c:numCache>
                <c:formatCode>0.000</c:formatCode>
                <c:ptCount val="122"/>
                <c:pt idx="0">
                  <c:v>0</c:v>
                </c:pt>
                <c:pt idx="1">
                  <c:v>2.3004448812571354</c:v>
                </c:pt>
                <c:pt idx="2">
                  <c:v>4.3254298929241486</c:v>
                </c:pt>
                <c:pt idx="3">
                  <c:v>5.9982889695675112</c:v>
                </c:pt>
                <c:pt idx="4">
                  <c:v>7.2857926934375428</c:v>
                </c:pt>
                <c:pt idx="5">
                  <c:v>8.2150732792797498</c:v>
                </c:pt>
                <c:pt idx="6">
                  <c:v>8.852646873856429</c:v>
                </c:pt>
                <c:pt idx="7">
                  <c:v>9.2745251997257583</c:v>
                </c:pt>
                <c:pt idx="8">
                  <c:v>9.5472193221212365</c:v>
                </c:pt>
                <c:pt idx="9">
                  <c:v>9.7213898246991448</c:v>
                </c:pt>
                <c:pt idx="10">
                  <c:v>9.8327682426315732</c:v>
                </c:pt>
                <c:pt idx="11">
                  <c:v>9.9056407503667288</c:v>
                </c:pt>
                <c:pt idx="12">
                  <c:v>9.956512633652892</c:v>
                </c:pt>
                <c:pt idx="13">
                  <c:v>9.9971799951163121</c:v>
                </c:pt>
                <c:pt idx="14">
                  <c:v>10.037190483126324</c:v>
                </c:pt>
                <c:pt idx="15">
                  <c:v>10.085949620406609</c:v>
                </c:pt>
                <c:pt idx="16">
                  <c:v>10.154803957266267</c:v>
                </c:pt>
                <c:pt idx="17">
                  <c:v>10.259427917480934</c:v>
                </c:pt>
                <c:pt idx="18">
                  <c:v>10.422738817578647</c:v>
                </c:pt>
                <c:pt idx="19">
                  <c:v>10.678157336951699</c:v>
                </c:pt>
                <c:pt idx="20">
                  <c:v>11.071775054733735</c:v>
                </c:pt>
                <c:pt idx="21">
                  <c:v>11.659035268530715</c:v>
                </c:pt>
                <c:pt idx="22">
                  <c:v>12.487507292826194</c:v>
                </c:pt>
                <c:pt idx="23">
                  <c:v>13.560292513284367</c:v>
                </c:pt>
                <c:pt idx="24">
                  <c:v>14.799194350780454</c:v>
                </c:pt>
                <c:pt idx="25">
                  <c:v>16.054576211899985</c:v>
                </c:pt>
                <c:pt idx="26">
                  <c:v>17.173922529036645</c:v>
                </c:pt>
                <c:pt idx="27">
                  <c:v>18.068469061108772</c:v>
                </c:pt>
                <c:pt idx="28">
                  <c:v>18.725484058086295</c:v>
                </c:pt>
                <c:pt idx="29">
                  <c:v>19.179874857945833</c:v>
                </c:pt>
                <c:pt idx="30">
                  <c:v>19.48181740444852</c:v>
                </c:pt>
                <c:pt idx="31">
                  <c:v>19.677734184369911</c:v>
                </c:pt>
                <c:pt idx="32">
                  <c:v>19.803712518478278</c:v>
                </c:pt>
                <c:pt idx="33">
                  <c:v>19.885540132236201</c:v>
                </c:pt>
                <c:pt idx="34">
                  <c:v>19.941073826339561</c:v>
                </c:pt>
                <c:pt idx="35">
                  <c:v>19.982924718351569</c:v>
                </c:pt>
                <c:pt idx="36">
                  <c:v>20.020832466252614</c:v>
                </c:pt>
                <c:pt idx="37">
                  <c:v>20.063731157279108</c:v>
                </c:pt>
                <c:pt idx="38">
                  <c:v>20.121755062427837</c:v>
                </c:pt>
                <c:pt idx="39">
                  <c:v>20.208536063728388</c:v>
                </c:pt>
                <c:pt idx="40">
                  <c:v>20.344214436772745</c:v>
                </c:pt>
                <c:pt idx="41">
                  <c:v>20.55962798622204</c:v>
                </c:pt>
                <c:pt idx="42">
                  <c:v>20.902049214055296</c:v>
                </c:pt>
                <c:pt idx="43">
                  <c:v>21.442285725788679</c:v>
                </c:pt>
                <c:pt idx="44">
                  <c:v>22.281442677194718</c:v>
                </c:pt>
                <c:pt idx="45">
                  <c:v>23.553723619261291</c:v>
                </c:pt>
                <c:pt idx="46">
                  <c:v>25.425947584153619</c:v>
                </c:pt>
                <c:pt idx="47">
                  <c:v>28.122492051625159</c:v>
                </c:pt>
                <c:pt idx="48">
                  <c:v>32.065280988172162</c:v>
                </c:pt>
                <c:pt idx="49">
                  <c:v>38.31748273660196</c:v>
                </c:pt>
                <c:pt idx="50">
                  <c:v>49.999999998544808</c:v>
                </c:pt>
              </c:numCache>
            </c:numRef>
          </c:xVal>
          <c:yVal>
            <c:numRef>
              <c:f>Simulation!$D$41:$D$162</c:f>
              <c:numCache>
                <c:formatCode>0.000</c:formatCode>
                <c:ptCount val="122"/>
              </c:numCache>
            </c:numRef>
          </c:yVal>
          <c:smooth val="1"/>
          <c:extLst>
            <c:ext xmlns:c16="http://schemas.microsoft.com/office/drawing/2014/chart" uri="{C3380CC4-5D6E-409C-BE32-E72D297353CC}">
              <c16:uniqueId val="{00000001-2890-4C51-8F22-D29D6809648F}"/>
            </c:ext>
          </c:extLst>
        </c:ser>
        <c:ser>
          <c:idx val="2"/>
          <c:order val="2"/>
          <c:tx>
            <c:v>ret_1</c:v>
          </c:tx>
          <c:spPr>
            <a:ln w="12700">
              <a:solidFill>
                <a:srgbClr val="000080"/>
              </a:solidFill>
              <a:prstDash val="solid"/>
            </a:ln>
          </c:spPr>
          <c:marker>
            <c:symbol val="triangle"/>
            <c:size val="5"/>
            <c:spPr>
              <a:solidFill>
                <a:srgbClr val="FFFF00"/>
              </a:solidFill>
              <a:ln>
                <a:solidFill>
                  <a:srgbClr val="000080"/>
                </a:solidFill>
                <a:prstDash val="solid"/>
              </a:ln>
            </c:spPr>
          </c:marker>
          <c:xVal>
            <c:numRef>
              <c:f>Simulation!$BA$41:$BA$162</c:f>
              <c:numCache>
                <c:formatCode>General</c:formatCode>
                <c:ptCount val="122"/>
                <c:pt idx="0">
                  <c:v>0</c:v>
                </c:pt>
                <c:pt idx="1">
                  <c:v>0.68944716913392767</c:v>
                </c:pt>
                <c:pt idx="2">
                  <c:v>1.4582087154849432</c:v>
                </c:pt>
                <c:pt idx="3">
                  <c:v>2.3542375754914246</c:v>
                </c:pt>
                <c:pt idx="4">
                  <c:v>3.3856183566967957</c:v>
                </c:pt>
                <c:pt idx="5">
                  <c:v>4.5085039237164892</c:v>
                </c:pt>
                <c:pt idx="6">
                  <c:v>5.6376073000137694</c:v>
                </c:pt>
                <c:pt idx="7">
                  <c:v>6.6790875498554669</c:v>
                </c:pt>
                <c:pt idx="8">
                  <c:v>7.5649809048627503</c:v>
                </c:pt>
                <c:pt idx="9">
                  <c:v>8.2683403175906278</c:v>
                </c:pt>
                <c:pt idx="10">
                  <c:v>8.7971470828051679</c:v>
                </c:pt>
                <c:pt idx="11">
                  <c:v>9.1788289413671009</c:v>
                </c:pt>
                <c:pt idx="12">
                  <c:v>9.4463911591446958</c:v>
                </c:pt>
                <c:pt idx="13">
                  <c:v>9.6302381294663064</c:v>
                </c:pt>
                <c:pt idx="14">
                  <c:v>9.7549627986154519</c:v>
                </c:pt>
                <c:pt idx="15">
                  <c:v>9.8390408456907608</c:v>
                </c:pt>
                <c:pt idx="16">
                  <c:v>9.8957675087149255</c:v>
                </c:pt>
                <c:pt idx="17">
                  <c:v>9.9345023700152524</c:v>
                </c:pt>
                <c:pt idx="18">
                  <c:v>9.9618181542609818</c:v>
                </c:pt>
                <c:pt idx="19">
                  <c:v>9.9824373712181114</c:v>
                </c:pt>
                <c:pt idx="20">
                  <c:v>9.999968706688378</c:v>
                </c:pt>
                <c:pt idx="21">
                  <c:v>10.017501802940387</c:v>
                </c:pt>
                <c:pt idx="22">
                  <c:v>10.038132137560751</c:v>
                </c:pt>
                <c:pt idx="23">
                  <c:v>10.065490762644913</c:v>
                </c:pt>
                <c:pt idx="24">
                  <c:v>10.104356806550641</c:v>
                </c:pt>
                <c:pt idx="25">
                  <c:v>10.161435448389966</c:v>
                </c:pt>
                <c:pt idx="26">
                  <c:v>10.24638257076731</c:v>
                </c:pt>
                <c:pt idx="27">
                  <c:v>10.373125404294115</c:v>
                </c:pt>
                <c:pt idx="28">
                  <c:v>10.561402533494402</c:v>
                </c:pt>
                <c:pt idx="29">
                  <c:v>10.838089119351935</c:v>
                </c:pt>
                <c:pt idx="30">
                  <c:v>11.237055245146621</c:v>
                </c:pt>
                <c:pt idx="31">
                  <c:v>11.794926707807463</c:v>
                </c:pt>
                <c:pt idx="32">
                  <c:v>12.539179688610602</c:v>
                </c:pt>
                <c:pt idx="33">
                  <c:v>13.468123345228378</c:v>
                </c:pt>
                <c:pt idx="34">
                  <c:v>14.532993528700899</c:v>
                </c:pt>
                <c:pt idx="35">
                  <c:v>15.64163693547016</c:v>
                </c:pt>
                <c:pt idx="36">
                  <c:v>16.690479229146149</c:v>
                </c:pt>
                <c:pt idx="37">
                  <c:v>17.603331759164575</c:v>
                </c:pt>
                <c:pt idx="38">
                  <c:v>18.35030156216817</c:v>
                </c:pt>
                <c:pt idx="39">
                  <c:v>18.942612658429425</c:v>
                </c:pt>
                <c:pt idx="40">
                  <c:v>19.416979695961345</c:v>
                </c:pt>
                <c:pt idx="41">
                  <c:v>19.822495484550018</c:v>
                </c:pt>
                <c:pt idx="42">
                  <c:v>20.215055385779124</c:v>
                </c:pt>
                <c:pt idx="43">
                  <c:v>20.659375215473119</c:v>
                </c:pt>
                <c:pt idx="44">
                  <c:v>21.238175708276685</c:v>
                </c:pt>
                <c:pt idx="45">
                  <c:v>22.070677862211596</c:v>
                </c:pt>
                <c:pt idx="46">
                  <c:v>23.348587220243644</c:v>
                </c:pt>
                <c:pt idx="47">
                  <c:v>25.413084276078735</c:v>
                </c:pt>
                <c:pt idx="48">
                  <c:v>28.945042788109276</c:v>
                </c:pt>
                <c:pt idx="49">
                  <c:v>35.536279213556554</c:v>
                </c:pt>
                <c:pt idx="50">
                  <c:v>49.999999986903276</c:v>
                </c:pt>
              </c:numCache>
            </c:numRef>
          </c:xVal>
          <c:yVal>
            <c:numRef>
              <c:f>Simulation!$BB$41:$BB$162</c:f>
              <c:numCache>
                <c:formatCode>General</c:formatCode>
                <c:ptCount val="122"/>
                <c:pt idx="0">
                  <c:v>3.353082640741027</c:v>
                </c:pt>
                <c:pt idx="1">
                  <c:v>3.5408274918499165</c:v>
                </c:pt>
                <c:pt idx="2">
                  <c:v>3.7289556504310046</c:v>
                </c:pt>
                <c:pt idx="3">
                  <c:v>3.9171403658690189</c:v>
                </c:pt>
                <c:pt idx="4">
                  <c:v>4.104981039261852</c:v>
                </c:pt>
                <c:pt idx="5">
                  <c:v>4.2921165891014637</c:v>
                </c:pt>
                <c:pt idx="6">
                  <c:v>4.478332619621276</c:v>
                </c:pt>
                <c:pt idx="7">
                  <c:v>4.6635941782915484</c:v>
                </c:pt>
                <c:pt idx="8">
                  <c:v>4.8480013819512893</c:v>
                </c:pt>
                <c:pt idx="9">
                  <c:v>5.031717381531374</c:v>
                </c:pt>
                <c:pt idx="10">
                  <c:v>5.2149114594288255</c:v>
                </c:pt>
                <c:pt idx="11">
                  <c:v>5.3977294222803902</c:v>
                </c:pt>
                <c:pt idx="12">
                  <c:v>5.5802847581417367</c:v>
                </c:pt>
                <c:pt idx="13">
                  <c:v>5.7626606426347093</c:v>
                </c:pt>
                <c:pt idx="14">
                  <c:v>5.9449158555196302</c:v>
                </c:pt>
                <c:pt idx="15">
                  <c:v>6.1270910859581083</c:v>
                </c:pt>
                <c:pt idx="16">
                  <c:v>6.309214284576151</c:v>
                </c:pt>
                <c:pt idx="17">
                  <c:v>6.4913047943471502</c:v>
                </c:pt>
                <c:pt idx="18">
                  <c:v>6.6733764198713299</c:v>
                </c:pt>
                <c:pt idx="19">
                  <c:v>6.8554397171627715</c:v>
                </c:pt>
                <c:pt idx="20">
                  <c:v>7.0375037897783503</c:v>
                </c:pt>
                <c:pt idx="21">
                  <c:v>7.2195778494024481</c:v>
                </c:pt>
                <c:pt idx="22">
                  <c:v>7.4016727738094703</c:v>
                </c:pt>
                <c:pt idx="23">
                  <c:v>7.583802879029677</c:v>
                </c:pt>
                <c:pt idx="24">
                  <c:v>7.7659881028362863</c:v>
                </c:pt>
                <c:pt idx="25">
                  <c:v>7.9482567330789253</c:v>
                </c:pt>
                <c:pt idx="26">
                  <c:v>8.1306486159801228</c:v>
                </c:pt>
                <c:pt idx="27">
                  <c:v>8.3132182670395611</c:v>
                </c:pt>
                <c:pt idx="28">
                  <c:v>8.4960361896367385</c:v>
                </c:pt>
                <c:pt idx="29">
                  <c:v>8.6791847181656561</c:v>
                </c:pt>
                <c:pt idx="30">
                  <c:v>8.8627423063257744</c:v>
                </c:pt>
                <c:pt idx="31">
                  <c:v>9.04675039255517</c:v>
                </c:pt>
                <c:pt idx="32">
                  <c:v>9.231166912280317</c:v>
                </c:pt>
                <c:pt idx="33">
                  <c:v>9.4158342111909406</c:v>
                </c:pt>
                <c:pt idx="34">
                  <c:v>9.60050443993714</c:v>
                </c:pt>
                <c:pt idx="35">
                  <c:v>9.7849285539922946</c:v>
                </c:pt>
                <c:pt idx="36">
                  <c:v>9.9689466492654955</c:v>
                </c:pt>
                <c:pt idx="37">
                  <c:v>10.152515464383894</c:v>
                </c:pt>
                <c:pt idx="38">
                  <c:v>10.335676962617459</c:v>
                </c:pt>
                <c:pt idx="39">
                  <c:v>10.518511475237084</c:v>
                </c:pt>
                <c:pt idx="40">
                  <c:v>10.701104280413743</c:v>
                </c:pt>
                <c:pt idx="41">
                  <c:v>10.883530080759435</c:v>
                </c:pt>
                <c:pt idx="42">
                  <c:v>11.065849475536167</c:v>
                </c:pt>
                <c:pt idx="43">
                  <c:v>11.248111321477786</c:v>
                </c:pt>
                <c:pt idx="44">
                  <c:v>11.430357396969191</c:v>
                </c:pt>
                <c:pt idx="45">
                  <c:v>11.612627884233907</c:v>
                </c:pt>
                <c:pt idx="46">
                  <c:v>11.794967391156714</c:v>
                </c:pt>
                <c:pt idx="47">
                  <c:v>11.977431804206329</c:v>
                </c:pt>
                <c:pt idx="48">
                  <c:v>12.160096419814815</c:v>
                </c:pt>
                <c:pt idx="49">
                  <c:v>12.343065535500466</c:v>
                </c:pt>
                <c:pt idx="50">
                  <c:v>12.52648266198166</c:v>
                </c:pt>
              </c:numCache>
            </c:numRef>
          </c:yVal>
          <c:smooth val="1"/>
          <c:extLst>
            <c:ext xmlns:c16="http://schemas.microsoft.com/office/drawing/2014/chart" uri="{C3380CC4-5D6E-409C-BE32-E72D297353CC}">
              <c16:uniqueId val="{00000002-2890-4C51-8F22-D29D6809648F}"/>
            </c:ext>
          </c:extLst>
        </c:ser>
        <c:ser>
          <c:idx val="3"/>
          <c:order val="3"/>
          <c:tx>
            <c:v>ret_2</c:v>
          </c:tx>
          <c:spPr>
            <a:ln w="12700">
              <a:solidFill>
                <a:srgbClr val="800000"/>
              </a:solidFill>
              <a:prstDash val="solid"/>
            </a:ln>
          </c:spPr>
          <c:marker>
            <c:symbol val="x"/>
            <c:size val="5"/>
            <c:spPr>
              <a:noFill/>
              <a:ln>
                <a:solidFill>
                  <a:srgbClr val="800000"/>
                </a:solidFill>
                <a:prstDash val="solid"/>
              </a:ln>
            </c:spPr>
          </c:marker>
          <c:xVal>
            <c:numRef>
              <c:f>Simulation!$BC$41:$BC$162</c:f>
              <c:numCache>
                <c:formatCode>General</c:formatCode>
                <c:ptCount val="122"/>
                <c:pt idx="0">
                  <c:v>0</c:v>
                </c:pt>
                <c:pt idx="1">
                  <c:v>3.1178095916402526</c:v>
                </c:pt>
                <c:pt idx="2">
                  <c:v>5.4830842549563386</c:v>
                </c:pt>
                <c:pt idx="3">
                  <c:v>7.1361621594405733</c:v>
                </c:pt>
                <c:pt idx="4">
                  <c:v>8.2263623175094835</c:v>
                </c:pt>
                <c:pt idx="5">
                  <c:v>8.9180936905904673</c:v>
                </c:pt>
                <c:pt idx="6">
                  <c:v>9.346292847476434</c:v>
                </c:pt>
                <c:pt idx="7">
                  <c:v>9.6073197331861593</c:v>
                </c:pt>
                <c:pt idx="8">
                  <c:v>9.7649527495377697</c:v>
                </c:pt>
                <c:pt idx="9">
                  <c:v>9.8596074545639567</c:v>
                </c:pt>
                <c:pt idx="10">
                  <c:v>9.9162514918134548</c:v>
                </c:pt>
                <c:pt idx="11">
                  <c:v>9.9500796364736743</c:v>
                </c:pt>
                <c:pt idx="12">
                  <c:v>9.9702573395916261</c:v>
                </c:pt>
                <c:pt idx="13">
                  <c:v>9.9822841104469262</c:v>
                </c:pt>
                <c:pt idx="14">
                  <c:v>9.9894494880572893</c:v>
                </c:pt>
                <c:pt idx="15">
                  <c:v>9.9937174454680644</c:v>
                </c:pt>
                <c:pt idx="16">
                  <c:v>9.9962592605152167</c:v>
                </c:pt>
                <c:pt idx="17">
                  <c:v>9.9977730118553154</c:v>
                </c:pt>
                <c:pt idx="18">
                  <c:v>9.9986746281501837</c:v>
                </c:pt>
                <c:pt idx="19">
                  <c:v>9.9992118965019472</c:v>
                </c:pt>
                <c:pt idx="20">
                  <c:v>9.9995325042982586</c:v>
                </c:pt>
                <c:pt idx="21">
                  <c:v>9.9997245837585069</c:v>
                </c:pt>
                <c:pt idx="22">
                  <c:v>9.9998409408726729</c:v>
                </c:pt>
                <c:pt idx="23">
                  <c:v>9.9999135694815777</c:v>
                </c:pt>
                <c:pt idx="24">
                  <c:v>9.9999624319025315</c:v>
                </c:pt>
                <c:pt idx="25">
                  <c:v>10.000000968284439</c:v>
                </c:pt>
                <c:pt idx="26">
                  <c:v>10.000039772421587</c:v>
                </c:pt>
                <c:pt idx="27">
                  <c:v>10.000089510867838</c:v>
                </c:pt>
                <c:pt idx="28">
                  <c:v>10.000163859513123</c:v>
                </c:pt>
                <c:pt idx="29">
                  <c:v>10.000283257977571</c:v>
                </c:pt>
                <c:pt idx="30">
                  <c:v>10.000480541202705</c:v>
                </c:pt>
                <c:pt idx="31">
                  <c:v>10.000809955818113</c:v>
                </c:pt>
                <c:pt idx="32">
                  <c:v>10.001362081675325</c:v>
                </c:pt>
                <c:pt idx="33">
                  <c:v>10.002288770920131</c:v>
                </c:pt>
                <c:pt idx="34">
                  <c:v>10.003844932361972</c:v>
                </c:pt>
                <c:pt idx="35">
                  <c:v>10.006458779389504</c:v>
                </c:pt>
                <c:pt idx="36">
                  <c:v>10.010849985701498</c:v>
                </c:pt>
                <c:pt idx="37">
                  <c:v>10.018228740955237</c:v>
                </c:pt>
                <c:pt idx="38">
                  <c:v>10.03063188836677</c:v>
                </c:pt>
                <c:pt idx="39">
                  <c:v>10.051492501224857</c:v>
                </c:pt>
                <c:pt idx="40">
                  <c:v>10.086610914731864</c:v>
                </c:pt>
                <c:pt idx="41">
                  <c:v>10.145826595544349</c:v>
                </c:pt>
                <c:pt idx="42">
                  <c:v>10.245943551126402</c:v>
                </c:pt>
                <c:pt idx="43">
                  <c:v>10.415984124119859</c:v>
                </c:pt>
                <c:pt idx="44">
                  <c:v>10.707017914683092</c:v>
                </c:pt>
                <c:pt idx="45">
                  <c:v>11.211729601200204</c:v>
                </c:pt>
                <c:pt idx="46">
                  <c:v>12.107096232648473</c:v>
                </c:pt>
                <c:pt idx="47">
                  <c:v>13.760415789147373</c:v>
                </c:pt>
                <c:pt idx="48">
                  <c:v>17.047096470196266</c:v>
                </c:pt>
                <c:pt idx="49">
                  <c:v>24.627392178808805</c:v>
                </c:pt>
                <c:pt idx="50">
                  <c:v>49.999999998544808</c:v>
                </c:pt>
              </c:numCache>
            </c:numRef>
          </c:xVal>
          <c:yVal>
            <c:numRef>
              <c:f>Simulation!$BD$41:$BD$162</c:f>
              <c:numCache>
                <c:formatCode>General</c:formatCode>
                <c:ptCount val="122"/>
                <c:pt idx="0">
                  <c:v>1.3864116955262979</c:v>
                </c:pt>
                <c:pt idx="1">
                  <c:v>1.6072509629846639</c:v>
                </c:pt>
                <c:pt idx="2">
                  <c:v>1.8295767720077105</c:v>
                </c:pt>
                <c:pt idx="3">
                  <c:v>2.0529474593634975</c:v>
                </c:pt>
                <c:pt idx="4">
                  <c:v>2.2770093808906511</c:v>
                </c:pt>
                <c:pt idx="5">
                  <c:v>2.5015107349928822</c:v>
                </c:pt>
                <c:pt idx="6">
                  <c:v>2.7262844425341055</c:v>
                </c:pt>
                <c:pt idx="7">
                  <c:v>2.9512243027203571</c:v>
                </c:pt>
                <c:pt idx="8">
                  <c:v>3.1762645496567417</c:v>
                </c:pt>
                <c:pt idx="9">
                  <c:v>3.4013650938911701</c:v>
                </c:pt>
                <c:pt idx="10">
                  <c:v>3.6265017280784404</c:v>
                </c:pt>
                <c:pt idx="11">
                  <c:v>3.8516599176710975</c:v>
                </c:pt>
                <c:pt idx="12">
                  <c:v>4.0768309653786892</c:v>
                </c:pt>
                <c:pt idx="13">
                  <c:v>4.3020096773616689</c:v>
                </c:pt>
                <c:pt idx="14">
                  <c:v>4.5271929557213983</c:v>
                </c:pt>
                <c:pt idx="15">
                  <c:v>4.7523789540175265</c:v>
                </c:pt>
                <c:pt idx="16">
                  <c:v>4.9775665722206686</c:v>
                </c:pt>
                <c:pt idx="17">
                  <c:v>5.202755155161106</c:v>
                </c:pt>
                <c:pt idx="18">
                  <c:v>5.427944312752996</c:v>
                </c:pt>
                <c:pt idx="19">
                  <c:v>5.6531338128240902</c:v>
                </c:pt>
                <c:pt idx="20">
                  <c:v>5.8783235173525084</c:v>
                </c:pt>
                <c:pt idx="21">
                  <c:v>6.1035133445166174</c:v>
                </c:pt>
                <c:pt idx="22">
                  <c:v>6.3287032462111243</c:v>
                </c:pt>
                <c:pt idx="23">
                  <c:v>6.5538931948217449</c:v>
                </c:pt>
                <c:pt idx="24">
                  <c:v>6.7790831756342191</c:v>
                </c:pt>
                <c:pt idx="25">
                  <c:v>7.0042731827829474</c:v>
                </c:pt>
                <c:pt idx="26">
                  <c:v>7.2294632176513396</c:v>
                </c:pt>
                <c:pt idx="27">
                  <c:v>7.454653289233244</c:v>
                </c:pt>
                <c:pt idx="28">
                  <c:v>7.6798434166235827</c:v>
                </c:pt>
                <c:pt idx="29">
                  <c:v>7.9050336342567364</c:v>
                </c:pt>
                <c:pt idx="30">
                  <c:v>8.1302240013857006</c:v>
                </c:pt>
                <c:pt idx="31">
                  <c:v>8.3554146183559563</c:v>
                </c:pt>
                <c:pt idx="32">
                  <c:v>8.5806056541966989</c:v>
                </c:pt>
                <c:pt idx="33">
                  <c:v>8.8057973930797129</c:v>
                </c:pt>
                <c:pt idx="34">
                  <c:v>9.0309903124075408</c:v>
                </c:pt>
                <c:pt idx="35">
                  <c:v>9.2561852139633451</c:v>
                </c:pt>
                <c:pt idx="36">
                  <c:v>9.4813834440142948</c:v>
                </c:pt>
                <c:pt idx="37">
                  <c:v>9.7065872625598999</c:v>
                </c:pt>
                <c:pt idx="38">
                  <c:v>9.9318004621133511</c:v>
                </c:pt>
                <c:pt idx="39">
                  <c:v>10.157029403192565</c:v>
                </c:pt>
                <c:pt idx="40">
                  <c:v>10.38228474269382</c:v>
                </c:pt>
                <c:pt idx="41">
                  <c:v>10.607584306646606</c:v>
                </c:pt>
                <c:pt idx="42">
                  <c:v>10.832957830787768</c:v>
                </c:pt>
                <c:pt idx="43">
                  <c:v>11.058454687920037</c:v>
                </c:pt>
                <c:pt idx="44">
                  <c:v>11.284156219807242</c:v>
                </c:pt>
                <c:pt idx="45">
                  <c:v>11.510194694607463</c:v>
                </c:pt>
                <c:pt idx="46">
                  <c:v>11.736780505153671</c:v>
                </c:pt>
                <c:pt idx="47">
                  <c:v>11.964236064627583</c:v>
                </c:pt>
                <c:pt idx="48">
                  <c:v>12.193024702356251</c:v>
                </c:pt>
                <c:pt idx="49">
                  <c:v>12.423738905573176</c:v>
                </c:pt>
                <c:pt idx="50">
                  <c:v>12.656969396779232</c:v>
                </c:pt>
              </c:numCache>
            </c:numRef>
          </c:yVal>
          <c:smooth val="1"/>
          <c:extLst>
            <c:ext xmlns:c16="http://schemas.microsoft.com/office/drawing/2014/chart" uri="{C3380CC4-5D6E-409C-BE32-E72D297353CC}">
              <c16:uniqueId val="{00000003-2890-4C51-8F22-D29D6809648F}"/>
            </c:ext>
          </c:extLst>
        </c:ser>
        <c:ser>
          <c:idx val="4"/>
          <c:order val="4"/>
          <c:tx>
            <c:v>ret_3</c:v>
          </c:tx>
          <c:spPr>
            <a:ln w="12700">
              <a:solidFill>
                <a:srgbClr val="800080"/>
              </a:solidFill>
              <a:prstDash val="solid"/>
            </a:ln>
          </c:spPr>
          <c:marker>
            <c:symbol val="star"/>
            <c:size val="5"/>
            <c:spPr>
              <a:noFill/>
              <a:ln>
                <a:solidFill>
                  <a:srgbClr val="800080"/>
                </a:solidFill>
                <a:prstDash val="solid"/>
              </a:ln>
            </c:spPr>
          </c:marker>
          <c:xVal>
            <c:numRef>
              <c:f>Simulation!$BE$41:$BE$162</c:f>
              <c:numCache>
                <c:formatCode>General</c:formatCode>
                <c:ptCount val="122"/>
              </c:numCache>
            </c:numRef>
          </c:xVal>
          <c:yVal>
            <c:numRef>
              <c:f>Simulation!$BF$41:$BF$162</c:f>
              <c:numCache>
                <c:formatCode>General</c:formatCode>
                <c:ptCount val="122"/>
              </c:numCache>
            </c:numRef>
          </c:yVal>
          <c:smooth val="1"/>
          <c:extLst>
            <c:ext xmlns:c16="http://schemas.microsoft.com/office/drawing/2014/chart" uri="{C3380CC4-5D6E-409C-BE32-E72D297353CC}">
              <c16:uniqueId val="{00000004-2890-4C51-8F22-D29D6809648F}"/>
            </c:ext>
          </c:extLst>
        </c:ser>
        <c:ser>
          <c:idx val="5"/>
          <c:order val="5"/>
          <c:tx>
            <c:v>ret_4</c:v>
          </c:tx>
          <c:spPr>
            <a:ln w="12700">
              <a:solidFill>
                <a:srgbClr val="800000"/>
              </a:solidFill>
              <a:prstDash val="solid"/>
            </a:ln>
          </c:spPr>
          <c:marker>
            <c:symbol val="circle"/>
            <c:size val="5"/>
            <c:spPr>
              <a:solidFill>
                <a:srgbClr val="800000"/>
              </a:solidFill>
              <a:ln>
                <a:solidFill>
                  <a:srgbClr val="800000"/>
                </a:solidFill>
                <a:prstDash val="solid"/>
              </a:ln>
            </c:spPr>
          </c:marker>
          <c:xVal>
            <c:numRef>
              <c:f>Simulation!$BG$41:$BG$162</c:f>
              <c:numCache>
                <c:formatCode>General</c:formatCode>
                <c:ptCount val="122"/>
              </c:numCache>
            </c:numRef>
          </c:xVal>
          <c:yVal>
            <c:numRef>
              <c:f>Simulation!$BH$41:$BH$162</c:f>
              <c:numCache>
                <c:formatCode>General</c:formatCode>
                <c:ptCount val="122"/>
              </c:numCache>
            </c:numRef>
          </c:yVal>
          <c:smooth val="1"/>
          <c:extLst>
            <c:ext xmlns:c16="http://schemas.microsoft.com/office/drawing/2014/chart" uri="{C3380CC4-5D6E-409C-BE32-E72D297353CC}">
              <c16:uniqueId val="{00000005-2890-4C51-8F22-D29D6809648F}"/>
            </c:ext>
          </c:extLst>
        </c:ser>
        <c:ser>
          <c:idx val="6"/>
          <c:order val="6"/>
          <c:tx>
            <c:v>ret_5</c:v>
          </c:tx>
          <c:spPr>
            <a:ln w="12700">
              <a:solidFill>
                <a:srgbClr val="008080"/>
              </a:solidFill>
              <a:prstDash val="solid"/>
            </a:ln>
          </c:spPr>
          <c:marker>
            <c:symbol val="plus"/>
            <c:size val="5"/>
            <c:spPr>
              <a:noFill/>
              <a:ln>
                <a:solidFill>
                  <a:srgbClr val="008080"/>
                </a:solidFill>
                <a:prstDash val="solid"/>
              </a:ln>
            </c:spPr>
          </c:marker>
          <c:xVal>
            <c:numRef>
              <c:f>Simulation!$BI$41:$BI$162</c:f>
              <c:numCache>
                <c:formatCode>General</c:formatCode>
                <c:ptCount val="122"/>
              </c:numCache>
            </c:numRef>
          </c:xVal>
          <c:yVal>
            <c:numRef>
              <c:f>Simulation!$BJ$41:$BJ$162</c:f>
              <c:numCache>
                <c:formatCode>General</c:formatCode>
                <c:ptCount val="122"/>
              </c:numCache>
            </c:numRef>
          </c:yVal>
          <c:smooth val="1"/>
          <c:extLst>
            <c:ext xmlns:c16="http://schemas.microsoft.com/office/drawing/2014/chart" uri="{C3380CC4-5D6E-409C-BE32-E72D297353CC}">
              <c16:uniqueId val="{00000006-2890-4C51-8F22-D29D6809648F}"/>
            </c:ext>
          </c:extLst>
        </c:ser>
        <c:ser>
          <c:idx val="7"/>
          <c:order val="7"/>
          <c:tx>
            <c:v>ret_6</c:v>
          </c:tx>
          <c:spPr>
            <a:ln w="12700">
              <a:solidFill>
                <a:srgbClr val="008000"/>
              </a:solidFill>
              <a:prstDash val="solid"/>
            </a:ln>
          </c:spPr>
          <c:marker>
            <c:symbol val="triangle"/>
            <c:size val="5"/>
            <c:spPr>
              <a:solidFill>
                <a:srgbClr val="008000"/>
              </a:solidFill>
              <a:ln>
                <a:solidFill>
                  <a:srgbClr val="008000"/>
                </a:solidFill>
                <a:prstDash val="solid"/>
              </a:ln>
            </c:spPr>
          </c:marker>
          <c:xVal>
            <c:numRef>
              <c:f>Simulation!$BK$41:$BK$162</c:f>
              <c:numCache>
                <c:formatCode>General</c:formatCode>
                <c:ptCount val="122"/>
              </c:numCache>
            </c:numRef>
          </c:xVal>
          <c:yVal>
            <c:numRef>
              <c:f>Simulation!$BL$41:$BL$162</c:f>
              <c:numCache>
                <c:formatCode>General</c:formatCode>
                <c:ptCount val="122"/>
              </c:numCache>
            </c:numRef>
          </c:yVal>
          <c:smooth val="1"/>
          <c:extLst>
            <c:ext xmlns:c16="http://schemas.microsoft.com/office/drawing/2014/chart" uri="{C3380CC4-5D6E-409C-BE32-E72D297353CC}">
              <c16:uniqueId val="{00000007-2890-4C51-8F22-D29D6809648F}"/>
            </c:ext>
          </c:extLst>
        </c:ser>
        <c:ser>
          <c:idx val="8"/>
          <c:order val="8"/>
          <c:tx>
            <c:v>ret_7</c:v>
          </c:tx>
          <c:spPr>
            <a:ln w="12700">
              <a:solidFill>
                <a:srgbClr val="00CCFF"/>
              </a:solidFill>
              <a:prstDash val="solid"/>
            </a:ln>
          </c:spPr>
          <c:marker>
            <c:symbol val="dash"/>
            <c:size val="5"/>
            <c:spPr>
              <a:noFill/>
              <a:ln>
                <a:solidFill>
                  <a:srgbClr val="00CCFF"/>
                </a:solidFill>
                <a:prstDash val="solid"/>
              </a:ln>
            </c:spPr>
          </c:marker>
          <c:xVal>
            <c:numRef>
              <c:f>Simulation!$BM$41:$BM$162</c:f>
              <c:numCache>
                <c:formatCode>General</c:formatCode>
                <c:ptCount val="122"/>
              </c:numCache>
            </c:numRef>
          </c:xVal>
          <c:yVal>
            <c:numRef>
              <c:f>Simulation!$BN$41:$BN$162</c:f>
              <c:numCache>
                <c:formatCode>General</c:formatCode>
                <c:ptCount val="122"/>
              </c:numCache>
            </c:numRef>
          </c:yVal>
          <c:smooth val="1"/>
          <c:extLst>
            <c:ext xmlns:c16="http://schemas.microsoft.com/office/drawing/2014/chart" uri="{C3380CC4-5D6E-409C-BE32-E72D297353CC}">
              <c16:uniqueId val="{00000008-2890-4C51-8F22-D29D6809648F}"/>
            </c:ext>
          </c:extLst>
        </c:ser>
        <c:ser>
          <c:idx val="9"/>
          <c:order val="9"/>
          <c:tx>
            <c:v>ret_8</c:v>
          </c:tx>
          <c:spPr>
            <a:ln w="12700">
              <a:solidFill>
                <a:srgbClr val="FF6600"/>
              </a:solidFill>
              <a:prstDash val="solid"/>
            </a:ln>
          </c:spPr>
          <c:marker>
            <c:symbol val="diamond"/>
            <c:size val="5"/>
            <c:spPr>
              <a:solidFill>
                <a:srgbClr val="F1F4F5"/>
              </a:solidFill>
              <a:ln>
                <a:solidFill>
                  <a:srgbClr val="FF6600"/>
                </a:solidFill>
                <a:prstDash val="solid"/>
              </a:ln>
            </c:spPr>
          </c:marker>
          <c:xVal>
            <c:numRef>
              <c:f>Simulation!$BO$41:$BO$162</c:f>
              <c:numCache>
                <c:formatCode>General</c:formatCode>
                <c:ptCount val="122"/>
              </c:numCache>
            </c:numRef>
          </c:xVal>
          <c:yVal>
            <c:numRef>
              <c:f>Simulation!$BP$41:$BP$162</c:f>
              <c:numCache>
                <c:formatCode>General</c:formatCode>
                <c:ptCount val="122"/>
              </c:numCache>
            </c:numRef>
          </c:yVal>
          <c:smooth val="1"/>
          <c:extLst>
            <c:ext xmlns:c16="http://schemas.microsoft.com/office/drawing/2014/chart" uri="{C3380CC4-5D6E-409C-BE32-E72D297353CC}">
              <c16:uniqueId val="{00000009-2890-4C51-8F22-D29D6809648F}"/>
            </c:ext>
          </c:extLst>
        </c:ser>
        <c:ser>
          <c:idx val="10"/>
          <c:order val="10"/>
          <c:tx>
            <c:v>ret_9</c:v>
          </c:tx>
          <c:spPr>
            <a:ln w="12700">
              <a:solidFill>
                <a:srgbClr val="FF00FF"/>
              </a:solidFill>
              <a:prstDash val="solid"/>
            </a:ln>
          </c:spPr>
          <c:marker>
            <c:symbol val="square"/>
            <c:size val="5"/>
            <c:spPr>
              <a:solidFill>
                <a:srgbClr val="CCFFCC"/>
              </a:solidFill>
              <a:ln>
                <a:solidFill>
                  <a:srgbClr val="FF00FF"/>
                </a:solidFill>
                <a:prstDash val="solid"/>
              </a:ln>
            </c:spPr>
          </c:marker>
          <c:xVal>
            <c:numRef>
              <c:f>Simulation!$BQ$41:$BQ$162</c:f>
              <c:numCache>
                <c:formatCode>General</c:formatCode>
                <c:ptCount val="122"/>
              </c:numCache>
            </c:numRef>
          </c:xVal>
          <c:yVal>
            <c:numRef>
              <c:f>Simulation!$BR$41:$BR$162</c:f>
              <c:numCache>
                <c:formatCode>General</c:formatCode>
                <c:ptCount val="122"/>
              </c:numCache>
            </c:numRef>
          </c:yVal>
          <c:smooth val="1"/>
          <c:extLst>
            <c:ext xmlns:c16="http://schemas.microsoft.com/office/drawing/2014/chart" uri="{C3380CC4-5D6E-409C-BE32-E72D297353CC}">
              <c16:uniqueId val="{0000000A-2890-4C51-8F22-D29D6809648F}"/>
            </c:ext>
          </c:extLst>
        </c:ser>
        <c:ser>
          <c:idx val="11"/>
          <c:order val="11"/>
          <c:tx>
            <c:v>ret_10</c:v>
          </c:tx>
          <c:spPr>
            <a:ln w="12700">
              <a:solidFill>
                <a:srgbClr val="FFFF99"/>
              </a:solidFill>
              <a:prstDash val="solid"/>
            </a:ln>
          </c:spPr>
          <c:marker>
            <c:symbol val="triangle"/>
            <c:size val="5"/>
            <c:spPr>
              <a:solidFill>
                <a:srgbClr val="FFFF99"/>
              </a:solidFill>
              <a:ln>
                <a:solidFill>
                  <a:srgbClr val="FFFF99"/>
                </a:solidFill>
                <a:prstDash val="solid"/>
              </a:ln>
            </c:spPr>
          </c:marker>
          <c:xVal>
            <c:numRef>
              <c:f>Simulation!$BS$41:$BS$162</c:f>
              <c:numCache>
                <c:formatCode>General</c:formatCode>
                <c:ptCount val="122"/>
              </c:numCache>
            </c:numRef>
          </c:xVal>
          <c:yVal>
            <c:numRef>
              <c:f>Simulation!$BT$41:$BT$162</c:f>
              <c:numCache>
                <c:formatCode>General</c:formatCode>
                <c:ptCount val="122"/>
              </c:numCache>
            </c:numRef>
          </c:yVal>
          <c:smooth val="1"/>
          <c:extLst>
            <c:ext xmlns:c16="http://schemas.microsoft.com/office/drawing/2014/chart" uri="{C3380CC4-5D6E-409C-BE32-E72D297353CC}">
              <c16:uniqueId val="{0000000B-2890-4C51-8F22-D29D6809648F}"/>
            </c:ext>
          </c:extLst>
        </c:ser>
        <c:ser>
          <c:idx val="12"/>
          <c:order val="12"/>
          <c:tx>
            <c:v>ret_11</c:v>
          </c:tx>
          <c:spPr>
            <a:ln w="12700">
              <a:solidFill>
                <a:srgbClr val="C6DDF4"/>
              </a:solidFill>
              <a:prstDash val="solid"/>
            </a:ln>
          </c:spPr>
          <c:marker>
            <c:symbol val="x"/>
            <c:size val="5"/>
            <c:spPr>
              <a:noFill/>
              <a:ln>
                <a:solidFill>
                  <a:srgbClr val="C6DDF4"/>
                </a:solidFill>
                <a:prstDash val="solid"/>
              </a:ln>
            </c:spPr>
          </c:marker>
          <c:xVal>
            <c:numRef>
              <c:f>Simulation!$BU$41:$BU$162</c:f>
              <c:numCache>
                <c:formatCode>General</c:formatCode>
                <c:ptCount val="122"/>
              </c:numCache>
            </c:numRef>
          </c:xVal>
          <c:yVal>
            <c:numRef>
              <c:f>Simulation!$BV$41:$BV$162</c:f>
              <c:numCache>
                <c:formatCode>General</c:formatCode>
                <c:ptCount val="122"/>
              </c:numCache>
            </c:numRef>
          </c:yVal>
          <c:smooth val="1"/>
          <c:extLst>
            <c:ext xmlns:c16="http://schemas.microsoft.com/office/drawing/2014/chart" uri="{C3380CC4-5D6E-409C-BE32-E72D297353CC}">
              <c16:uniqueId val="{0000000C-2890-4C51-8F22-D29D6809648F}"/>
            </c:ext>
          </c:extLst>
        </c:ser>
        <c:ser>
          <c:idx val="13"/>
          <c:order val="13"/>
          <c:tx>
            <c:v>ret_12</c:v>
          </c:tx>
          <c:spPr>
            <a:ln w="12700">
              <a:solidFill>
                <a:srgbClr val="FF99CC"/>
              </a:solidFill>
              <a:prstDash val="solid"/>
            </a:ln>
          </c:spPr>
          <c:marker>
            <c:symbol val="star"/>
            <c:size val="5"/>
            <c:spPr>
              <a:noFill/>
              <a:ln>
                <a:solidFill>
                  <a:srgbClr val="FF99CC"/>
                </a:solidFill>
                <a:prstDash val="solid"/>
              </a:ln>
            </c:spPr>
          </c:marker>
          <c:xVal>
            <c:numRef>
              <c:f>Simulation!$BW$41:$BW$162</c:f>
              <c:numCache>
                <c:formatCode>General</c:formatCode>
                <c:ptCount val="122"/>
              </c:numCache>
            </c:numRef>
          </c:xVal>
          <c:yVal>
            <c:numRef>
              <c:f>Simulation!$BX$41:$BX$162</c:f>
              <c:numCache>
                <c:formatCode>General</c:formatCode>
                <c:ptCount val="122"/>
              </c:numCache>
            </c:numRef>
          </c:yVal>
          <c:smooth val="1"/>
          <c:extLst>
            <c:ext xmlns:c16="http://schemas.microsoft.com/office/drawing/2014/chart" uri="{C3380CC4-5D6E-409C-BE32-E72D297353CC}">
              <c16:uniqueId val="{0000000D-2890-4C51-8F22-D29D6809648F}"/>
            </c:ext>
          </c:extLst>
        </c:ser>
        <c:ser>
          <c:idx val="14"/>
          <c:order val="14"/>
          <c:tx>
            <c:v>ret_13</c:v>
          </c:tx>
          <c:spPr>
            <a:ln w="12700">
              <a:solidFill>
                <a:srgbClr val="CC99FF"/>
              </a:solidFill>
              <a:prstDash val="solid"/>
            </a:ln>
          </c:spPr>
          <c:marker>
            <c:symbol val="circle"/>
            <c:size val="5"/>
            <c:spPr>
              <a:solidFill>
                <a:srgbClr val="CC99FF"/>
              </a:solidFill>
              <a:ln>
                <a:solidFill>
                  <a:srgbClr val="CC99FF"/>
                </a:solidFill>
                <a:prstDash val="solid"/>
              </a:ln>
            </c:spPr>
          </c:marker>
          <c:xVal>
            <c:numRef>
              <c:f>Simulation!$BY$41:$BY$162</c:f>
              <c:numCache>
                <c:formatCode>General</c:formatCode>
                <c:ptCount val="122"/>
              </c:numCache>
            </c:numRef>
          </c:xVal>
          <c:yVal>
            <c:numRef>
              <c:f>Simulation!$BZ$41:$BZ$162</c:f>
              <c:numCache>
                <c:formatCode>General</c:formatCode>
                <c:ptCount val="122"/>
              </c:numCache>
            </c:numRef>
          </c:yVal>
          <c:smooth val="1"/>
          <c:extLst>
            <c:ext xmlns:c16="http://schemas.microsoft.com/office/drawing/2014/chart" uri="{C3380CC4-5D6E-409C-BE32-E72D297353CC}">
              <c16:uniqueId val="{0000000E-2890-4C51-8F22-D29D6809648F}"/>
            </c:ext>
          </c:extLst>
        </c:ser>
        <c:dLbls>
          <c:showLegendKey val="0"/>
          <c:showVal val="0"/>
          <c:showCatName val="0"/>
          <c:showSerName val="0"/>
          <c:showPercent val="0"/>
          <c:showBubbleSize val="0"/>
        </c:dLbls>
        <c:axId val="277066464"/>
        <c:axId val="277063744"/>
      </c:scatterChart>
      <c:valAx>
        <c:axId val="277066464"/>
        <c:scaling>
          <c:orientation val="minMax"/>
        </c:scaling>
        <c:delete val="0"/>
        <c:axPos val="b"/>
        <c:majorGridlines/>
        <c:title>
          <c:tx>
            <c:rich>
              <a:bodyPr/>
              <a:lstStyle/>
              <a:p>
                <a:pPr>
                  <a:defRPr sz="1200" b="1" i="0" u="none" strike="noStrike" baseline="0">
                    <a:solidFill>
                      <a:srgbClr val="000000"/>
                    </a:solidFill>
                    <a:latin typeface="Arial"/>
                    <a:ea typeface="Arial"/>
                    <a:cs typeface="Arial"/>
                  </a:defRPr>
                </a:pPr>
                <a:r>
                  <a:rPr lang="pt-BR"/>
                  <a:t>Volume of titrant (mL)</a:t>
                </a:r>
              </a:p>
            </c:rich>
          </c:tx>
          <c:layout>
            <c:manualLayout>
              <c:xMode val="edge"/>
              <c:yMode val="edge"/>
              <c:x val="0.43567588534192492"/>
              <c:y val="0.92794750656168956"/>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nl-NL"/>
          </a:p>
        </c:txPr>
        <c:crossAx val="277063744"/>
        <c:crosses val="autoZero"/>
        <c:crossBetween val="midCat"/>
      </c:valAx>
      <c:valAx>
        <c:axId val="277063744"/>
        <c:scaling>
          <c:orientation val="minMax"/>
        </c:scaling>
        <c:delete val="0"/>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pt-BR"/>
                  <a:t>pH</a:t>
                </a:r>
              </a:p>
            </c:rich>
          </c:tx>
          <c:layout>
            <c:manualLayout>
              <c:xMode val="edge"/>
              <c:yMode val="edge"/>
              <c:x val="1.6520305651448883E-2"/>
              <c:y val="0.42650608446671434"/>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nl-NL"/>
          </a:p>
        </c:txPr>
        <c:crossAx val="277066464"/>
        <c:crosses val="autoZero"/>
        <c:crossBetween val="midCat"/>
      </c:valAx>
      <c:spPr>
        <a:noFill/>
        <a:ln w="12700">
          <a:solidFill>
            <a:srgbClr val="F9FCDE"/>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0.98425196899999956" l="0.78740157499999996" r="0.78740157499999996" t="0.98425196899999956" header="0.49212598500001148" footer="0.49212598500001148"/>
    <c:pageSetup paperSize="9"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75" b="0" i="0" u="none" strike="noStrike" baseline="0">
                <a:solidFill>
                  <a:srgbClr val="000000"/>
                </a:solidFill>
                <a:latin typeface="Arial"/>
                <a:ea typeface="Arial"/>
                <a:cs typeface="Arial"/>
              </a:defRPr>
            </a:pPr>
            <a:r>
              <a:rPr lang="pt-BR" sz="1100" b="1" i="0" strike="noStrike">
                <a:solidFill>
                  <a:srgbClr val="000000"/>
                </a:solidFill>
                <a:latin typeface="Arial"/>
                <a:cs typeface="Arial"/>
              </a:rPr>
              <a:t>Residuals (CH</a:t>
            </a:r>
            <a:r>
              <a:rPr lang="pt-BR" sz="1100" b="1" i="0" strike="noStrike" baseline="-25000">
                <a:solidFill>
                  <a:srgbClr val="000000"/>
                </a:solidFill>
                <a:latin typeface="Arial"/>
                <a:cs typeface="Arial"/>
              </a:rPr>
              <a:t>Reg </a:t>
            </a:r>
            <a:r>
              <a:rPr lang="pt-BR" sz="1100" b="1" i="0" strike="noStrike">
                <a:solidFill>
                  <a:srgbClr val="000000"/>
                </a:solidFill>
                <a:latin typeface="Arial"/>
                <a:cs typeface="Arial"/>
              </a:rPr>
              <a:t>- CH</a:t>
            </a:r>
            <a:r>
              <a:rPr lang="pt-BR" sz="1100" b="1" i="0" strike="noStrike" baseline="-25000">
                <a:solidFill>
                  <a:srgbClr val="000000"/>
                </a:solidFill>
                <a:latin typeface="Arial"/>
                <a:cs typeface="Arial"/>
              </a:rPr>
              <a:t>calc</a:t>
            </a:r>
            <a:r>
              <a:rPr lang="pt-BR" sz="1100" b="1" i="0" strike="noStrike">
                <a:solidFill>
                  <a:srgbClr val="000000"/>
                </a:solidFill>
                <a:latin typeface="Arial"/>
                <a:cs typeface="Arial"/>
              </a:rPr>
              <a:t>)</a:t>
            </a:r>
            <a:endParaRPr lang="pt-BR" sz="1200" b="1" i="0" strike="noStrike">
              <a:solidFill>
                <a:srgbClr val="000000"/>
              </a:solidFill>
              <a:latin typeface="Arial"/>
              <a:cs typeface="Arial"/>
            </a:endParaRPr>
          </a:p>
        </c:rich>
      </c:tx>
      <c:layout>
        <c:manualLayout>
          <c:xMode val="edge"/>
          <c:yMode val="edge"/>
          <c:x val="0.39183986807097387"/>
          <c:y val="4.9699246101446472E-3"/>
        </c:manualLayout>
      </c:layout>
      <c:overlay val="0"/>
      <c:spPr>
        <a:noFill/>
        <a:ln w="25400">
          <a:noFill/>
        </a:ln>
      </c:spPr>
    </c:title>
    <c:autoTitleDeleted val="0"/>
    <c:plotArea>
      <c:layout>
        <c:manualLayout>
          <c:layoutTarget val="inner"/>
          <c:xMode val="edge"/>
          <c:yMode val="edge"/>
          <c:x val="0.17225237409237054"/>
          <c:y val="9.8599048672331491E-2"/>
          <c:w val="0.7826294887502373"/>
          <c:h val="0.68290513118118756"/>
        </c:manualLayout>
      </c:layout>
      <c:scatterChart>
        <c:scatterStyle val="smoothMarker"/>
        <c:varyColors val="0"/>
        <c:ser>
          <c:idx val="0"/>
          <c:order val="0"/>
          <c:tx>
            <c:v>Residues</c:v>
          </c:tx>
          <c:spPr>
            <a:ln w="28575">
              <a:noFill/>
            </a:ln>
          </c:spPr>
          <c:marker>
            <c:symbol val="diamond"/>
            <c:size val="5"/>
            <c:spPr>
              <a:solidFill>
                <a:srgbClr val="09007E"/>
              </a:solidFill>
              <a:ln>
                <a:solidFill>
                  <a:srgbClr val="09007E"/>
                </a:solidFill>
                <a:prstDash val="solid"/>
              </a:ln>
            </c:spPr>
          </c:marker>
          <c:xVal>
            <c:numRef>
              <c:f>Regression!$A$41:$A$162</c:f>
              <c:numCache>
                <c:formatCode>0.000</c:formatCode>
                <c:ptCount val="122"/>
                <c:pt idx="0">
                  <c:v>0</c:v>
                </c:pt>
                <c:pt idx="1">
                  <c:v>0.87795368308434263</c:v>
                </c:pt>
                <c:pt idx="2">
                  <c:v>1.6979725172859617</c:v>
                </c:pt>
                <c:pt idx="3">
                  <c:v>2.4511264302418567</c:v>
                </c:pt>
                <c:pt idx="4">
                  <c:v>3.1349450364359654</c:v>
                </c:pt>
                <c:pt idx="5">
                  <c:v>3.7547393163549714</c:v>
                </c:pt>
                <c:pt idx="6">
                  <c:v>4.3231222967733629</c:v>
                </c:pt>
                <c:pt idx="7">
                  <c:v>4.8577314577414654</c:v>
                </c:pt>
                <c:pt idx="8">
                  <c:v>5.3776574277435429</c:v>
                </c:pt>
                <c:pt idx="9">
                  <c:v>5.8992317426600493</c:v>
                </c:pt>
                <c:pt idx="10">
                  <c:v>6.4320653895265423</c:v>
                </c:pt>
                <c:pt idx="11">
                  <c:v>6.9767121531185694</c:v>
                </c:pt>
                <c:pt idx="12">
                  <c:v>7.5253937233355828</c:v>
                </c:pt>
                <c:pt idx="13">
                  <c:v>8.0660327701480128</c:v>
                </c:pt>
                <c:pt idx="14">
                  <c:v>8.5878766272799112</c:v>
                </c:pt>
                <c:pt idx="15">
                  <c:v>9.0860306183458306</c:v>
                </c:pt>
                <c:pt idx="16">
                  <c:v>9.5631117394077592</c:v>
                </c:pt>
                <c:pt idx="17">
                  <c:v>10.027885822637472</c:v>
                </c:pt>
                <c:pt idx="18">
                  <c:v>10.491771616216283</c:v>
                </c:pt>
                <c:pt idx="19">
                  <c:v>10.964314219017979</c:v>
                </c:pt>
                <c:pt idx="20">
                  <c:v>11.448833580652718</c:v>
                </c:pt>
                <c:pt idx="21">
                  <c:v>11.939793326018844</c:v>
                </c:pt>
                <c:pt idx="22">
                  <c:v>12.423383911664132</c:v>
                </c:pt>
                <c:pt idx="23">
                  <c:v>12.881495391775388</c:v>
                </c:pt>
                <c:pt idx="24">
                  <c:v>13.297209756274242</c:v>
                </c:pt>
                <c:pt idx="25">
                  <c:v>13.659096746414434</c:v>
                </c:pt>
                <c:pt idx="26">
                  <c:v>13.962769800855312</c:v>
                </c:pt>
                <c:pt idx="27">
                  <c:v>14.210002183972392</c:v>
                </c:pt>
                <c:pt idx="28">
                  <c:v>14.406663844420109</c:v>
                </c:pt>
                <c:pt idx="29">
                  <c:v>14.560617950337473</c:v>
                </c:pt>
                <c:pt idx="30">
                  <c:v>14.680155283713248</c:v>
                </c:pt>
                <c:pt idx="31">
                  <c:v>14.773074111144524</c:v>
                </c:pt>
                <c:pt idx="32">
                  <c:v>14.84628180769505</c:v>
                </c:pt>
                <c:pt idx="33">
                  <c:v>14.905741201073397</c:v>
                </c:pt>
                <c:pt idx="34">
                  <c:v>14.956614199036267</c:v>
                </c:pt>
                <c:pt idx="35">
                  <c:v>15.003504943160806</c:v>
                </c:pt>
                <c:pt idx="36">
                  <c:v>15.050747345958371</c:v>
                </c:pt>
                <c:pt idx="37">
                  <c:v>15.102709837083239</c:v>
                </c:pt>
                <c:pt idx="38">
                  <c:v>15.16410350886872</c:v>
                </c:pt>
                <c:pt idx="39">
                  <c:v>15.240280378202442</c:v>
                </c:pt>
                <c:pt idx="40">
                  <c:v>15.337496060237754</c:v>
                </c:pt>
                <c:pt idx="41">
                  <c:v>15.463084501971025</c:v>
                </c:pt>
                <c:pt idx="42">
                  <c:v>15.625451547384728</c:v>
                </c:pt>
                <c:pt idx="43">
                  <c:v>15.83374493784504</c:v>
                </c:pt>
                <c:pt idx="44">
                  <c:v>16.097023374459241</c:v>
                </c:pt>
                <c:pt idx="45">
                  <c:v>16.422776044055354</c:v>
                </c:pt>
                <c:pt idx="46">
                  <c:v>16.814808531489689</c:v>
                </c:pt>
                <c:pt idx="47">
                  <c:v>17.270861055294517</c:v>
                </c:pt>
                <c:pt idx="48">
                  <c:v>17.780781710462179</c:v>
                </c:pt>
                <c:pt idx="49">
                  <c:v>18.326342337240931</c:v>
                </c:pt>
                <c:pt idx="50">
                  <c:v>18.883451000147033</c:v>
                </c:pt>
                <c:pt idx="51">
                  <c:v>19.426484357973095</c:v>
                </c:pt>
                <c:pt idx="52">
                  <c:v>19.933300970296841</c:v>
                </c:pt>
                <c:pt idx="53">
                  <c:v>20.389101548062172</c:v>
                </c:pt>
                <c:pt idx="54">
                  <c:v>20.788013354467694</c:v>
                </c:pt>
                <c:pt idx="55">
                  <c:v>21.132498390215915</c:v>
                </c:pt>
                <c:pt idx="56">
                  <c:v>21.431539957120549</c:v>
                </c:pt>
                <c:pt idx="57">
                  <c:v>21.698694249789696</c:v>
                </c:pt>
                <c:pt idx="58">
                  <c:v>21.950749414099846</c:v>
                </c:pt>
                <c:pt idx="59">
                  <c:v>22.207322194299195</c:v>
                </c:pt>
                <c:pt idx="60">
                  <c:v>22.491481258475687</c:v>
                </c:pt>
                <c:pt idx="61">
                  <c:v>22.831461780879181</c:v>
                </c:pt>
                <c:pt idx="62">
                  <c:v>23.263700974348467</c:v>
                </c:pt>
                <c:pt idx="63">
                  <c:v>23.837788712990005</c:v>
                </c:pt>
                <c:pt idx="64">
                  <c:v>24.624625903379638</c:v>
                </c:pt>
                <c:pt idx="65">
                  <c:v>25.730517484771553</c:v>
                </c:pt>
                <c:pt idx="66">
                  <c:v>27.32318145717727</c:v>
                </c:pt>
                <c:pt idx="67">
                  <c:v>29.683852127345745</c:v>
                </c:pt>
                <c:pt idx="68">
                  <c:v>33.322947287524585</c:v>
                </c:pt>
                <c:pt idx="69">
                  <c:v>39.274074586865027</c:v>
                </c:pt>
                <c:pt idx="70">
                  <c:v>49.999999995634425</c:v>
                </c:pt>
              </c:numCache>
            </c:numRef>
          </c:xVal>
          <c:yVal>
            <c:numRef>
              <c:f>Regression!$H$41:$H$162</c:f>
              <c:numCache>
                <c:formatCode>0.000E+00</c:formatCode>
                <c:ptCount val="122"/>
                <c:pt idx="0">
                  <c:v>1.4024049738947941E-3</c:v>
                </c:pt>
                <c:pt idx="1">
                  <c:v>-3.7691325820238264E-5</c:v>
                </c:pt>
                <c:pt idx="2">
                  <c:v>-1.0392366652692969E-3</c:v>
                </c:pt>
                <c:pt idx="3">
                  <c:v>-2.4222253401001703E-4</c:v>
                </c:pt>
                <c:pt idx="4">
                  <c:v>1.8090095234332693E-4</c:v>
                </c:pt>
                <c:pt idx="5">
                  <c:v>1.1673682049982703E-4</c:v>
                </c:pt>
                <c:pt idx="6">
                  <c:v>-5.3460989467926656E-4</c:v>
                </c:pt>
                <c:pt idx="7">
                  <c:v>-1.2653517391089664E-5</c:v>
                </c:pt>
                <c:pt idx="8">
                  <c:v>7.2120812382600596E-5</c:v>
                </c:pt>
                <c:pt idx="9">
                  <c:v>-1.4886213960373096E-4</c:v>
                </c:pt>
                <c:pt idx="10">
                  <c:v>2.1653433124098342E-4</c:v>
                </c:pt>
                <c:pt idx="11">
                  <c:v>-7.8998509212835355E-5</c:v>
                </c:pt>
                <c:pt idx="12">
                  <c:v>-3.2068479338860645E-4</c:v>
                </c:pt>
                <c:pt idx="13">
                  <c:v>-3.5457837234458001E-4</c:v>
                </c:pt>
                <c:pt idx="14">
                  <c:v>3.5157903446562944E-4</c:v>
                </c:pt>
                <c:pt idx="15">
                  <c:v>-2.5393719022839822E-4</c:v>
                </c:pt>
                <c:pt idx="16">
                  <c:v>6.0684542198774505E-4</c:v>
                </c:pt>
                <c:pt idx="17">
                  <c:v>-1.5750206836682989E-4</c:v>
                </c:pt>
                <c:pt idx="18">
                  <c:v>1.8929085172851579E-4</c:v>
                </c:pt>
                <c:pt idx="19">
                  <c:v>-2.2797782649325304E-5</c:v>
                </c:pt>
                <c:pt idx="20">
                  <c:v>-6.1552874618883702E-5</c:v>
                </c:pt>
                <c:pt idx="21">
                  <c:v>-1.9232035015635807E-4</c:v>
                </c:pt>
                <c:pt idx="22">
                  <c:v>-2.6946096419705468E-4</c:v>
                </c:pt>
                <c:pt idx="23">
                  <c:v>-1.6986718409160717E-4</c:v>
                </c:pt>
                <c:pt idx="24">
                  <c:v>-3.1172435840320922E-4</c:v>
                </c:pt>
                <c:pt idx="25">
                  <c:v>4.4429016637838326E-4</c:v>
                </c:pt>
                <c:pt idx="26">
                  <c:v>-6.8132089769870618E-5</c:v>
                </c:pt>
                <c:pt idx="27">
                  <c:v>6.0758789479642417E-6</c:v>
                </c:pt>
                <c:pt idx="28">
                  <c:v>4.3905024274884519E-5</c:v>
                </c:pt>
                <c:pt idx="29">
                  <c:v>6.2113207601188769E-5</c:v>
                </c:pt>
                <c:pt idx="30">
                  <c:v>5.4841483291198645E-5</c:v>
                </c:pt>
                <c:pt idx="31">
                  <c:v>-1.3241509941572249E-5</c:v>
                </c:pt>
                <c:pt idx="32">
                  <c:v>2.4383213645146062E-5</c:v>
                </c:pt>
                <c:pt idx="33">
                  <c:v>-7.4872696816108419E-6</c:v>
                </c:pt>
                <c:pt idx="34">
                  <c:v>5.1750416639739782E-5</c:v>
                </c:pt>
                <c:pt idx="35">
                  <c:v>3.3046269076755785E-5</c:v>
                </c:pt>
                <c:pt idx="36">
                  <c:v>1.3088660181917455E-5</c:v>
                </c:pt>
                <c:pt idx="37">
                  <c:v>3.7005569680184647E-5</c:v>
                </c:pt>
                <c:pt idx="38">
                  <c:v>8.6676895647008756E-7</c:v>
                </c:pt>
                <c:pt idx="39">
                  <c:v>2.9050495386068187E-5</c:v>
                </c:pt>
                <c:pt idx="40">
                  <c:v>2.8990502034011156E-5</c:v>
                </c:pt>
                <c:pt idx="41">
                  <c:v>-6.5996840593066097E-5</c:v>
                </c:pt>
                <c:pt idx="42">
                  <c:v>1.453221675273772E-4</c:v>
                </c:pt>
                <c:pt idx="43">
                  <c:v>-1.1110037801569106E-5</c:v>
                </c:pt>
                <c:pt idx="44">
                  <c:v>-6.0795175495793885E-5</c:v>
                </c:pt>
                <c:pt idx="45">
                  <c:v>-5.4604854261196267E-5</c:v>
                </c:pt>
                <c:pt idx="46">
                  <c:v>-1.3431937002629513E-5</c:v>
                </c:pt>
                <c:pt idx="47">
                  <c:v>2.0145336695005789E-4</c:v>
                </c:pt>
                <c:pt idx="48">
                  <c:v>-1.2249832229380142E-4</c:v>
                </c:pt>
                <c:pt idx="49">
                  <c:v>-1.2637290353798708E-4</c:v>
                </c:pt>
                <c:pt idx="50">
                  <c:v>-2.3804379461566522E-4</c:v>
                </c:pt>
                <c:pt idx="51">
                  <c:v>2.6831624661043108E-4</c:v>
                </c:pt>
                <c:pt idx="52">
                  <c:v>-2.0662118912197214E-5</c:v>
                </c:pt>
                <c:pt idx="53">
                  <c:v>2.5137385275059154E-4</c:v>
                </c:pt>
                <c:pt idx="54">
                  <c:v>-1.0191475186061699E-4</c:v>
                </c:pt>
                <c:pt idx="55">
                  <c:v>-1.3529289926442201E-4</c:v>
                </c:pt>
                <c:pt idx="56">
                  <c:v>-1.1232414382304073E-4</c:v>
                </c:pt>
                <c:pt idx="57">
                  <c:v>9.9138579824235851E-5</c:v>
                </c:pt>
                <c:pt idx="58">
                  <c:v>8.6291426802047322E-5</c:v>
                </c:pt>
                <c:pt idx="59">
                  <c:v>-1.5178814999121382E-5</c:v>
                </c:pt>
                <c:pt idx="60">
                  <c:v>-5.9401770813011234E-5</c:v>
                </c:pt>
                <c:pt idx="61">
                  <c:v>8.2647646970662736E-5</c:v>
                </c:pt>
                <c:pt idx="62">
                  <c:v>1.7698508100296578E-4</c:v>
                </c:pt>
                <c:pt idx="63">
                  <c:v>1.070712595718018E-4</c:v>
                </c:pt>
                <c:pt idx="64">
                  <c:v>6.6555525909586105E-4</c:v>
                </c:pt>
                <c:pt idx="65">
                  <c:v>6.6161066526472523E-4</c:v>
                </c:pt>
                <c:pt idx="66">
                  <c:v>-4.5322031149629127E-4</c:v>
                </c:pt>
                <c:pt idx="67">
                  <c:v>-1.2129063431467815E-3</c:v>
                </c:pt>
                <c:pt idx="68">
                  <c:v>3.6209156534136588E-4</c:v>
                </c:pt>
                <c:pt idx="69">
                  <c:v>-1.0669085774660178E-3</c:v>
                </c:pt>
                <c:pt idx="70">
                  <c:v>1.0058191361252342E-3</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numCache>
            </c:numRef>
          </c:yVal>
          <c:smooth val="1"/>
          <c:extLst>
            <c:ext xmlns:c16="http://schemas.microsoft.com/office/drawing/2014/chart" uri="{C3380CC4-5D6E-409C-BE32-E72D297353CC}">
              <c16:uniqueId val="{00000000-52A5-4F91-9F08-5A431EE7748C}"/>
            </c:ext>
          </c:extLst>
        </c:ser>
        <c:dLbls>
          <c:showLegendKey val="0"/>
          <c:showVal val="0"/>
          <c:showCatName val="0"/>
          <c:showSerName val="0"/>
          <c:showPercent val="0"/>
          <c:showBubbleSize val="0"/>
        </c:dLbls>
        <c:axId val="387168288"/>
        <c:axId val="387166112"/>
      </c:scatterChart>
      <c:valAx>
        <c:axId val="387168288"/>
        <c:scaling>
          <c:orientation val="minMax"/>
        </c:scaling>
        <c:delete val="0"/>
        <c:axPos val="b"/>
        <c:majorGridlines/>
        <c:title>
          <c:tx>
            <c:rich>
              <a:bodyPr/>
              <a:lstStyle/>
              <a:p>
                <a:pPr>
                  <a:defRPr sz="1075" b="1" i="0" u="none" strike="noStrike" baseline="0">
                    <a:solidFill>
                      <a:srgbClr val="000000"/>
                    </a:solidFill>
                    <a:latin typeface="Arial"/>
                    <a:ea typeface="Arial"/>
                    <a:cs typeface="Arial"/>
                  </a:defRPr>
                </a:pPr>
                <a:r>
                  <a:rPr lang="pt-BR"/>
                  <a:t>Titrant volume (mL)</a:t>
                </a:r>
              </a:p>
            </c:rich>
          </c:tx>
          <c:layout>
            <c:manualLayout>
              <c:xMode val="edge"/>
              <c:yMode val="edge"/>
              <c:x val="0.42555306285038397"/>
              <c:y val="0.89658843615421868"/>
            </c:manualLayout>
          </c:layout>
          <c:overlay val="0"/>
          <c:spPr>
            <a:noFill/>
            <a:ln w="25400">
              <a:noFill/>
            </a:ln>
          </c:spPr>
        </c:title>
        <c:numFmt formatCode="0.0" sourceLinked="0"/>
        <c:majorTickMark val="out"/>
        <c:minorTickMark val="none"/>
        <c:tickLblPos val="low"/>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387166112"/>
        <c:crosses val="autoZero"/>
        <c:crossBetween val="midCat"/>
      </c:valAx>
      <c:valAx>
        <c:axId val="387166112"/>
        <c:scaling>
          <c:orientation val="minMax"/>
        </c:scaling>
        <c:delete val="0"/>
        <c:axPos val="l"/>
        <c:majorGridlines>
          <c:spPr>
            <a:ln w="3175">
              <a:solidFill>
                <a:srgbClr val="000000"/>
              </a:solidFill>
              <a:prstDash val="solid"/>
            </a:ln>
          </c:spPr>
        </c:majorGridlines>
        <c:title>
          <c:tx>
            <c:rich>
              <a:bodyPr/>
              <a:lstStyle/>
              <a:p>
                <a:pPr>
                  <a:defRPr sz="1100" b="0" i="0" u="none" strike="noStrike" baseline="0">
                    <a:solidFill>
                      <a:srgbClr val="000000"/>
                    </a:solidFill>
                    <a:latin typeface="Calibri"/>
                    <a:ea typeface="Calibri"/>
                    <a:cs typeface="Calibri"/>
                  </a:defRPr>
                </a:pPr>
                <a:r>
                  <a:rPr lang="pt-BR" sz="1075" b="1" i="0" strike="noStrike">
                    <a:solidFill>
                      <a:srgbClr val="000000"/>
                    </a:solidFill>
                    <a:latin typeface="Arial"/>
                    <a:cs typeface="Arial"/>
                  </a:rPr>
                  <a:t>CH</a:t>
                </a:r>
                <a:r>
                  <a:rPr lang="pt-BR" sz="725" b="1" i="0" strike="noStrike">
                    <a:solidFill>
                      <a:srgbClr val="000000"/>
                    </a:solidFill>
                    <a:latin typeface="Arial"/>
                    <a:cs typeface="Arial"/>
                  </a:rPr>
                  <a:t>Reg</a:t>
                </a:r>
                <a:r>
                  <a:rPr lang="pt-BR" sz="1075" b="1" i="0" strike="noStrike">
                    <a:solidFill>
                      <a:srgbClr val="000000"/>
                    </a:solidFill>
                    <a:latin typeface="Arial"/>
                    <a:cs typeface="Arial"/>
                  </a:rPr>
                  <a:t>-CH</a:t>
                </a:r>
                <a:r>
                  <a:rPr lang="pt-BR" sz="800" b="1" i="0" strike="noStrike">
                    <a:solidFill>
                      <a:srgbClr val="000000"/>
                    </a:solidFill>
                    <a:latin typeface="Arial"/>
                    <a:cs typeface="Arial"/>
                  </a:rPr>
                  <a:t>calc</a:t>
                </a:r>
                <a:endParaRPr lang="pt-BR" sz="1075" b="1" i="0" strike="noStrike">
                  <a:solidFill>
                    <a:srgbClr val="000000"/>
                  </a:solidFill>
                  <a:latin typeface="Arial"/>
                  <a:cs typeface="Arial"/>
                </a:endParaRPr>
              </a:p>
              <a:p>
                <a:pPr>
                  <a:defRPr sz="1100" b="0" i="0" u="none" strike="noStrike" baseline="0">
                    <a:solidFill>
                      <a:srgbClr val="000000"/>
                    </a:solidFill>
                    <a:latin typeface="Calibri"/>
                    <a:ea typeface="Calibri"/>
                    <a:cs typeface="Calibri"/>
                  </a:defRPr>
                </a:pPr>
                <a:endParaRPr lang="pt-BR" sz="1075" b="1" i="0" strike="noStrike">
                  <a:solidFill>
                    <a:srgbClr val="000000"/>
                  </a:solidFill>
                  <a:latin typeface="Arial"/>
                  <a:cs typeface="Arial"/>
                </a:endParaRPr>
              </a:p>
            </c:rich>
          </c:tx>
          <c:layout>
            <c:manualLayout>
              <c:xMode val="edge"/>
              <c:yMode val="edge"/>
              <c:x val="2.1922120070186758E-3"/>
              <c:y val="0.19896185306933944"/>
            </c:manualLayout>
          </c:layout>
          <c:overlay val="0"/>
          <c:spPr>
            <a:noFill/>
            <a:ln w="25400">
              <a:noFill/>
            </a:ln>
          </c:spPr>
        </c:title>
        <c:numFmt formatCode="0.0E+00" sourceLinked="0"/>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387168288"/>
        <c:crosses val="autoZero"/>
        <c:crossBetween val="midCat"/>
      </c:valAx>
      <c:spPr>
        <a:noFill/>
        <a:ln w="12700">
          <a:solidFill>
            <a:schemeClr val="tx1"/>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75" b="0" i="0" u="none" strike="noStrike" baseline="0">
          <a:solidFill>
            <a:srgbClr val="000000"/>
          </a:solidFill>
          <a:latin typeface="Arial"/>
          <a:ea typeface="Arial"/>
          <a:cs typeface="Arial"/>
        </a:defRPr>
      </a:pPr>
      <a:endParaRPr lang="nl-NL"/>
    </a:p>
  </c:txPr>
  <c:printSettings>
    <c:headerFooter alignWithMargins="0"/>
    <c:pageMargins b="0.98425196899999956" l="0.78740157499999996" r="0.78740157499999996" t="0.98425196899999956" header="0.49212598500001148" footer="0.49212598500001148"/>
    <c:pageSetup orientation="landscape" horizontalDpi="300" verticalDpi="30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75" b="0" i="0" u="none" strike="noStrike" baseline="0">
                <a:solidFill>
                  <a:srgbClr val="000000"/>
                </a:solidFill>
                <a:latin typeface="Arial"/>
                <a:ea typeface="Arial"/>
                <a:cs typeface="Arial"/>
              </a:defRPr>
            </a:pPr>
            <a:r>
              <a:rPr lang="pt-BR" sz="1100" b="1" i="0" strike="noStrike">
                <a:solidFill>
                  <a:srgbClr val="000000"/>
                </a:solidFill>
                <a:latin typeface="Arial"/>
                <a:cs typeface="Arial"/>
              </a:rPr>
              <a:t>Residuals (pH</a:t>
            </a:r>
            <a:r>
              <a:rPr lang="pt-BR" sz="1200" b="1" i="0" strike="noStrike" baseline="-25000">
                <a:solidFill>
                  <a:srgbClr val="000000"/>
                </a:solidFill>
                <a:latin typeface="Arial"/>
                <a:cs typeface="Arial"/>
              </a:rPr>
              <a:t>Reg</a:t>
            </a:r>
            <a:r>
              <a:rPr lang="pt-BR" sz="1200" b="1" i="0" strike="noStrike" baseline="0">
                <a:solidFill>
                  <a:srgbClr val="000000"/>
                </a:solidFill>
                <a:latin typeface="Arial"/>
                <a:cs typeface="Arial"/>
              </a:rPr>
              <a:t> </a:t>
            </a:r>
            <a:r>
              <a:rPr lang="pt-BR" sz="1100" b="1" i="0" strike="noStrike">
                <a:solidFill>
                  <a:srgbClr val="000000"/>
                </a:solidFill>
                <a:latin typeface="Arial"/>
                <a:cs typeface="Arial"/>
              </a:rPr>
              <a:t>- pH)   </a:t>
            </a:r>
            <a:r>
              <a:rPr lang="pt-BR" sz="1100" b="0" i="0" strike="noStrike">
                <a:solidFill>
                  <a:srgbClr val="FF0000"/>
                </a:solidFill>
                <a:latin typeface="Arial"/>
                <a:cs typeface="Arial"/>
              </a:rPr>
              <a:t>To update click Overlay curve (E22)</a:t>
            </a:r>
          </a:p>
        </c:rich>
      </c:tx>
      <c:layout>
        <c:manualLayout>
          <c:xMode val="edge"/>
          <c:yMode val="edge"/>
          <c:x val="0.19591302131659921"/>
          <c:y val="4.5454545454545504E-3"/>
        </c:manualLayout>
      </c:layout>
      <c:overlay val="0"/>
      <c:spPr>
        <a:noFill/>
        <a:ln w="25400">
          <a:noFill/>
        </a:ln>
      </c:spPr>
    </c:title>
    <c:autoTitleDeleted val="0"/>
    <c:plotArea>
      <c:layout>
        <c:manualLayout>
          <c:layoutTarget val="inner"/>
          <c:xMode val="edge"/>
          <c:yMode val="edge"/>
          <c:x val="0.17399292284356441"/>
          <c:y val="0.10979940599595329"/>
          <c:w val="0.78571569102651961"/>
          <c:h val="0.70070979700710012"/>
        </c:manualLayout>
      </c:layout>
      <c:scatterChart>
        <c:scatterStyle val="smoothMarker"/>
        <c:varyColors val="0"/>
        <c:ser>
          <c:idx val="0"/>
          <c:order val="0"/>
          <c:spPr>
            <a:ln w="28575">
              <a:noFill/>
            </a:ln>
          </c:spPr>
          <c:marker>
            <c:symbol val="diamond"/>
            <c:size val="5"/>
            <c:spPr>
              <a:solidFill>
                <a:srgbClr val="09007E"/>
              </a:solidFill>
              <a:ln>
                <a:solidFill>
                  <a:srgbClr val="09007E"/>
                </a:solidFill>
                <a:prstDash val="solid"/>
              </a:ln>
            </c:spPr>
          </c:marker>
          <c:xVal>
            <c:numRef>
              <c:f>Regression!$A$41:$A$162</c:f>
              <c:numCache>
                <c:formatCode>0.000</c:formatCode>
                <c:ptCount val="122"/>
                <c:pt idx="0">
                  <c:v>0</c:v>
                </c:pt>
                <c:pt idx="1">
                  <c:v>0.87795368308434263</c:v>
                </c:pt>
                <c:pt idx="2">
                  <c:v>1.6979725172859617</c:v>
                </c:pt>
                <c:pt idx="3">
                  <c:v>2.4511264302418567</c:v>
                </c:pt>
                <c:pt idx="4">
                  <c:v>3.1349450364359654</c:v>
                </c:pt>
                <c:pt idx="5">
                  <c:v>3.7547393163549714</c:v>
                </c:pt>
                <c:pt idx="6">
                  <c:v>4.3231222967733629</c:v>
                </c:pt>
                <c:pt idx="7">
                  <c:v>4.8577314577414654</c:v>
                </c:pt>
                <c:pt idx="8">
                  <c:v>5.3776574277435429</c:v>
                </c:pt>
                <c:pt idx="9">
                  <c:v>5.8992317426600493</c:v>
                </c:pt>
                <c:pt idx="10">
                  <c:v>6.4320653895265423</c:v>
                </c:pt>
                <c:pt idx="11">
                  <c:v>6.9767121531185694</c:v>
                </c:pt>
                <c:pt idx="12">
                  <c:v>7.5253937233355828</c:v>
                </c:pt>
                <c:pt idx="13">
                  <c:v>8.0660327701480128</c:v>
                </c:pt>
                <c:pt idx="14">
                  <c:v>8.5878766272799112</c:v>
                </c:pt>
                <c:pt idx="15">
                  <c:v>9.0860306183458306</c:v>
                </c:pt>
                <c:pt idx="16">
                  <c:v>9.5631117394077592</c:v>
                </c:pt>
                <c:pt idx="17">
                  <c:v>10.027885822637472</c:v>
                </c:pt>
                <c:pt idx="18">
                  <c:v>10.491771616216283</c:v>
                </c:pt>
                <c:pt idx="19">
                  <c:v>10.964314219017979</c:v>
                </c:pt>
                <c:pt idx="20">
                  <c:v>11.448833580652718</c:v>
                </c:pt>
                <c:pt idx="21">
                  <c:v>11.939793326018844</c:v>
                </c:pt>
                <c:pt idx="22">
                  <c:v>12.423383911664132</c:v>
                </c:pt>
                <c:pt idx="23">
                  <c:v>12.881495391775388</c:v>
                </c:pt>
                <c:pt idx="24">
                  <c:v>13.297209756274242</c:v>
                </c:pt>
                <c:pt idx="25">
                  <c:v>13.659096746414434</c:v>
                </c:pt>
                <c:pt idx="26">
                  <c:v>13.962769800855312</c:v>
                </c:pt>
                <c:pt idx="27">
                  <c:v>14.210002183972392</c:v>
                </c:pt>
                <c:pt idx="28">
                  <c:v>14.406663844420109</c:v>
                </c:pt>
                <c:pt idx="29">
                  <c:v>14.560617950337473</c:v>
                </c:pt>
                <c:pt idx="30">
                  <c:v>14.680155283713248</c:v>
                </c:pt>
                <c:pt idx="31">
                  <c:v>14.773074111144524</c:v>
                </c:pt>
                <c:pt idx="32">
                  <c:v>14.84628180769505</c:v>
                </c:pt>
                <c:pt idx="33">
                  <c:v>14.905741201073397</c:v>
                </c:pt>
                <c:pt idx="34">
                  <c:v>14.956614199036267</c:v>
                </c:pt>
                <c:pt idx="35">
                  <c:v>15.003504943160806</c:v>
                </c:pt>
                <c:pt idx="36">
                  <c:v>15.050747345958371</c:v>
                </c:pt>
                <c:pt idx="37">
                  <c:v>15.102709837083239</c:v>
                </c:pt>
                <c:pt idx="38">
                  <c:v>15.16410350886872</c:v>
                </c:pt>
                <c:pt idx="39">
                  <c:v>15.240280378202442</c:v>
                </c:pt>
                <c:pt idx="40">
                  <c:v>15.337496060237754</c:v>
                </c:pt>
                <c:pt idx="41">
                  <c:v>15.463084501971025</c:v>
                </c:pt>
                <c:pt idx="42">
                  <c:v>15.625451547384728</c:v>
                </c:pt>
                <c:pt idx="43">
                  <c:v>15.83374493784504</c:v>
                </c:pt>
                <c:pt idx="44">
                  <c:v>16.097023374459241</c:v>
                </c:pt>
                <c:pt idx="45">
                  <c:v>16.422776044055354</c:v>
                </c:pt>
                <c:pt idx="46">
                  <c:v>16.814808531489689</c:v>
                </c:pt>
                <c:pt idx="47">
                  <c:v>17.270861055294517</c:v>
                </c:pt>
                <c:pt idx="48">
                  <c:v>17.780781710462179</c:v>
                </c:pt>
                <c:pt idx="49">
                  <c:v>18.326342337240931</c:v>
                </c:pt>
                <c:pt idx="50">
                  <c:v>18.883451000147033</c:v>
                </c:pt>
                <c:pt idx="51">
                  <c:v>19.426484357973095</c:v>
                </c:pt>
                <c:pt idx="52">
                  <c:v>19.933300970296841</c:v>
                </c:pt>
                <c:pt idx="53">
                  <c:v>20.389101548062172</c:v>
                </c:pt>
                <c:pt idx="54">
                  <c:v>20.788013354467694</c:v>
                </c:pt>
                <c:pt idx="55">
                  <c:v>21.132498390215915</c:v>
                </c:pt>
                <c:pt idx="56">
                  <c:v>21.431539957120549</c:v>
                </c:pt>
                <c:pt idx="57">
                  <c:v>21.698694249789696</c:v>
                </c:pt>
                <c:pt idx="58">
                  <c:v>21.950749414099846</c:v>
                </c:pt>
                <c:pt idx="59">
                  <c:v>22.207322194299195</c:v>
                </c:pt>
                <c:pt idx="60">
                  <c:v>22.491481258475687</c:v>
                </c:pt>
                <c:pt idx="61">
                  <c:v>22.831461780879181</c:v>
                </c:pt>
                <c:pt idx="62">
                  <c:v>23.263700974348467</c:v>
                </c:pt>
                <c:pt idx="63">
                  <c:v>23.837788712990005</c:v>
                </c:pt>
                <c:pt idx="64">
                  <c:v>24.624625903379638</c:v>
                </c:pt>
                <c:pt idx="65">
                  <c:v>25.730517484771553</c:v>
                </c:pt>
                <c:pt idx="66">
                  <c:v>27.32318145717727</c:v>
                </c:pt>
                <c:pt idx="67">
                  <c:v>29.683852127345745</c:v>
                </c:pt>
                <c:pt idx="68">
                  <c:v>33.322947287524585</c:v>
                </c:pt>
                <c:pt idx="69">
                  <c:v>39.274074586865027</c:v>
                </c:pt>
                <c:pt idx="70">
                  <c:v>49.999999995634425</c:v>
                </c:pt>
              </c:numCache>
            </c:numRef>
          </c:xVal>
          <c:yVal>
            <c:numRef>
              <c:f>Regression!$AW$41:$AW$162</c:f>
              <c:numCache>
                <c:formatCode>0.0000</c:formatCode>
                <c:ptCount val="122"/>
                <c:pt idx="0">
                  <c:v>-4.3077703444089899E-2</c:v>
                </c:pt>
                <c:pt idx="1">
                  <c:v>1.2763557699511097E-3</c:v>
                </c:pt>
                <c:pt idx="2">
                  <c:v>3.9227086528704991E-2</c:v>
                </c:pt>
                <c:pt idx="3">
                  <c:v>1.0516160015014986E-2</c:v>
                </c:pt>
                <c:pt idx="4">
                  <c:v>-9.0314941110034574E-3</c:v>
                </c:pt>
                <c:pt idx="5">
                  <c:v>-6.6011994184482781E-3</c:v>
                </c:pt>
                <c:pt idx="6">
                  <c:v>3.3229167830183037E-2</c:v>
                </c:pt>
                <c:pt idx="7">
                  <c:v>8.555006000205978E-4</c:v>
                </c:pt>
                <c:pt idx="8">
                  <c:v>-5.0649820241108756E-3</c:v>
                </c:pt>
                <c:pt idx="9">
                  <c:v>1.0595569052165743E-2</c:v>
                </c:pt>
                <c:pt idx="10">
                  <c:v>-1.5394431136515507E-2</c:v>
                </c:pt>
                <c:pt idx="11">
                  <c:v>5.6645225285150147E-3</c:v>
                </c:pt>
                <c:pt idx="12">
                  <c:v>2.3495325630019437E-2</c:v>
                </c:pt>
                <c:pt idx="13">
                  <c:v>2.7089459834049201E-2</c:v>
                </c:pt>
                <c:pt idx="14">
                  <c:v>-2.870358842620746E-2</c:v>
                </c:pt>
                <c:pt idx="15">
                  <c:v>2.1918721849645273E-2</c:v>
                </c:pt>
                <c:pt idx="16">
                  <c:v>-5.5626352850658201E-2</c:v>
                </c:pt>
                <c:pt idx="17">
                  <c:v>1.4836472721826865E-2</c:v>
                </c:pt>
                <c:pt idx="18">
                  <c:v>-1.7963273504603805E-2</c:v>
                </c:pt>
                <c:pt idx="19">
                  <c:v>2.1510405966882473E-3</c:v>
                </c:pt>
                <c:pt idx="20">
                  <c:v>5.7810756808933661E-3</c:v>
                </c:pt>
                <c:pt idx="21">
                  <c:v>1.8252873537779379E-2</c:v>
                </c:pt>
                <c:pt idx="22">
                  <c:v>2.6636910594585395E-2</c:v>
                </c:pt>
                <c:pt idx="23">
                  <c:v>1.8225605230434816E-2</c:v>
                </c:pt>
                <c:pt idx="24">
                  <c:v>3.7440437851924635E-2</c:v>
                </c:pt>
                <c:pt idx="25">
                  <c:v>-6.6435052150603191E-2</c:v>
                </c:pt>
                <c:pt idx="26">
                  <c:v>1.1789628586022616E-2</c:v>
                </c:pt>
                <c:pt idx="27">
                  <c:v>-1.3235722292570529E-3</c:v>
                </c:pt>
                <c:pt idx="28">
                  <c:v>-1.2278951375963132E-2</c:v>
                </c:pt>
                <c:pt idx="29">
                  <c:v>-2.2571510737260603E-2</c:v>
                </c:pt>
                <c:pt idx="30">
                  <c:v>-2.5840463524361645E-2</c:v>
                </c:pt>
                <c:pt idx="31">
                  <c:v>7.7803525437794008E-3</c:v>
                </c:pt>
                <c:pt idx="32">
                  <c:v>-1.8330921177182269E-2</c:v>
                </c:pt>
                <c:pt idx="33">
                  <c:v>6.6404243592597112E-3</c:v>
                </c:pt>
                <c:pt idx="34">
                  <c:v>-5.2384560342636277E-2</c:v>
                </c:pt>
                <c:pt idx="35">
                  <c:v>-3.3920151111056285E-2</c:v>
                </c:pt>
                <c:pt idx="36">
                  <c:v>-1.2626844126330639E-2</c:v>
                </c:pt>
                <c:pt idx="37">
                  <c:v>-3.0643746329802823E-2</c:v>
                </c:pt>
                <c:pt idx="38">
                  <c:v>-6.084171665801108E-4</c:v>
                </c:pt>
                <c:pt idx="39">
                  <c:v>-1.5861977122154869E-2</c:v>
                </c:pt>
                <c:pt idx="40">
                  <c:v>-1.2402636859473404E-2</c:v>
                </c:pt>
                <c:pt idx="41">
                  <c:v>2.2683787126178245E-2</c:v>
                </c:pt>
                <c:pt idx="42">
                  <c:v>-3.6913593689694935E-2</c:v>
                </c:pt>
                <c:pt idx="43">
                  <c:v>2.3148685684581949E-3</c:v>
                </c:pt>
                <c:pt idx="44">
                  <c:v>1.0244377033510332E-2</c:v>
                </c:pt>
                <c:pt idx="45">
                  <c:v>7.5904034305516177E-3</c:v>
                </c:pt>
                <c:pt idx="46">
                  <c:v>1.5795373712244043E-3</c:v>
                </c:pt>
                <c:pt idx="47">
                  <c:v>-2.0903673610234819E-2</c:v>
                </c:pt>
                <c:pt idx="48">
                  <c:v>1.1898775655724947E-2</c:v>
                </c:pt>
                <c:pt idx="49">
                  <c:v>1.1883634668860665E-2</c:v>
                </c:pt>
                <c:pt idx="50">
                  <c:v>2.2706951450208734E-2</c:v>
                </c:pt>
                <c:pt idx="51">
                  <c:v>-2.7481860374320988E-2</c:v>
                </c:pt>
                <c:pt idx="52">
                  <c:v>2.3222776504958631E-3</c:v>
                </c:pt>
                <c:pt idx="53">
                  <c:v>-3.2835672941583738E-2</c:v>
                </c:pt>
                <c:pt idx="54">
                  <c:v>1.5113584391309942E-2</c:v>
                </c:pt>
                <c:pt idx="55">
                  <c:v>2.3365674975407202E-2</c:v>
                </c:pt>
                <c:pt idx="56">
                  <c:v>2.2372210618568644E-2</c:v>
                </c:pt>
                <c:pt idx="57">
                  <c:v>-2.2134745413909584E-2</c:v>
                </c:pt>
                <c:pt idx="58">
                  <c:v>-1.9847716708657259E-2</c:v>
                </c:pt>
                <c:pt idx="59">
                  <c:v>3.3353286182027375E-3</c:v>
                </c:pt>
                <c:pt idx="60">
                  <c:v>1.1581471854483993E-2</c:v>
                </c:pt>
                <c:pt idx="61">
                  <c:v>-1.3006679883593719E-2</c:v>
                </c:pt>
                <c:pt idx="62">
                  <c:v>-2.1582953852581355E-2</c:v>
                </c:pt>
                <c:pt idx="63">
                  <c:v>-1.0016404215317465E-2</c:v>
                </c:pt>
                <c:pt idx="64">
                  <c:v>-4.4651221251319484E-2</c:v>
                </c:pt>
                <c:pt idx="65">
                  <c:v>-3.314239834264221E-2</c:v>
                </c:pt>
                <c:pt idx="66">
                  <c:v>1.7642983370677712E-2</c:v>
                </c:pt>
                <c:pt idx="67">
                  <c:v>3.5270824377215959E-2</c:v>
                </c:pt>
                <c:pt idx="68">
                  <c:v>-7.3203955066265536E-3</c:v>
                </c:pt>
                <c:pt idx="69">
                  <c:v>1.6180417272270375E-2</c:v>
                </c:pt>
                <c:pt idx="70">
                  <c:v>-1.0785016980030093E-2</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numCache>
            </c:numRef>
          </c:yVal>
          <c:smooth val="1"/>
          <c:extLst>
            <c:ext xmlns:c16="http://schemas.microsoft.com/office/drawing/2014/chart" uri="{C3380CC4-5D6E-409C-BE32-E72D297353CC}">
              <c16:uniqueId val="{00000000-D731-4FE9-82CF-9020A2256F7A}"/>
            </c:ext>
          </c:extLst>
        </c:ser>
        <c:dLbls>
          <c:showLegendKey val="0"/>
          <c:showVal val="0"/>
          <c:showCatName val="0"/>
          <c:showSerName val="0"/>
          <c:showPercent val="0"/>
          <c:showBubbleSize val="0"/>
        </c:dLbls>
        <c:axId val="387166656"/>
        <c:axId val="387168832"/>
      </c:scatterChart>
      <c:valAx>
        <c:axId val="387166656"/>
        <c:scaling>
          <c:orientation val="minMax"/>
        </c:scaling>
        <c:delete val="0"/>
        <c:axPos val="b"/>
        <c:majorGridlines/>
        <c:title>
          <c:tx>
            <c:rich>
              <a:bodyPr/>
              <a:lstStyle/>
              <a:p>
                <a:pPr>
                  <a:defRPr sz="1075" b="1" i="0" u="none" strike="noStrike" baseline="0">
                    <a:solidFill>
                      <a:srgbClr val="000000"/>
                    </a:solidFill>
                    <a:latin typeface="Arial"/>
                    <a:ea typeface="Arial"/>
                    <a:cs typeface="Arial"/>
                  </a:defRPr>
                </a:pPr>
                <a:r>
                  <a:rPr lang="pt-BR"/>
                  <a:t>Titrant volume (mL)</a:t>
                </a:r>
              </a:p>
            </c:rich>
          </c:tx>
          <c:layout>
            <c:manualLayout>
              <c:xMode val="edge"/>
              <c:yMode val="edge"/>
              <c:x val="0.43223526427226538"/>
              <c:y val="0.90470388928656642"/>
            </c:manualLayout>
          </c:layout>
          <c:overlay val="0"/>
          <c:spPr>
            <a:noFill/>
            <a:ln w="25400">
              <a:noFill/>
            </a:ln>
          </c:spPr>
        </c:title>
        <c:numFmt formatCode="0.0" sourceLinked="0"/>
        <c:majorTickMark val="out"/>
        <c:minorTickMark val="none"/>
        <c:tickLblPos val="low"/>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387168832"/>
        <c:crosses val="autoZero"/>
        <c:crossBetween val="midCat"/>
      </c:valAx>
      <c:valAx>
        <c:axId val="387168832"/>
        <c:scaling>
          <c:orientation val="minMax"/>
        </c:scaling>
        <c:delete val="0"/>
        <c:axPos val="l"/>
        <c:majorGridlines>
          <c:spPr>
            <a:ln w="3175">
              <a:solidFill>
                <a:srgbClr val="000000"/>
              </a:solidFill>
              <a:prstDash val="solid"/>
            </a:ln>
          </c:spPr>
        </c:majorGridlines>
        <c:title>
          <c:tx>
            <c:rich>
              <a:bodyPr/>
              <a:lstStyle/>
              <a:p>
                <a:pPr>
                  <a:defRPr sz="1100" b="0" i="0" u="none" strike="noStrike" baseline="0">
                    <a:solidFill>
                      <a:srgbClr val="000000"/>
                    </a:solidFill>
                    <a:latin typeface="Calibri"/>
                    <a:ea typeface="Calibri"/>
                    <a:cs typeface="Calibri"/>
                  </a:defRPr>
                </a:pPr>
                <a:r>
                  <a:rPr lang="pt-BR" sz="1075" b="1" i="0" strike="noStrike">
                    <a:solidFill>
                      <a:srgbClr val="000000"/>
                    </a:solidFill>
                    <a:latin typeface="Arial"/>
                    <a:cs typeface="Arial"/>
                  </a:rPr>
                  <a:t>pH</a:t>
                </a:r>
                <a:r>
                  <a:rPr lang="pt-BR" sz="725" b="1" i="0" strike="noStrike">
                    <a:solidFill>
                      <a:srgbClr val="000000"/>
                    </a:solidFill>
                    <a:latin typeface="Arial"/>
                    <a:cs typeface="Arial"/>
                  </a:rPr>
                  <a:t>Reg</a:t>
                </a:r>
                <a:r>
                  <a:rPr lang="pt-BR" sz="1075" b="1" i="0" strike="noStrike">
                    <a:solidFill>
                      <a:srgbClr val="000000"/>
                    </a:solidFill>
                    <a:latin typeface="Arial"/>
                    <a:cs typeface="Arial"/>
                  </a:rPr>
                  <a:t>-pH</a:t>
                </a:r>
              </a:p>
              <a:p>
                <a:pPr>
                  <a:defRPr sz="1100" b="0" i="0" u="none" strike="noStrike" baseline="0">
                    <a:solidFill>
                      <a:srgbClr val="000000"/>
                    </a:solidFill>
                    <a:latin typeface="Calibri"/>
                    <a:ea typeface="Calibri"/>
                    <a:cs typeface="Calibri"/>
                  </a:defRPr>
                </a:pPr>
                <a:endParaRPr lang="pt-BR" sz="1075" b="1" i="0" strike="noStrike">
                  <a:solidFill>
                    <a:srgbClr val="000000"/>
                  </a:solidFill>
                  <a:latin typeface="Arial"/>
                  <a:cs typeface="Arial"/>
                </a:endParaRPr>
              </a:p>
            </c:rich>
          </c:tx>
          <c:layout>
            <c:manualLayout>
              <c:xMode val="edge"/>
              <c:yMode val="edge"/>
              <c:x val="7.1428153265228464E-3"/>
              <c:y val="0.3124080171796822"/>
            </c:manualLayout>
          </c:layout>
          <c:overlay val="0"/>
          <c:spPr>
            <a:noFill/>
            <a:ln w="25400">
              <a:noFill/>
            </a:ln>
          </c:spPr>
        </c:title>
        <c:numFmt formatCode="0.0E+00" sourceLinked="0"/>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387166656"/>
        <c:crosses val="autoZero"/>
        <c:crossBetween val="midCat"/>
      </c:valAx>
      <c:spPr>
        <a:noFill/>
        <a:ln w="12700">
          <a:solidFill>
            <a:schemeClr val="tx1"/>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75" b="0" i="0" u="none" strike="noStrike" baseline="0">
          <a:solidFill>
            <a:srgbClr val="000000"/>
          </a:solidFill>
          <a:latin typeface="Arial"/>
          <a:ea typeface="Arial"/>
          <a:cs typeface="Arial"/>
        </a:defRPr>
      </a:pPr>
      <a:endParaRPr lang="nl-NL"/>
    </a:p>
  </c:txPr>
  <c:printSettings>
    <c:headerFooter alignWithMargins="0"/>
    <c:pageMargins b="0.98425196899999956" l="0.78740157499999996" r="0.78740157499999996" t="0.98425196899999956" header="0.49212598500001148" footer="0.49212598500001148"/>
    <c:pageSetup paperSize="9"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pt-BR"/>
              <a:t>Titration curve(s) and/or derivative(s)</a:t>
            </a:r>
          </a:p>
        </c:rich>
      </c:tx>
      <c:layout>
        <c:manualLayout>
          <c:xMode val="edge"/>
          <c:yMode val="edge"/>
          <c:x val="0.30557386762299077"/>
          <c:y val="3.7650466105530011E-3"/>
        </c:manualLayout>
      </c:layout>
      <c:overlay val="0"/>
      <c:spPr>
        <a:noFill/>
        <a:ln w="25400">
          <a:noFill/>
        </a:ln>
      </c:spPr>
    </c:title>
    <c:autoTitleDeleted val="0"/>
    <c:plotArea>
      <c:layout>
        <c:manualLayout>
          <c:layoutTarget val="inner"/>
          <c:xMode val="edge"/>
          <c:yMode val="edge"/>
          <c:x val="9.9889636380643507E-2"/>
          <c:y val="6.6322963841114524E-2"/>
          <c:w val="0.87128712871287128"/>
          <c:h val="0.80651491879734682"/>
        </c:manualLayout>
      </c:layout>
      <c:scatterChart>
        <c:scatterStyle val="smoothMarker"/>
        <c:varyColors val="0"/>
        <c:ser>
          <c:idx val="1"/>
          <c:order val="0"/>
          <c:tx>
            <c:v>Sim_0</c:v>
          </c:tx>
          <c:spPr>
            <a:ln w="25400">
              <a:solidFill>
                <a:srgbClr val="FF0000"/>
              </a:solidFill>
              <a:prstDash val="solid"/>
            </a:ln>
          </c:spPr>
          <c:marker>
            <c:symbol val="circle"/>
            <c:size val="6"/>
            <c:spPr>
              <a:solidFill>
                <a:srgbClr val="F4EE00"/>
              </a:solidFill>
              <a:ln>
                <a:solidFill>
                  <a:srgbClr val="FF0000"/>
                </a:solidFill>
                <a:prstDash val="solid"/>
              </a:ln>
            </c:spPr>
          </c:marker>
          <c:xVal>
            <c:numRef>
              <c:f>Graphs!$R$11:$R$312</c:f>
              <c:numCache>
                <c:formatCode>General</c:formatCode>
                <c:ptCount val="302"/>
                <c:pt idx="0">
                  <c:v>0</c:v>
                </c:pt>
                <c:pt idx="1">
                  <c:v>2.1570917087956332</c:v>
                </c:pt>
                <c:pt idx="2">
                  <c:v>4.0960384285426699</c:v>
                </c:pt>
                <c:pt idx="3">
                  <c:v>5.7539623652701266</c:v>
                </c:pt>
                <c:pt idx="4">
                  <c:v>7.0770850390545093</c:v>
                </c:pt>
                <c:pt idx="5">
                  <c:v>8.060804101114627</c:v>
                </c:pt>
                <c:pt idx="6">
                  <c:v>8.7492475504404865</c:v>
                </c:pt>
                <c:pt idx="7">
                  <c:v>9.2095433516078629</c:v>
                </c:pt>
                <c:pt idx="8">
                  <c:v>9.5078176775132306</c:v>
                </c:pt>
                <c:pt idx="9">
                  <c:v>9.6974923231755383</c:v>
                </c:pt>
                <c:pt idx="10">
                  <c:v>9.8172888814588077</c:v>
                </c:pt>
                <c:pt idx="11">
                  <c:v>9.8936794631299563</c:v>
                </c:pt>
                <c:pt idx="12">
                  <c:v>9.9443849801900797</c:v>
                </c:pt>
                <c:pt idx="13">
                  <c:v>9.9815251436666586</c:v>
                </c:pt>
                <c:pt idx="14">
                  <c:v>10.014129265618976</c:v>
                </c:pt>
                <c:pt idx="15">
                  <c:v>10.050161390972789</c:v>
                </c:pt>
                <c:pt idx="16">
                  <c:v>10.09834472934017</c:v>
                </c:pt>
                <c:pt idx="17">
                  <c:v>10.170080677198712</c:v>
                </c:pt>
                <c:pt idx="18">
                  <c:v>10.281694422883447</c:v>
                </c:pt>
                <c:pt idx="19">
                  <c:v>10.45702534756856</c:v>
                </c:pt>
                <c:pt idx="20">
                  <c:v>10.729793940845411</c:v>
                </c:pt>
                <c:pt idx="21">
                  <c:v>11.143875245761592</c:v>
                </c:pt>
                <c:pt idx="22">
                  <c:v>11.747540258511435</c:v>
                </c:pt>
                <c:pt idx="23">
                  <c:v>12.576544815965462</c:v>
                </c:pt>
                <c:pt idx="24">
                  <c:v>13.625772965315264</c:v>
                </c:pt>
                <c:pt idx="25">
                  <c:v>14.824491734907497</c:v>
                </c:pt>
                <c:pt idx="26">
                  <c:v>16.043755009013694</c:v>
                </c:pt>
                <c:pt idx="27">
                  <c:v>17.145786933542695</c:v>
                </c:pt>
                <c:pt idx="28">
                  <c:v>18.040535067848396</c:v>
                </c:pt>
                <c:pt idx="29">
                  <c:v>18.705899156339001</c:v>
                </c:pt>
                <c:pt idx="30">
                  <c:v>19.169210402469616</c:v>
                </c:pt>
                <c:pt idx="31">
                  <c:v>19.477512511366513</c:v>
                </c:pt>
                <c:pt idx="32">
                  <c:v>19.67695818602806</c:v>
                </c:pt>
                <c:pt idx="33">
                  <c:v>19.804373894294258</c:v>
                </c:pt>
                <c:pt idx="34">
                  <c:v>19.886334486363921</c:v>
                </c:pt>
                <c:pt idx="35">
                  <c:v>19.94123642652994</c:v>
                </c:pt>
                <c:pt idx="36">
                  <c:v>19.981976119743194</c:v>
                </c:pt>
                <c:pt idx="37">
                  <c:v>20.018397706735414</c:v>
                </c:pt>
                <c:pt idx="38">
                  <c:v>20.059441142075229</c:v>
                </c:pt>
                <c:pt idx="39">
                  <c:v>20.115236625133548</c:v>
                </c:pt>
                <c:pt idx="40">
                  <c:v>20.199536230938975</c:v>
                </c:pt>
                <c:pt idx="41">
                  <c:v>20.332998641242739</c:v>
                </c:pt>
                <c:pt idx="42">
                  <c:v>20.548015915846918</c:v>
                </c:pt>
                <c:pt idx="43">
                  <c:v>20.896024066314567</c:v>
                </c:pt>
                <c:pt idx="44">
                  <c:v>21.458622148202267</c:v>
                </c:pt>
                <c:pt idx="45">
                  <c:v>22.364652594842482</c:v>
                </c:pt>
                <c:pt idx="46">
                  <c:v>23.818284484150354</c:v>
                </c:pt>
                <c:pt idx="47">
                  <c:v>26.154666273214389</c:v>
                </c:pt>
                <c:pt idx="48">
                  <c:v>29.98321672930615</c:v>
                </c:pt>
                <c:pt idx="49">
                  <c:v>36.643806887150276</c:v>
                </c:pt>
                <c:pt idx="50">
                  <c:v>49.999999998544808</c:v>
                </c:pt>
              </c:numCache>
            </c:numRef>
          </c:xVal>
          <c:yVal>
            <c:numRef>
              <c:f>Graphs!$S$11:$S$312</c:f>
              <c:numCache>
                <c:formatCode>General</c:formatCode>
                <c:ptCount val="302"/>
                <c:pt idx="0">
                  <c:v>1.8059327094815671</c:v>
                </c:pt>
                <c:pt idx="1">
                  <c:v>2.0204353218153117</c:v>
                </c:pt>
                <c:pt idx="2">
                  <c:v>2.2349379341490567</c:v>
                </c:pt>
                <c:pt idx="3">
                  <c:v>2.4494405464828013</c:v>
                </c:pt>
                <c:pt idx="4">
                  <c:v>2.6639431588165463</c:v>
                </c:pt>
                <c:pt idx="5">
                  <c:v>2.8784457711502909</c:v>
                </c:pt>
                <c:pt idx="6">
                  <c:v>3.0929483834840354</c:v>
                </c:pt>
                <c:pt idx="7">
                  <c:v>3.3074509958177805</c:v>
                </c:pt>
                <c:pt idx="8">
                  <c:v>3.5219536081515255</c:v>
                </c:pt>
                <c:pt idx="9">
                  <c:v>3.73645622048527</c:v>
                </c:pt>
                <c:pt idx="10">
                  <c:v>3.9509588328190146</c:v>
                </c:pt>
                <c:pt idx="11">
                  <c:v>4.1654614451527596</c:v>
                </c:pt>
                <c:pt idx="12">
                  <c:v>4.3799640574865037</c:v>
                </c:pt>
                <c:pt idx="13">
                  <c:v>4.5944666698202496</c:v>
                </c:pt>
                <c:pt idx="14">
                  <c:v>4.8089692821539938</c:v>
                </c:pt>
                <c:pt idx="15">
                  <c:v>5.0234718944877388</c:v>
                </c:pt>
                <c:pt idx="16">
                  <c:v>5.2379745068214838</c:v>
                </c:pt>
                <c:pt idx="17">
                  <c:v>5.4524771191552279</c:v>
                </c:pt>
                <c:pt idx="18">
                  <c:v>5.6669797314889729</c:v>
                </c:pt>
                <c:pt idx="19">
                  <c:v>5.881482343822718</c:v>
                </c:pt>
                <c:pt idx="20">
                  <c:v>6.0959849561564621</c:v>
                </c:pt>
                <c:pt idx="21">
                  <c:v>6.3104875684902071</c:v>
                </c:pt>
                <c:pt idx="22">
                  <c:v>6.5249901808239521</c:v>
                </c:pt>
                <c:pt idx="23">
                  <c:v>6.7394927931576971</c:v>
                </c:pt>
                <c:pt idx="24">
                  <c:v>6.9539954054914412</c:v>
                </c:pt>
                <c:pt idx="25">
                  <c:v>7.1684980178251863</c:v>
                </c:pt>
                <c:pt idx="26">
                  <c:v>7.3830006301589313</c:v>
                </c:pt>
                <c:pt idx="27">
                  <c:v>7.5975032424926754</c:v>
                </c:pt>
                <c:pt idx="28">
                  <c:v>7.8120058548264204</c:v>
                </c:pt>
                <c:pt idx="29">
                  <c:v>8.0265084671601663</c:v>
                </c:pt>
                <c:pt idx="30">
                  <c:v>8.2410110794939104</c:v>
                </c:pt>
                <c:pt idx="31">
                  <c:v>8.4555136918276546</c:v>
                </c:pt>
                <c:pt idx="32">
                  <c:v>8.6700163041614005</c:v>
                </c:pt>
                <c:pt idx="33">
                  <c:v>8.8845189164951446</c:v>
                </c:pt>
                <c:pt idx="34">
                  <c:v>9.0990215288288887</c:v>
                </c:pt>
                <c:pt idx="35">
                  <c:v>9.3135241411626346</c:v>
                </c:pt>
                <c:pt idx="36">
                  <c:v>9.5280267534963787</c:v>
                </c:pt>
                <c:pt idx="37">
                  <c:v>9.7425293658301229</c:v>
                </c:pt>
                <c:pt idx="38">
                  <c:v>9.9570319781638688</c:v>
                </c:pt>
                <c:pt idx="39">
                  <c:v>10.171534590497613</c:v>
                </c:pt>
                <c:pt idx="40">
                  <c:v>10.386037202831357</c:v>
                </c:pt>
                <c:pt idx="41">
                  <c:v>10.600539815165103</c:v>
                </c:pt>
                <c:pt idx="42">
                  <c:v>10.815042427498847</c:v>
                </c:pt>
                <c:pt idx="43">
                  <c:v>11.029545039832591</c:v>
                </c:pt>
                <c:pt idx="44">
                  <c:v>11.244047652166337</c:v>
                </c:pt>
                <c:pt idx="45">
                  <c:v>11.458550264500081</c:v>
                </c:pt>
                <c:pt idx="46">
                  <c:v>11.673052876833827</c:v>
                </c:pt>
                <c:pt idx="47">
                  <c:v>11.887555489167571</c:v>
                </c:pt>
                <c:pt idx="48">
                  <c:v>12.102058101501315</c:v>
                </c:pt>
                <c:pt idx="49">
                  <c:v>12.316560713835061</c:v>
                </c:pt>
                <c:pt idx="50">
                  <c:v>12.531063326168805</c:v>
                </c:pt>
              </c:numCache>
            </c:numRef>
          </c:yVal>
          <c:smooth val="1"/>
          <c:extLst>
            <c:ext xmlns:c16="http://schemas.microsoft.com/office/drawing/2014/chart" uri="{C3380CC4-5D6E-409C-BE32-E72D297353CC}">
              <c16:uniqueId val="{00000000-D2C5-41A8-BE27-D2EC7C8BECD8}"/>
            </c:ext>
          </c:extLst>
        </c:ser>
        <c:ser>
          <c:idx val="0"/>
          <c:order val="1"/>
          <c:tx>
            <c:v>Sim_Disp_0</c:v>
          </c:tx>
          <c:spPr>
            <a:ln w="25400">
              <a:solidFill>
                <a:srgbClr val="09007E"/>
              </a:solidFill>
              <a:prstDash val="solid"/>
            </a:ln>
          </c:spPr>
          <c:marker>
            <c:symbol val="diamond"/>
            <c:size val="4"/>
            <c:spPr>
              <a:solidFill>
                <a:srgbClr val="09007E"/>
              </a:solidFill>
              <a:ln>
                <a:solidFill>
                  <a:srgbClr val="09007E"/>
                </a:solidFill>
                <a:prstDash val="solid"/>
              </a:ln>
            </c:spPr>
          </c:marker>
          <c:xVal>
            <c:numRef>
              <c:f>Graphs!$V$11:$V$312</c:f>
              <c:numCache>
                <c:formatCode>General</c:formatCode>
                <c:ptCount val="302"/>
              </c:numCache>
            </c:numRef>
          </c:xVal>
          <c:yVal>
            <c:numRef>
              <c:f>Graphs!$W$11:$W$312</c:f>
              <c:numCache>
                <c:formatCode>General</c:formatCode>
                <c:ptCount val="302"/>
              </c:numCache>
            </c:numRef>
          </c:yVal>
          <c:smooth val="1"/>
          <c:extLst>
            <c:ext xmlns:c16="http://schemas.microsoft.com/office/drawing/2014/chart" uri="{C3380CC4-5D6E-409C-BE32-E72D297353CC}">
              <c16:uniqueId val="{00000001-D2C5-41A8-BE27-D2EC7C8BECD8}"/>
            </c:ext>
          </c:extLst>
        </c:ser>
        <c:ser>
          <c:idx val="2"/>
          <c:order val="2"/>
          <c:tx>
            <c:v>An_In_0</c:v>
          </c:tx>
          <c:spPr>
            <a:ln w="25400">
              <a:solidFill>
                <a:srgbClr val="339966"/>
              </a:solidFill>
              <a:prstDash val="solid"/>
            </a:ln>
          </c:spPr>
          <c:marker>
            <c:symbol val="triangle"/>
            <c:size val="5"/>
            <c:spPr>
              <a:solidFill>
                <a:srgbClr val="FFFF00"/>
              </a:solidFill>
              <a:ln>
                <a:solidFill>
                  <a:srgbClr val="339966"/>
                </a:solidFill>
                <a:prstDash val="solid"/>
              </a:ln>
            </c:spPr>
          </c:marker>
          <c:xVal>
            <c:numRef>
              <c:f>Graphs!$Z$11:$Z$312</c:f>
              <c:numCache>
                <c:formatCode>General</c:formatCode>
                <c:ptCount val="302"/>
                <c:pt idx="0">
                  <c:v>0</c:v>
                </c:pt>
                <c:pt idx="1">
                  <c:v>2.498869968985673</c:v>
                </c:pt>
                <c:pt idx="2">
                  <c:v>4.6176066432963125</c:v>
                </c:pt>
                <c:pt idx="3">
                  <c:v>6.2783207700704224</c:v>
                </c:pt>
                <c:pt idx="4">
                  <c:v>7.4992138441302814</c:v>
                </c:pt>
                <c:pt idx="5">
                  <c:v>8.3545435321866535</c:v>
                </c:pt>
                <c:pt idx="6">
                  <c:v>8.933838079974521</c:v>
                </c:pt>
                <c:pt idx="7">
                  <c:v>9.3177054906846024</c:v>
                </c:pt>
                <c:pt idx="8">
                  <c:v>9.5692240152857266</c:v>
                </c:pt>
                <c:pt idx="9">
                  <c:v>9.7341329892515205</c:v>
                </c:pt>
                <c:pt idx="10">
                  <c:v>9.8443795563071035</c:v>
                </c:pt>
                <c:pt idx="11">
                  <c:v>9.9221950062201358</c:v>
                </c:pt>
                <c:pt idx="12">
                  <c:v>9.9836717694415711</c:v>
                </c:pt>
                <c:pt idx="13">
                  <c:v>10.041700130386744</c:v>
                </c:pt>
                <c:pt idx="14">
                  <c:v>10.108475277957041</c:v>
                </c:pt>
                <c:pt idx="15">
                  <c:v>10.197893586882856</c:v>
                </c:pt>
                <c:pt idx="16">
                  <c:v>10.328164369275328</c:v>
                </c:pt>
                <c:pt idx="17">
                  <c:v>10.524891586101148</c:v>
                </c:pt>
                <c:pt idx="18">
                  <c:v>10.824641671206336</c:v>
                </c:pt>
                <c:pt idx="19">
                  <c:v>11.278386386402417</c:v>
                </c:pt>
                <c:pt idx="20">
                  <c:v>11.952848396322224</c:v>
                </c:pt>
                <c:pt idx="21">
                  <c:v>12.925509912020061</c:v>
                </c:pt>
                <c:pt idx="22">
                  <c:v>14.266958106600214</c:v>
                </c:pt>
                <c:pt idx="23">
                  <c:v>16.006536425265949</c:v>
                </c:pt>
                <c:pt idx="24">
                  <c:v>18.090350537386257</c:v>
                </c:pt>
                <c:pt idx="25">
                  <c:v>20.361693068116438</c:v>
                </c:pt>
                <c:pt idx="26">
                  <c:v>22.596293150854763</c:v>
                </c:pt>
                <c:pt idx="27">
                  <c:v>24.583749643352348</c:v>
                </c:pt>
                <c:pt idx="28">
                  <c:v>26.198946092335973</c:v>
                </c:pt>
                <c:pt idx="29">
                  <c:v>27.418202777334955</c:v>
                </c:pt>
                <c:pt idx="30">
                  <c:v>28.288458079623524</c:v>
                </c:pt>
                <c:pt idx="31">
                  <c:v>28.885414720571134</c:v>
                </c:pt>
                <c:pt idx="32">
                  <c:v>29.284366952197161</c:v>
                </c:pt>
                <c:pt idx="33">
                  <c:v>29.547248141898308</c:v>
                </c:pt>
                <c:pt idx="34">
                  <c:v>29.720264744537417</c:v>
                </c:pt>
                <c:pt idx="35">
                  <c:v>29.83625626511639</c:v>
                </c:pt>
                <c:pt idx="36">
                  <c:v>29.918337061826605</c:v>
                </c:pt>
                <c:pt idx="37">
                  <c:v>29.98338512115879</c:v>
                </c:pt>
                <c:pt idx="38">
                  <c:v>30.045040389813948</c:v>
                </c:pt>
                <c:pt idx="39">
                  <c:v>30.116360024840105</c:v>
                </c:pt>
                <c:pt idx="40">
                  <c:v>30.212474045401905</c:v>
                </c:pt>
                <c:pt idx="41">
                  <c:v>30.353687058959622</c:v>
                </c:pt>
                <c:pt idx="42">
                  <c:v>30.569570830266457</c:v>
                </c:pt>
                <c:pt idx="43">
                  <c:v>30.904717471275944</c:v>
                </c:pt>
                <c:pt idx="44">
                  <c:v>31.426960798853543</c:v>
                </c:pt>
                <c:pt idx="45">
                  <c:v>32.239001510606613</c:v>
                </c:pt>
                <c:pt idx="46">
                  <c:v>33.494635509850923</c:v>
                </c:pt>
                <c:pt idx="47">
                  <c:v>35.422255621233489</c:v>
                </c:pt>
                <c:pt idx="48">
                  <c:v>38.365417947352398</c:v>
                </c:pt>
                <c:pt idx="49">
                  <c:v>42.877503424824681</c:v>
                </c:pt>
                <c:pt idx="50">
                  <c:v>49.999999995634425</c:v>
                </c:pt>
              </c:numCache>
            </c:numRef>
          </c:xVal>
          <c:yVal>
            <c:numRef>
              <c:f>Graphs!$AA$11:$AA$312</c:f>
              <c:numCache>
                <c:formatCode>General</c:formatCode>
                <c:ptCount val="302"/>
                <c:pt idx="0">
                  <c:v>2.2653477877937256</c:v>
                </c:pt>
                <c:pt idx="1">
                  <c:v>2.3861369323544204</c:v>
                </c:pt>
                <c:pt idx="2">
                  <c:v>2.6641118475981056</c:v>
                </c:pt>
                <c:pt idx="3">
                  <c:v>2.7841898506693541</c:v>
                </c:pt>
                <c:pt idx="4">
                  <c:v>3.0585092287696898</c:v>
                </c:pt>
                <c:pt idx="5">
                  <c:v>3.3024845674820242</c:v>
                </c:pt>
                <c:pt idx="6">
                  <c:v>3.43747849104926</c:v>
                </c:pt>
                <c:pt idx="7">
                  <c:v>3.552244313005358</c:v>
                </c:pt>
                <c:pt idx="8">
                  <c:v>3.823462932128459</c:v>
                </c:pt>
                <c:pt idx="9">
                  <c:v>3.8905521011166275</c:v>
                </c:pt>
                <c:pt idx="10">
                  <c:v>4.3014524261839684</c:v>
                </c:pt>
                <c:pt idx="11">
                  <c:v>4.1180299079231917</c:v>
                </c:pt>
                <c:pt idx="12">
                  <c:v>4.4222375270910561</c:v>
                </c:pt>
                <c:pt idx="13">
                  <c:v>4.8408818402700122</c:v>
                </c:pt>
                <c:pt idx="14">
                  <c:v>5.18642603373155</c:v>
                </c:pt>
                <c:pt idx="15">
                  <c:v>5.1923094727657739</c:v>
                </c:pt>
                <c:pt idx="16">
                  <c:v>5.3796424258686599</c:v>
                </c:pt>
                <c:pt idx="17">
                  <c:v>5.5674684633873399</c:v>
                </c:pt>
                <c:pt idx="18">
                  <c:v>5.7681651949696242</c:v>
                </c:pt>
                <c:pt idx="19">
                  <c:v>6.0832747816853221</c:v>
                </c:pt>
                <c:pt idx="20">
                  <c:v>6.2216419441439212</c:v>
                </c:pt>
                <c:pt idx="21">
                  <c:v>6.4441657189466062</c:v>
                </c:pt>
                <c:pt idx="22">
                  <c:v>6.6170152428187432</c:v>
                </c:pt>
                <c:pt idx="23">
                  <c:v>6.8276927663199602</c:v>
                </c:pt>
                <c:pt idx="24">
                  <c:v>6.9951606211625039</c:v>
                </c:pt>
                <c:pt idx="25">
                  <c:v>7.2242915053851906</c:v>
                </c:pt>
                <c:pt idx="26">
                  <c:v>7.5369926953129474</c:v>
                </c:pt>
                <c:pt idx="27">
                  <c:v>7.6312835094146427</c:v>
                </c:pt>
                <c:pt idx="28">
                  <c:v>7.78317475317046</c:v>
                </c:pt>
                <c:pt idx="29">
                  <c:v>7.9825341033004227</c:v>
                </c:pt>
                <c:pt idx="30">
                  <c:v>8.2847767613641921</c:v>
                </c:pt>
                <c:pt idx="31">
                  <c:v>8.4060754944570366</c:v>
                </c:pt>
                <c:pt idx="32">
                  <c:v>8.6294696083106093</c:v>
                </c:pt>
                <c:pt idx="33">
                  <c:v>8.7976750612445169</c:v>
                </c:pt>
                <c:pt idx="34">
                  <c:v>9.0960117106325917</c:v>
                </c:pt>
                <c:pt idx="35">
                  <c:v>9.0847907523252065</c:v>
                </c:pt>
                <c:pt idx="36">
                  <c:v>9.400064428430051</c:v>
                </c:pt>
                <c:pt idx="37">
                  <c:v>9.4506547726504504</c:v>
                </c:pt>
                <c:pt idx="38">
                  <c:v>9.8117745951004327</c:v>
                </c:pt>
                <c:pt idx="39">
                  <c:v>10.284517781157046</c:v>
                </c:pt>
                <c:pt idx="40">
                  <c:v>10.294536398407072</c:v>
                </c:pt>
                <c:pt idx="41">
                  <c:v>10.521781745608896</c:v>
                </c:pt>
                <c:pt idx="42">
                  <c:v>10.627726228442043</c:v>
                </c:pt>
                <c:pt idx="43">
                  <c:v>10.915235111545771</c:v>
                </c:pt>
                <c:pt idx="44">
                  <c:v>11.084914463479072</c:v>
                </c:pt>
                <c:pt idx="45">
                  <c:v>11.226372458133847</c:v>
                </c:pt>
                <c:pt idx="46">
                  <c:v>11.385016548875718</c:v>
                </c:pt>
                <c:pt idx="47">
                  <c:v>11.676670697722583</c:v>
                </c:pt>
                <c:pt idx="48">
                  <c:v>11.805349126476795</c:v>
                </c:pt>
                <c:pt idx="49">
                  <c:v>12.00734264222905</c:v>
                </c:pt>
                <c:pt idx="50">
                  <c:v>12.223539364431053</c:v>
                </c:pt>
              </c:numCache>
            </c:numRef>
          </c:yVal>
          <c:smooth val="1"/>
          <c:extLst>
            <c:ext xmlns:c16="http://schemas.microsoft.com/office/drawing/2014/chart" uri="{C3380CC4-5D6E-409C-BE32-E72D297353CC}">
              <c16:uniqueId val="{00000002-D2C5-41A8-BE27-D2EC7C8BECD8}"/>
            </c:ext>
          </c:extLst>
        </c:ser>
        <c:ser>
          <c:idx val="3"/>
          <c:order val="3"/>
          <c:tx>
            <c:v>An_In_1</c:v>
          </c:tx>
          <c:spPr>
            <a:ln w="12700">
              <a:solidFill>
                <a:srgbClr val="008000"/>
              </a:solidFill>
              <a:prstDash val="solid"/>
            </a:ln>
          </c:spPr>
          <c:marker>
            <c:symbol val="x"/>
            <c:size val="5"/>
            <c:spPr>
              <a:noFill/>
              <a:ln>
                <a:solidFill>
                  <a:srgbClr val="008000"/>
                </a:solidFill>
                <a:prstDash val="solid"/>
              </a:ln>
            </c:spPr>
          </c:marker>
          <c:xVal>
            <c:numRef>
              <c:f>Graphs!$AB$11:$AB$312</c:f>
              <c:numCache>
                <c:formatCode>General</c:formatCode>
                <c:ptCount val="302"/>
              </c:numCache>
            </c:numRef>
          </c:xVal>
          <c:yVal>
            <c:numRef>
              <c:f>Graphs!$AC$11:$AC$312</c:f>
              <c:numCache>
                <c:formatCode>General</c:formatCode>
                <c:ptCount val="302"/>
              </c:numCache>
            </c:numRef>
          </c:yVal>
          <c:smooth val="1"/>
          <c:extLst>
            <c:ext xmlns:c16="http://schemas.microsoft.com/office/drawing/2014/chart" uri="{C3380CC4-5D6E-409C-BE32-E72D297353CC}">
              <c16:uniqueId val="{00000003-D2C5-41A8-BE27-D2EC7C8BECD8}"/>
            </c:ext>
          </c:extLst>
        </c:ser>
        <c:ser>
          <c:idx val="4"/>
          <c:order val="4"/>
          <c:tx>
            <c:v>Sim_Disp_1</c:v>
          </c:tx>
          <c:spPr>
            <a:ln w="12700">
              <a:solidFill>
                <a:srgbClr val="800080"/>
              </a:solidFill>
              <a:prstDash val="solid"/>
            </a:ln>
          </c:spPr>
          <c:marker>
            <c:symbol val="star"/>
            <c:size val="5"/>
            <c:spPr>
              <a:noFill/>
              <a:ln>
                <a:solidFill>
                  <a:srgbClr val="800080"/>
                </a:solidFill>
                <a:prstDash val="solid"/>
              </a:ln>
            </c:spPr>
          </c:marker>
          <c:xVal>
            <c:numRef>
              <c:f>Graphs!$X$11:$X$312</c:f>
              <c:numCache>
                <c:formatCode>General</c:formatCode>
                <c:ptCount val="302"/>
              </c:numCache>
            </c:numRef>
          </c:xVal>
          <c:yVal>
            <c:numRef>
              <c:f>Graphs!$Y$11:$Y$312</c:f>
              <c:numCache>
                <c:formatCode>General</c:formatCode>
                <c:ptCount val="302"/>
              </c:numCache>
            </c:numRef>
          </c:yVal>
          <c:smooth val="1"/>
          <c:extLst>
            <c:ext xmlns:c16="http://schemas.microsoft.com/office/drawing/2014/chart" uri="{C3380CC4-5D6E-409C-BE32-E72D297353CC}">
              <c16:uniqueId val="{00000004-D2C5-41A8-BE27-D2EC7C8BECD8}"/>
            </c:ext>
          </c:extLst>
        </c:ser>
        <c:ser>
          <c:idx val="5"/>
          <c:order val="5"/>
          <c:tx>
            <c:v>Sim_1</c:v>
          </c:tx>
          <c:spPr>
            <a:ln w="12700">
              <a:solidFill>
                <a:srgbClr val="FF0000"/>
              </a:solidFill>
              <a:prstDash val="solid"/>
            </a:ln>
          </c:spPr>
          <c:marker>
            <c:symbol val="circle"/>
            <c:size val="5"/>
            <c:spPr>
              <a:solidFill>
                <a:srgbClr val="F4EE00"/>
              </a:solidFill>
              <a:ln>
                <a:solidFill>
                  <a:srgbClr val="FF0000"/>
                </a:solidFill>
                <a:prstDash val="solid"/>
              </a:ln>
            </c:spPr>
          </c:marker>
          <c:xVal>
            <c:numRef>
              <c:f>Graphs!$T$11:$T$312</c:f>
              <c:numCache>
                <c:formatCode>General</c:formatCode>
                <c:ptCount val="302"/>
              </c:numCache>
            </c:numRef>
          </c:xVal>
          <c:yVal>
            <c:numRef>
              <c:f>Graphs!$U$11:$U$312</c:f>
              <c:numCache>
                <c:formatCode>General</c:formatCode>
                <c:ptCount val="302"/>
              </c:numCache>
            </c:numRef>
          </c:yVal>
          <c:smooth val="1"/>
          <c:extLst>
            <c:ext xmlns:c16="http://schemas.microsoft.com/office/drawing/2014/chart" uri="{C3380CC4-5D6E-409C-BE32-E72D297353CC}">
              <c16:uniqueId val="{00000005-D2C5-41A8-BE27-D2EC7C8BECD8}"/>
            </c:ext>
          </c:extLst>
        </c:ser>
        <c:ser>
          <c:idx val="6"/>
          <c:order val="6"/>
          <c:tx>
            <c:v>An_In_Al_0</c:v>
          </c:tx>
          <c:spPr>
            <a:ln w="12700">
              <a:solidFill>
                <a:srgbClr val="FF00FF"/>
              </a:solidFill>
              <a:prstDash val="solid"/>
            </a:ln>
          </c:spPr>
          <c:marker>
            <c:symbol val="plus"/>
            <c:size val="5"/>
            <c:spPr>
              <a:noFill/>
              <a:ln>
                <a:solidFill>
                  <a:srgbClr val="FF00FF"/>
                </a:solidFill>
                <a:prstDash val="solid"/>
              </a:ln>
            </c:spPr>
          </c:marker>
          <c:xVal>
            <c:numRef>
              <c:f>Graphs!$AD$11:$AD$312</c:f>
              <c:numCache>
                <c:formatCode>General</c:formatCode>
                <c:ptCount val="302"/>
              </c:numCache>
            </c:numRef>
          </c:xVal>
          <c:yVal>
            <c:numRef>
              <c:f>Graphs!$AE$11:$AE$312</c:f>
              <c:numCache>
                <c:formatCode>General</c:formatCode>
                <c:ptCount val="302"/>
              </c:numCache>
            </c:numRef>
          </c:yVal>
          <c:smooth val="1"/>
          <c:extLst>
            <c:ext xmlns:c16="http://schemas.microsoft.com/office/drawing/2014/chart" uri="{C3380CC4-5D6E-409C-BE32-E72D297353CC}">
              <c16:uniqueId val="{00000006-D2C5-41A8-BE27-D2EC7C8BECD8}"/>
            </c:ext>
          </c:extLst>
        </c:ser>
        <c:ser>
          <c:idx val="7"/>
          <c:order val="7"/>
          <c:tx>
            <c:v>An_In_Al_1</c:v>
          </c:tx>
          <c:spPr>
            <a:ln w="12700">
              <a:solidFill>
                <a:srgbClr val="FF6600"/>
              </a:solidFill>
              <a:prstDash val="solid"/>
            </a:ln>
          </c:spPr>
          <c:marker>
            <c:symbol val="dot"/>
            <c:size val="5"/>
            <c:spPr>
              <a:noFill/>
              <a:ln>
                <a:solidFill>
                  <a:srgbClr val="FF6600"/>
                </a:solidFill>
                <a:prstDash val="solid"/>
              </a:ln>
            </c:spPr>
          </c:marker>
          <c:xVal>
            <c:numRef>
              <c:f>Graphs!$AF$11:$AF$312</c:f>
              <c:numCache>
                <c:formatCode>General</c:formatCode>
                <c:ptCount val="302"/>
                <c:pt idx="1">
                  <c:v>8.3333333326057371E-2</c:v>
                </c:pt>
                <c:pt idx="2">
                  <c:v>0.24999999997817213</c:v>
                </c:pt>
                <c:pt idx="3">
                  <c:v>0.41666666663028684</c:v>
                </c:pt>
                <c:pt idx="4">
                  <c:v>0.58333333328240156</c:v>
                </c:pt>
                <c:pt idx="5">
                  <c:v>0.74999999993451638</c:v>
                </c:pt>
                <c:pt idx="6">
                  <c:v>0.9166666665866311</c:v>
                </c:pt>
                <c:pt idx="7">
                  <c:v>1.0833333332387458</c:v>
                </c:pt>
                <c:pt idx="8">
                  <c:v>1.2499999998908606</c:v>
                </c:pt>
                <c:pt idx="9">
                  <c:v>1.4166666665429752</c:v>
                </c:pt>
                <c:pt idx="10">
                  <c:v>1.5833333331950901</c:v>
                </c:pt>
                <c:pt idx="11">
                  <c:v>1.7499999998472049</c:v>
                </c:pt>
                <c:pt idx="12">
                  <c:v>1.9166666664993195</c:v>
                </c:pt>
                <c:pt idx="13">
                  <c:v>2.0833333331514341</c:v>
                </c:pt>
                <c:pt idx="14">
                  <c:v>2.2499999998035491</c:v>
                </c:pt>
                <c:pt idx="15">
                  <c:v>2.4166666664556637</c:v>
                </c:pt>
                <c:pt idx="16">
                  <c:v>2.5833333331077784</c:v>
                </c:pt>
                <c:pt idx="17">
                  <c:v>2.7499999997598934</c:v>
                </c:pt>
                <c:pt idx="18">
                  <c:v>2.916666666412008</c:v>
                </c:pt>
                <c:pt idx="19">
                  <c:v>3.0833333330641226</c:v>
                </c:pt>
                <c:pt idx="20">
                  <c:v>3.2499999997162377</c:v>
                </c:pt>
                <c:pt idx="21">
                  <c:v>3.4166666663683523</c:v>
                </c:pt>
                <c:pt idx="22">
                  <c:v>3.5833333330204669</c:v>
                </c:pt>
                <c:pt idx="23">
                  <c:v>3.7499999996725819</c:v>
                </c:pt>
                <c:pt idx="24">
                  <c:v>3.9166666663246965</c:v>
                </c:pt>
                <c:pt idx="25">
                  <c:v>4.0833333329768111</c:v>
                </c:pt>
                <c:pt idx="26">
                  <c:v>4.2499999996289262</c:v>
                </c:pt>
                <c:pt idx="27">
                  <c:v>4.4166666662810403</c:v>
                </c:pt>
                <c:pt idx="28">
                  <c:v>4.5833333329331554</c:v>
                </c:pt>
                <c:pt idx="29">
                  <c:v>4.7499999995852704</c:v>
                </c:pt>
                <c:pt idx="30">
                  <c:v>4.9166666662373846</c:v>
                </c:pt>
                <c:pt idx="31">
                  <c:v>5.0833333328894996</c:v>
                </c:pt>
                <c:pt idx="32">
                  <c:v>5.2499999995416147</c:v>
                </c:pt>
                <c:pt idx="33">
                  <c:v>5.4166666661937288</c:v>
                </c:pt>
                <c:pt idx="34">
                  <c:v>5.5833333328458439</c:v>
                </c:pt>
                <c:pt idx="35">
                  <c:v>5.7499999994979589</c:v>
                </c:pt>
                <c:pt idx="36">
                  <c:v>5.9166666661500731</c:v>
                </c:pt>
                <c:pt idx="37">
                  <c:v>6.0833333328021881</c:v>
                </c:pt>
                <c:pt idx="38">
                  <c:v>6.2499999994543032</c:v>
                </c:pt>
                <c:pt idx="39">
                  <c:v>6.4166666661064173</c:v>
                </c:pt>
                <c:pt idx="40">
                  <c:v>6.5833333327585324</c:v>
                </c:pt>
                <c:pt idx="41">
                  <c:v>6.7499999994106474</c:v>
                </c:pt>
                <c:pt idx="42">
                  <c:v>6.9166666660627616</c:v>
                </c:pt>
                <c:pt idx="43">
                  <c:v>7.0833333327148766</c:v>
                </c:pt>
                <c:pt idx="44">
                  <c:v>7.2499999993669917</c:v>
                </c:pt>
                <c:pt idx="45">
                  <c:v>7.4166666660191058</c:v>
                </c:pt>
                <c:pt idx="46">
                  <c:v>7.5833333326712209</c:v>
                </c:pt>
                <c:pt idx="47">
                  <c:v>7.7499999993233359</c:v>
                </c:pt>
                <c:pt idx="48">
                  <c:v>7.9166666659754501</c:v>
                </c:pt>
                <c:pt idx="49">
                  <c:v>8.0833333326275643</c:v>
                </c:pt>
                <c:pt idx="50">
                  <c:v>8.2499999992796802</c:v>
                </c:pt>
                <c:pt idx="51">
                  <c:v>8.4166666659317944</c:v>
                </c:pt>
                <c:pt idx="52">
                  <c:v>8.5833333325839085</c:v>
                </c:pt>
                <c:pt idx="53">
                  <c:v>8.7499999992360245</c:v>
                </c:pt>
                <c:pt idx="54">
                  <c:v>8.9166666658881386</c:v>
                </c:pt>
                <c:pt idx="55">
                  <c:v>9.0833333325402528</c:v>
                </c:pt>
                <c:pt idx="56">
                  <c:v>9.2499999991923687</c:v>
                </c:pt>
                <c:pt idx="57">
                  <c:v>9.4166666658444829</c:v>
                </c:pt>
                <c:pt idx="58">
                  <c:v>9.583333332496597</c:v>
                </c:pt>
                <c:pt idx="59">
                  <c:v>9.749999999148713</c:v>
                </c:pt>
                <c:pt idx="60">
                  <c:v>9.9166666658008271</c:v>
                </c:pt>
                <c:pt idx="61">
                  <c:v>10.083333332452941</c:v>
                </c:pt>
                <c:pt idx="62">
                  <c:v>10.249999999105057</c:v>
                </c:pt>
                <c:pt idx="63">
                  <c:v>10.416666665757171</c:v>
                </c:pt>
                <c:pt idx="64">
                  <c:v>10.583333332409286</c:v>
                </c:pt>
                <c:pt idx="65">
                  <c:v>10.749999999061401</c:v>
                </c:pt>
                <c:pt idx="66">
                  <c:v>10.916666665713516</c:v>
                </c:pt>
                <c:pt idx="67">
                  <c:v>11.08333333236563</c:v>
                </c:pt>
                <c:pt idx="68">
                  <c:v>11.249999999017746</c:v>
                </c:pt>
                <c:pt idx="69">
                  <c:v>11.41666666566986</c:v>
                </c:pt>
                <c:pt idx="70">
                  <c:v>11.583333332321974</c:v>
                </c:pt>
                <c:pt idx="71">
                  <c:v>11.74999999897409</c:v>
                </c:pt>
                <c:pt idx="72">
                  <c:v>11.916666665626204</c:v>
                </c:pt>
                <c:pt idx="73">
                  <c:v>12.083333332278318</c:v>
                </c:pt>
                <c:pt idx="74">
                  <c:v>12.249999998930434</c:v>
                </c:pt>
                <c:pt idx="75">
                  <c:v>12.416666665582548</c:v>
                </c:pt>
                <c:pt idx="76">
                  <c:v>12.583333332234663</c:v>
                </c:pt>
                <c:pt idx="77">
                  <c:v>12.749999998886778</c:v>
                </c:pt>
                <c:pt idx="78">
                  <c:v>12.916666665538893</c:v>
                </c:pt>
                <c:pt idx="79">
                  <c:v>13.083333332191007</c:v>
                </c:pt>
                <c:pt idx="80">
                  <c:v>13.249999998843123</c:v>
                </c:pt>
                <c:pt idx="81">
                  <c:v>13.416666665495237</c:v>
                </c:pt>
                <c:pt idx="82">
                  <c:v>13.583333332147351</c:v>
                </c:pt>
                <c:pt idx="83">
                  <c:v>13.749999998799467</c:v>
                </c:pt>
                <c:pt idx="84">
                  <c:v>13.916666665451581</c:v>
                </c:pt>
                <c:pt idx="85">
                  <c:v>14.083333332103695</c:v>
                </c:pt>
                <c:pt idx="86">
                  <c:v>14.249999998755811</c:v>
                </c:pt>
                <c:pt idx="87">
                  <c:v>14.416666665407925</c:v>
                </c:pt>
                <c:pt idx="88">
                  <c:v>14.58333333206004</c:v>
                </c:pt>
                <c:pt idx="89">
                  <c:v>14.749999998712156</c:v>
                </c:pt>
                <c:pt idx="90">
                  <c:v>14.91666666536427</c:v>
                </c:pt>
                <c:pt idx="91">
                  <c:v>15.083333332016384</c:v>
                </c:pt>
                <c:pt idx="92">
                  <c:v>15.2499999986685</c:v>
                </c:pt>
                <c:pt idx="93">
                  <c:v>15.416666665320614</c:v>
                </c:pt>
                <c:pt idx="94">
                  <c:v>15.583333331972728</c:v>
                </c:pt>
                <c:pt idx="95">
                  <c:v>15.749999998624844</c:v>
                </c:pt>
                <c:pt idx="96">
                  <c:v>15.916666665276958</c:v>
                </c:pt>
                <c:pt idx="97">
                  <c:v>16.083333331929072</c:v>
                </c:pt>
                <c:pt idx="98">
                  <c:v>16.249999998581188</c:v>
                </c:pt>
                <c:pt idx="99">
                  <c:v>16.416666665233301</c:v>
                </c:pt>
                <c:pt idx="100">
                  <c:v>16.583333331885417</c:v>
                </c:pt>
                <c:pt idx="101">
                  <c:v>16.749999998537533</c:v>
                </c:pt>
                <c:pt idx="102">
                  <c:v>16.916666665189645</c:v>
                </c:pt>
                <c:pt idx="103">
                  <c:v>17.083333331841761</c:v>
                </c:pt>
                <c:pt idx="104">
                  <c:v>17.249999998493877</c:v>
                </c:pt>
                <c:pt idx="105">
                  <c:v>17.416666665145989</c:v>
                </c:pt>
                <c:pt idx="106">
                  <c:v>17.583333331798105</c:v>
                </c:pt>
                <c:pt idx="107">
                  <c:v>17.749999998450221</c:v>
                </c:pt>
                <c:pt idx="108">
                  <c:v>17.916666665102333</c:v>
                </c:pt>
                <c:pt idx="109">
                  <c:v>18.083333331754449</c:v>
                </c:pt>
                <c:pt idx="110">
                  <c:v>18.249999998406565</c:v>
                </c:pt>
                <c:pt idx="111">
                  <c:v>18.416666665058678</c:v>
                </c:pt>
                <c:pt idx="112">
                  <c:v>18.583333331710794</c:v>
                </c:pt>
                <c:pt idx="113">
                  <c:v>18.74999999836291</c:v>
                </c:pt>
                <c:pt idx="114">
                  <c:v>18.916666665015022</c:v>
                </c:pt>
                <c:pt idx="115">
                  <c:v>19.083333331667138</c:v>
                </c:pt>
                <c:pt idx="116">
                  <c:v>19.249999998319254</c:v>
                </c:pt>
                <c:pt idx="117">
                  <c:v>19.416666664971366</c:v>
                </c:pt>
                <c:pt idx="118">
                  <c:v>19.583333331623482</c:v>
                </c:pt>
                <c:pt idx="119">
                  <c:v>19.749999998275598</c:v>
                </c:pt>
                <c:pt idx="120">
                  <c:v>19.91666666492771</c:v>
                </c:pt>
                <c:pt idx="121">
                  <c:v>20.083333331579826</c:v>
                </c:pt>
                <c:pt idx="122">
                  <c:v>20.249999998231942</c:v>
                </c:pt>
                <c:pt idx="123">
                  <c:v>20.416666664884055</c:v>
                </c:pt>
                <c:pt idx="124">
                  <c:v>20.583333331536171</c:v>
                </c:pt>
                <c:pt idx="125">
                  <c:v>20.749999998188287</c:v>
                </c:pt>
                <c:pt idx="126">
                  <c:v>20.916666664840399</c:v>
                </c:pt>
                <c:pt idx="127">
                  <c:v>21.083333331492515</c:v>
                </c:pt>
                <c:pt idx="128">
                  <c:v>21.249999998144631</c:v>
                </c:pt>
                <c:pt idx="129">
                  <c:v>21.416666664796743</c:v>
                </c:pt>
                <c:pt idx="130">
                  <c:v>21.583333331448859</c:v>
                </c:pt>
                <c:pt idx="131">
                  <c:v>21.749999998100975</c:v>
                </c:pt>
                <c:pt idx="132">
                  <c:v>21.916666664753087</c:v>
                </c:pt>
                <c:pt idx="133">
                  <c:v>22.083333331405203</c:v>
                </c:pt>
                <c:pt idx="134">
                  <c:v>22.249999998057319</c:v>
                </c:pt>
                <c:pt idx="135">
                  <c:v>22.416666664709432</c:v>
                </c:pt>
                <c:pt idx="136">
                  <c:v>22.583333331361548</c:v>
                </c:pt>
                <c:pt idx="137">
                  <c:v>22.749999998013664</c:v>
                </c:pt>
                <c:pt idx="138">
                  <c:v>22.916666664665776</c:v>
                </c:pt>
                <c:pt idx="139">
                  <c:v>23.083333331317892</c:v>
                </c:pt>
                <c:pt idx="140">
                  <c:v>23.249999997970008</c:v>
                </c:pt>
                <c:pt idx="141">
                  <c:v>23.41666666462212</c:v>
                </c:pt>
                <c:pt idx="142">
                  <c:v>23.583333331274236</c:v>
                </c:pt>
                <c:pt idx="143">
                  <c:v>23.749999997926352</c:v>
                </c:pt>
                <c:pt idx="144">
                  <c:v>23.916666664578464</c:v>
                </c:pt>
                <c:pt idx="145">
                  <c:v>24.08333333123058</c:v>
                </c:pt>
                <c:pt idx="146">
                  <c:v>24.249999997882696</c:v>
                </c:pt>
                <c:pt idx="147">
                  <c:v>24.416666664534809</c:v>
                </c:pt>
                <c:pt idx="148">
                  <c:v>24.583333331186925</c:v>
                </c:pt>
                <c:pt idx="149">
                  <c:v>24.749999997839041</c:v>
                </c:pt>
                <c:pt idx="150">
                  <c:v>24.916666664491153</c:v>
                </c:pt>
                <c:pt idx="151">
                  <c:v>25.083333331143269</c:v>
                </c:pt>
                <c:pt idx="152">
                  <c:v>25.249999997795385</c:v>
                </c:pt>
                <c:pt idx="153">
                  <c:v>25.416666664447497</c:v>
                </c:pt>
                <c:pt idx="154">
                  <c:v>25.583333331099613</c:v>
                </c:pt>
                <c:pt idx="155">
                  <c:v>25.749999997751729</c:v>
                </c:pt>
                <c:pt idx="156">
                  <c:v>25.916666664403841</c:v>
                </c:pt>
                <c:pt idx="157">
                  <c:v>26.083333331055957</c:v>
                </c:pt>
                <c:pt idx="158">
                  <c:v>26.249999997708073</c:v>
                </c:pt>
                <c:pt idx="159">
                  <c:v>26.416666664360186</c:v>
                </c:pt>
                <c:pt idx="160">
                  <c:v>26.583333331012302</c:v>
                </c:pt>
                <c:pt idx="161">
                  <c:v>26.749999997664418</c:v>
                </c:pt>
                <c:pt idx="162">
                  <c:v>26.91666666431653</c:v>
                </c:pt>
                <c:pt idx="163">
                  <c:v>27.083333330968646</c:v>
                </c:pt>
                <c:pt idx="164">
                  <c:v>27.249999997620762</c:v>
                </c:pt>
                <c:pt idx="165">
                  <c:v>27.416666664272874</c:v>
                </c:pt>
                <c:pt idx="166">
                  <c:v>27.58333333092499</c:v>
                </c:pt>
                <c:pt idx="167">
                  <c:v>27.749999997577106</c:v>
                </c:pt>
                <c:pt idx="168">
                  <c:v>27.916666664229218</c:v>
                </c:pt>
                <c:pt idx="169">
                  <c:v>28.083333330881334</c:v>
                </c:pt>
                <c:pt idx="170">
                  <c:v>28.24999999753345</c:v>
                </c:pt>
                <c:pt idx="171">
                  <c:v>28.416666664185563</c:v>
                </c:pt>
                <c:pt idx="172">
                  <c:v>28.583333330837679</c:v>
                </c:pt>
                <c:pt idx="173">
                  <c:v>28.749999997489795</c:v>
                </c:pt>
                <c:pt idx="174">
                  <c:v>28.916666664141907</c:v>
                </c:pt>
                <c:pt idx="175">
                  <c:v>29.083333330794023</c:v>
                </c:pt>
                <c:pt idx="176">
                  <c:v>29.249999997446139</c:v>
                </c:pt>
                <c:pt idx="177">
                  <c:v>29.416666664098251</c:v>
                </c:pt>
                <c:pt idx="178">
                  <c:v>29.583333330750367</c:v>
                </c:pt>
                <c:pt idx="179">
                  <c:v>29.749999997402483</c:v>
                </c:pt>
                <c:pt idx="180">
                  <c:v>29.916666664054596</c:v>
                </c:pt>
                <c:pt idx="181">
                  <c:v>30.083333330706711</c:v>
                </c:pt>
                <c:pt idx="182">
                  <c:v>30.249999997358827</c:v>
                </c:pt>
                <c:pt idx="183">
                  <c:v>30.41666666401094</c:v>
                </c:pt>
                <c:pt idx="184">
                  <c:v>30.583333330663056</c:v>
                </c:pt>
                <c:pt idx="185">
                  <c:v>30.749999997315172</c:v>
                </c:pt>
                <c:pt idx="186">
                  <c:v>30.916666663967284</c:v>
                </c:pt>
                <c:pt idx="187">
                  <c:v>31.0833333306194</c:v>
                </c:pt>
                <c:pt idx="188">
                  <c:v>31.249999997271516</c:v>
                </c:pt>
                <c:pt idx="189">
                  <c:v>31.416666663923628</c:v>
                </c:pt>
                <c:pt idx="190">
                  <c:v>31.583333330575744</c:v>
                </c:pt>
                <c:pt idx="191">
                  <c:v>31.74999999722786</c:v>
                </c:pt>
                <c:pt idx="192">
                  <c:v>31.916666663879973</c:v>
                </c:pt>
                <c:pt idx="193">
                  <c:v>32.083333330532085</c:v>
                </c:pt>
                <c:pt idx="194">
                  <c:v>32.249999997184204</c:v>
                </c:pt>
                <c:pt idx="195">
                  <c:v>32.416666663836317</c:v>
                </c:pt>
                <c:pt idx="196">
                  <c:v>32.583333330488429</c:v>
                </c:pt>
                <c:pt idx="197">
                  <c:v>32.749999997140549</c:v>
                </c:pt>
                <c:pt idx="198">
                  <c:v>32.916666663792661</c:v>
                </c:pt>
                <c:pt idx="199">
                  <c:v>33.083333330444773</c:v>
                </c:pt>
                <c:pt idx="200">
                  <c:v>33.249999997096893</c:v>
                </c:pt>
                <c:pt idx="201">
                  <c:v>33.416666663749005</c:v>
                </c:pt>
                <c:pt idx="202">
                  <c:v>33.583333330401118</c:v>
                </c:pt>
                <c:pt idx="203">
                  <c:v>33.749999997053237</c:v>
                </c:pt>
                <c:pt idx="204">
                  <c:v>33.91666666370535</c:v>
                </c:pt>
                <c:pt idx="205">
                  <c:v>34.083333330357462</c:v>
                </c:pt>
                <c:pt idx="206">
                  <c:v>34.249999997009581</c:v>
                </c:pt>
                <c:pt idx="207">
                  <c:v>34.416666663661694</c:v>
                </c:pt>
                <c:pt idx="208">
                  <c:v>34.583333330313806</c:v>
                </c:pt>
                <c:pt idx="209">
                  <c:v>34.749999996965926</c:v>
                </c:pt>
                <c:pt idx="210">
                  <c:v>34.916666663618038</c:v>
                </c:pt>
                <c:pt idx="211">
                  <c:v>35.08333333027015</c:v>
                </c:pt>
                <c:pt idx="212">
                  <c:v>35.24999999692227</c:v>
                </c:pt>
                <c:pt idx="213">
                  <c:v>35.416666663574382</c:v>
                </c:pt>
                <c:pt idx="214">
                  <c:v>35.583333330226495</c:v>
                </c:pt>
                <c:pt idx="215">
                  <c:v>35.749999996878614</c:v>
                </c:pt>
                <c:pt idx="216">
                  <c:v>35.916666663530727</c:v>
                </c:pt>
                <c:pt idx="217">
                  <c:v>36.083333330182839</c:v>
                </c:pt>
                <c:pt idx="218">
                  <c:v>36.249999996834958</c:v>
                </c:pt>
                <c:pt idx="219">
                  <c:v>36.416666663487071</c:v>
                </c:pt>
                <c:pt idx="220">
                  <c:v>36.583333330139183</c:v>
                </c:pt>
                <c:pt idx="221">
                  <c:v>36.749999996791303</c:v>
                </c:pt>
                <c:pt idx="222">
                  <c:v>36.916666663443415</c:v>
                </c:pt>
                <c:pt idx="223">
                  <c:v>37.083333330095527</c:v>
                </c:pt>
                <c:pt idx="224">
                  <c:v>37.249999996747647</c:v>
                </c:pt>
                <c:pt idx="225">
                  <c:v>37.416666663399759</c:v>
                </c:pt>
                <c:pt idx="226">
                  <c:v>37.583333330051872</c:v>
                </c:pt>
                <c:pt idx="227">
                  <c:v>37.749999996703991</c:v>
                </c:pt>
                <c:pt idx="228">
                  <c:v>37.916666663356104</c:v>
                </c:pt>
                <c:pt idx="229">
                  <c:v>38.083333330008216</c:v>
                </c:pt>
                <c:pt idx="230">
                  <c:v>38.249999996660335</c:v>
                </c:pt>
                <c:pt idx="231">
                  <c:v>38.416666663312448</c:v>
                </c:pt>
                <c:pt idx="232">
                  <c:v>38.58333332996456</c:v>
                </c:pt>
                <c:pt idx="233">
                  <c:v>38.74999999661668</c:v>
                </c:pt>
                <c:pt idx="234">
                  <c:v>38.916666663268792</c:v>
                </c:pt>
                <c:pt idx="235">
                  <c:v>39.083333329920904</c:v>
                </c:pt>
                <c:pt idx="236">
                  <c:v>39.249999996573024</c:v>
                </c:pt>
                <c:pt idx="237">
                  <c:v>39.416666663225136</c:v>
                </c:pt>
                <c:pt idx="238">
                  <c:v>39.583333329877249</c:v>
                </c:pt>
                <c:pt idx="239">
                  <c:v>39.749999996529368</c:v>
                </c:pt>
                <c:pt idx="240">
                  <c:v>39.916666663181481</c:v>
                </c:pt>
                <c:pt idx="241">
                  <c:v>40.083333329833593</c:v>
                </c:pt>
                <c:pt idx="242">
                  <c:v>40.249999996485712</c:v>
                </c:pt>
                <c:pt idx="243">
                  <c:v>40.416666663137825</c:v>
                </c:pt>
                <c:pt idx="244">
                  <c:v>40.583333329789937</c:v>
                </c:pt>
                <c:pt idx="245">
                  <c:v>40.749999996442057</c:v>
                </c:pt>
                <c:pt idx="246">
                  <c:v>40.916666663094169</c:v>
                </c:pt>
                <c:pt idx="247">
                  <c:v>41.083333329746281</c:v>
                </c:pt>
                <c:pt idx="248">
                  <c:v>41.249999996398401</c:v>
                </c:pt>
                <c:pt idx="249">
                  <c:v>41.416666663050513</c:v>
                </c:pt>
                <c:pt idx="250">
                  <c:v>41.583333329702626</c:v>
                </c:pt>
                <c:pt idx="251">
                  <c:v>41.749999996354745</c:v>
                </c:pt>
                <c:pt idx="252">
                  <c:v>41.916666663006858</c:v>
                </c:pt>
                <c:pt idx="253">
                  <c:v>42.08333332965897</c:v>
                </c:pt>
                <c:pt idx="254">
                  <c:v>42.249999996311089</c:v>
                </c:pt>
                <c:pt idx="255">
                  <c:v>42.416666662963202</c:v>
                </c:pt>
                <c:pt idx="256">
                  <c:v>42.583333329615314</c:v>
                </c:pt>
                <c:pt idx="257">
                  <c:v>42.749999996267434</c:v>
                </c:pt>
                <c:pt idx="258">
                  <c:v>42.916666662919546</c:v>
                </c:pt>
                <c:pt idx="259">
                  <c:v>43.083333329571659</c:v>
                </c:pt>
                <c:pt idx="260">
                  <c:v>43.249999996223778</c:v>
                </c:pt>
                <c:pt idx="261">
                  <c:v>43.41666666287589</c:v>
                </c:pt>
                <c:pt idx="262">
                  <c:v>43.583333329528003</c:v>
                </c:pt>
                <c:pt idx="263">
                  <c:v>43.749999996180122</c:v>
                </c:pt>
                <c:pt idx="264">
                  <c:v>43.916666662832235</c:v>
                </c:pt>
                <c:pt idx="265">
                  <c:v>44.083333329484347</c:v>
                </c:pt>
                <c:pt idx="266">
                  <c:v>44.249999996136467</c:v>
                </c:pt>
                <c:pt idx="267">
                  <c:v>44.416666662788579</c:v>
                </c:pt>
                <c:pt idx="268">
                  <c:v>44.583333329440691</c:v>
                </c:pt>
                <c:pt idx="269">
                  <c:v>44.749999996092811</c:v>
                </c:pt>
                <c:pt idx="270">
                  <c:v>44.916666662744923</c:v>
                </c:pt>
                <c:pt idx="271">
                  <c:v>45.083333329397036</c:v>
                </c:pt>
                <c:pt idx="272">
                  <c:v>45.249999996049155</c:v>
                </c:pt>
                <c:pt idx="273">
                  <c:v>45.416666662701267</c:v>
                </c:pt>
                <c:pt idx="274">
                  <c:v>45.58333332935338</c:v>
                </c:pt>
                <c:pt idx="275">
                  <c:v>45.749999996005499</c:v>
                </c:pt>
                <c:pt idx="276">
                  <c:v>45.916666662657612</c:v>
                </c:pt>
                <c:pt idx="277">
                  <c:v>46.083333329309724</c:v>
                </c:pt>
                <c:pt idx="278">
                  <c:v>46.249999995961844</c:v>
                </c:pt>
                <c:pt idx="279">
                  <c:v>46.416666662613956</c:v>
                </c:pt>
                <c:pt idx="280">
                  <c:v>46.583333329266068</c:v>
                </c:pt>
                <c:pt idx="281">
                  <c:v>46.749999995918188</c:v>
                </c:pt>
                <c:pt idx="282">
                  <c:v>46.9166666625703</c:v>
                </c:pt>
                <c:pt idx="283">
                  <c:v>47.083333329222413</c:v>
                </c:pt>
                <c:pt idx="284">
                  <c:v>47.249999995874532</c:v>
                </c:pt>
                <c:pt idx="285">
                  <c:v>47.416666662526644</c:v>
                </c:pt>
                <c:pt idx="286">
                  <c:v>47.583333329178757</c:v>
                </c:pt>
                <c:pt idx="287">
                  <c:v>47.749999995830876</c:v>
                </c:pt>
                <c:pt idx="288">
                  <c:v>47.916666662482989</c:v>
                </c:pt>
                <c:pt idx="289">
                  <c:v>48.083333329135101</c:v>
                </c:pt>
                <c:pt idx="290">
                  <c:v>48.249999995787221</c:v>
                </c:pt>
                <c:pt idx="291">
                  <c:v>48.416666662439333</c:v>
                </c:pt>
                <c:pt idx="292">
                  <c:v>48.583333329091445</c:v>
                </c:pt>
                <c:pt idx="293">
                  <c:v>48.749999995743565</c:v>
                </c:pt>
                <c:pt idx="294">
                  <c:v>48.916666662395677</c:v>
                </c:pt>
                <c:pt idx="295">
                  <c:v>49.08333332904779</c:v>
                </c:pt>
                <c:pt idx="296">
                  <c:v>49.249999995699909</c:v>
                </c:pt>
                <c:pt idx="297">
                  <c:v>49.416666662352021</c:v>
                </c:pt>
                <c:pt idx="298">
                  <c:v>49.583333329004134</c:v>
                </c:pt>
                <c:pt idx="299">
                  <c:v>49.749999995656253</c:v>
                </c:pt>
                <c:pt idx="300">
                  <c:v>49.916666662308366</c:v>
                </c:pt>
              </c:numCache>
            </c:numRef>
          </c:xVal>
          <c:yVal>
            <c:numRef>
              <c:f>Graphs!$AG$11:$AG$312</c:f>
              <c:numCache>
                <c:formatCode>General</c:formatCode>
                <c:ptCount val="302"/>
                <c:pt idx="1">
                  <c:v>1.7520986416828761E-2</c:v>
                </c:pt>
                <c:pt idx="2">
                  <c:v>1.8362835528923274E-2</c:v>
                </c:pt>
                <c:pt idx="3">
                  <c:v>2.0046533753117626E-2</c:v>
                </c:pt>
                <c:pt idx="4">
                  <c:v>2.2572081089406497E-2</c:v>
                </c:pt>
                <c:pt idx="5">
                  <c:v>2.5939477537792542E-2</c:v>
                </c:pt>
                <c:pt idx="6">
                  <c:v>3.0148723098275744E-2</c:v>
                </c:pt>
                <c:pt idx="7">
                  <c:v>3.5199817770856186E-2</c:v>
                </c:pt>
                <c:pt idx="8">
                  <c:v>4.1092761555531043E-2</c:v>
                </c:pt>
                <c:pt idx="9">
                  <c:v>4.7827554452303127E-2</c:v>
                </c:pt>
                <c:pt idx="10">
                  <c:v>5.5404196461172457E-2</c:v>
                </c:pt>
                <c:pt idx="11">
                  <c:v>6.3822687582138826E-2</c:v>
                </c:pt>
                <c:pt idx="12">
                  <c:v>7.3083027815199764E-2</c:v>
                </c:pt>
                <c:pt idx="13">
                  <c:v>8.3185217160357997E-2</c:v>
                </c:pt>
                <c:pt idx="14">
                  <c:v>9.4129255617615981E-2</c:v>
                </c:pt>
                <c:pt idx="15">
                  <c:v>0.10591514302217735</c:v>
                </c:pt>
                <c:pt idx="16">
                  <c:v>0.11800336451524747</c:v>
                </c:pt>
                <c:pt idx="17">
                  <c:v>0.1282793109455409</c:v>
                </c:pt>
                <c:pt idx="18">
                  <c:v>0.13622497476391454</c:v>
                </c:pt>
                <c:pt idx="19">
                  <c:v>0.14184035597035616</c:v>
                </c:pt>
                <c:pt idx="20">
                  <c:v>0.1451254545648753</c:v>
                </c:pt>
                <c:pt idx="21">
                  <c:v>0.14608027054746395</c:v>
                </c:pt>
                <c:pt idx="22">
                  <c:v>0.14470480391813131</c:v>
                </c:pt>
                <c:pt idx="23">
                  <c:v>0.14099905467686816</c:v>
                </c:pt>
                <c:pt idx="24">
                  <c:v>0.13496302282368255</c:v>
                </c:pt>
                <c:pt idx="25">
                  <c:v>0.12659670835856526</c:v>
                </c:pt>
                <c:pt idx="26">
                  <c:v>0.11590011128152719</c:v>
                </c:pt>
                <c:pt idx="27">
                  <c:v>0.10287323159255969</c:v>
                </c:pt>
                <c:pt idx="28">
                  <c:v>8.7545481368905539E-2</c:v>
                </c:pt>
                <c:pt idx="29">
                  <c:v>7.2299869115006049E-2</c:v>
                </c:pt>
                <c:pt idx="30">
                  <c:v>6.1237749785455084E-2</c:v>
                </c:pt>
                <c:pt idx="31">
                  <c:v>5.476429407357998E-2</c:v>
                </c:pt>
                <c:pt idx="32">
                  <c:v>5.2879501979374556E-2</c:v>
                </c:pt>
                <c:pt idx="33">
                  <c:v>5.5583373502847658E-2</c:v>
                </c:pt>
                <c:pt idx="34">
                  <c:v>6.2875908643991354E-2</c:v>
                </c:pt>
                <c:pt idx="35">
                  <c:v>7.4757107402807291E-2</c:v>
                </c:pt>
                <c:pt idx="36">
                  <c:v>9.1226969779299158E-2</c:v>
                </c:pt>
                <c:pt idx="37">
                  <c:v>0.11228549577346186</c:v>
                </c:pt>
                <c:pt idx="38">
                  <c:v>0.13788956154991522</c:v>
                </c:pt>
                <c:pt idx="39">
                  <c:v>0.16538998895541748</c:v>
                </c:pt>
                <c:pt idx="40">
                  <c:v>0.19064464761456792</c:v>
                </c:pt>
                <c:pt idx="41">
                  <c:v>0.21329299556238734</c:v>
                </c:pt>
                <c:pt idx="42">
                  <c:v>0.23333503279887352</c:v>
                </c:pt>
                <c:pt idx="43">
                  <c:v>0.25077075932402937</c:v>
                </c:pt>
                <c:pt idx="44">
                  <c:v>0.2656001751378616</c:v>
                </c:pt>
                <c:pt idx="45">
                  <c:v>0.27782328012886875</c:v>
                </c:pt>
                <c:pt idx="46">
                  <c:v>0.28636268375169016</c:v>
                </c:pt>
                <c:pt idx="47">
                  <c:v>0.28696937644847303</c:v>
                </c:pt>
                <c:pt idx="48">
                  <c:v>0.27859603188108878</c:v>
                </c:pt>
                <c:pt idx="49">
                  <c:v>0.26124265004952396</c:v>
                </c:pt>
                <c:pt idx="50">
                  <c:v>0.23490923095379432</c:v>
                </c:pt>
                <c:pt idx="51">
                  <c:v>0.20330271463889535</c:v>
                </c:pt>
                <c:pt idx="52">
                  <c:v>0.18822174925058086</c:v>
                </c:pt>
                <c:pt idx="53">
                  <c:v>0.19760833012114573</c:v>
                </c:pt>
                <c:pt idx="54">
                  <c:v>0.23236967615874882</c:v>
                </c:pt>
                <c:pt idx="55">
                  <c:v>0.32795836615556778</c:v>
                </c:pt>
                <c:pt idx="56">
                  <c:v>0.53079586060204731</c:v>
                </c:pt>
                <c:pt idx="57">
                  <c:v>0.8420478352269879</c:v>
                </c:pt>
                <c:pt idx="58">
                  <c:v>1.2593830244773367</c:v>
                </c:pt>
                <c:pt idx="59">
                  <c:v>1.826495888656358</c:v>
                </c:pt>
                <c:pt idx="60">
                  <c:v>2.3964619072744928</c:v>
                </c:pt>
                <c:pt idx="61">
                  <c:v>2.4675417395465375</c:v>
                </c:pt>
                <c:pt idx="62">
                  <c:v>1.8842722453797238</c:v>
                </c:pt>
                <c:pt idx="63">
                  <c:v>1.3087855288571792</c:v>
                </c:pt>
                <c:pt idx="64">
                  <c:v>0.921572568866873</c:v>
                </c:pt>
                <c:pt idx="65">
                  <c:v>0.70149690203552661</c:v>
                </c:pt>
                <c:pt idx="66">
                  <c:v>0.60130068344842647</c:v>
                </c:pt>
                <c:pt idx="67">
                  <c:v>0.51132573932293945</c:v>
                </c:pt>
                <c:pt idx="68">
                  <c:v>0.40841060685393238</c:v>
                </c:pt>
                <c:pt idx="69">
                  <c:v>0.30917598783804112</c:v>
                </c:pt>
                <c:pt idx="70">
                  <c:v>0.23963659806365117</c:v>
                </c:pt>
                <c:pt idx="71">
                  <c:v>0.20206005164477692</c:v>
                </c:pt>
                <c:pt idx="72">
                  <c:v>0.1963004492861376</c:v>
                </c:pt>
                <c:pt idx="73">
                  <c:v>0.20933639749566119</c:v>
                </c:pt>
                <c:pt idx="74">
                  <c:v>0.21805115613761233</c:v>
                </c:pt>
                <c:pt idx="75">
                  <c:v>0.22006880548156704</c:v>
                </c:pt>
                <c:pt idx="76">
                  <c:v>0.21538934552754307</c:v>
                </c:pt>
                <c:pt idx="77">
                  <c:v>0.20401277627554401</c:v>
                </c:pt>
                <c:pt idx="78">
                  <c:v>0.18608739878924188</c:v>
                </c:pt>
                <c:pt idx="79">
                  <c:v>0.16605208387032477</c:v>
                </c:pt>
                <c:pt idx="80">
                  <c:v>0.14900524070362345</c:v>
                </c:pt>
                <c:pt idx="81">
                  <c:v>0.13522787205415585</c:v>
                </c:pt>
                <c:pt idx="82">
                  <c:v>0.12471997792191034</c:v>
                </c:pt>
                <c:pt idx="83">
                  <c:v>0.11748155830689855</c:v>
                </c:pt>
                <c:pt idx="84">
                  <c:v>0.11351261320911539</c:v>
                </c:pt>
                <c:pt idx="85">
                  <c:v>0.11281314262855918</c:v>
                </c:pt>
                <c:pt idx="86">
                  <c:v>0.11533739722649425</c:v>
                </c:pt>
                <c:pt idx="87">
                  <c:v>0.11928835796265741</c:v>
                </c:pt>
                <c:pt idx="88">
                  <c:v>0.12232086636709838</c:v>
                </c:pt>
                <c:pt idx="89">
                  <c:v>0.12427710375881723</c:v>
                </c:pt>
                <c:pt idx="90">
                  <c:v>0.12515707013784055</c:v>
                </c:pt>
                <c:pt idx="91">
                  <c:v>0.12496076550415104</c:v>
                </c:pt>
                <c:pt idx="92">
                  <c:v>0.12368818985775001</c:v>
                </c:pt>
                <c:pt idx="93">
                  <c:v>0.12133934319864285</c:v>
                </c:pt>
                <c:pt idx="94">
                  <c:v>0.11791422552682276</c:v>
                </c:pt>
                <c:pt idx="95">
                  <c:v>0.1134128368423072</c:v>
                </c:pt>
                <c:pt idx="96">
                  <c:v>0.10783517714506964</c:v>
                </c:pt>
                <c:pt idx="97">
                  <c:v>0.1014433852911675</c:v>
                </c:pt>
                <c:pt idx="98">
                  <c:v>9.541705956487255E-2</c:v>
                </c:pt>
                <c:pt idx="99">
                  <c:v>9.008785369935815E-2</c:v>
                </c:pt>
                <c:pt idx="100">
                  <c:v>8.5455785523850039E-2</c:v>
                </c:pt>
                <c:pt idx="101">
                  <c:v>8.1520855038342763E-2</c:v>
                </c:pt>
                <c:pt idx="102">
                  <c:v>7.828306224283646E-2</c:v>
                </c:pt>
                <c:pt idx="103">
                  <c:v>7.5742407137341594E-2</c:v>
                </c:pt>
                <c:pt idx="104">
                  <c:v>7.3898889721837308E-2</c:v>
                </c:pt>
                <c:pt idx="105">
                  <c:v>7.2752509996344444E-2</c:v>
                </c:pt>
                <c:pt idx="106">
                  <c:v>7.2303267960852277E-2</c:v>
                </c:pt>
                <c:pt idx="107">
                  <c:v>7.2551163615356171E-2</c:v>
                </c:pt>
                <c:pt idx="108">
                  <c:v>7.3496196959876747E-2</c:v>
                </c:pt>
                <c:pt idx="109">
                  <c:v>7.5133520329930481E-2</c:v>
                </c:pt>
                <c:pt idx="110">
                  <c:v>7.7326061928494422E-2</c:v>
                </c:pt>
                <c:pt idx="111">
                  <c:v>7.9920828230207422E-2</c:v>
                </c:pt>
                <c:pt idx="112">
                  <c:v>8.2909775165519839E-2</c:v>
                </c:pt>
                <c:pt idx="113">
                  <c:v>8.6292902734442345E-2</c:v>
                </c:pt>
                <c:pt idx="114">
                  <c:v>9.007021093698557E-2</c:v>
                </c:pt>
                <c:pt idx="115">
                  <c:v>9.4241699773128434E-2</c:v>
                </c:pt>
                <c:pt idx="116">
                  <c:v>9.8807369242886245E-2</c:v>
                </c:pt>
                <c:pt idx="117">
                  <c:v>0.10376721934625435</c:v>
                </c:pt>
                <c:pt idx="118">
                  <c:v>0.10912125008322775</c:v>
                </c:pt>
                <c:pt idx="119">
                  <c:v>0.11486946145382078</c:v>
                </c:pt>
                <c:pt idx="120">
                  <c:v>0.12101185345800845</c:v>
                </c:pt>
                <c:pt idx="121">
                  <c:v>0.12754842609582312</c:v>
                </c:pt>
                <c:pt idx="122">
                  <c:v>0.1344791793672353</c:v>
                </c:pt>
                <c:pt idx="123">
                  <c:v>0.14160797815626891</c:v>
                </c:pt>
                <c:pt idx="124">
                  <c:v>0.14761650342760793</c:v>
                </c:pt>
                <c:pt idx="125">
                  <c:v>0.151961593588511</c:v>
                </c:pt>
                <c:pt idx="126">
                  <c:v>0.15464155769155732</c:v>
                </c:pt>
                <c:pt idx="127">
                  <c:v>0.1556563957367364</c:v>
                </c:pt>
                <c:pt idx="128">
                  <c:v>0.15500610772404896</c:v>
                </c:pt>
                <c:pt idx="129">
                  <c:v>0.15269069365349963</c:v>
                </c:pt>
                <c:pt idx="130">
                  <c:v>0.14871015352508293</c:v>
                </c:pt>
                <c:pt idx="131">
                  <c:v>0.14306448733880531</c:v>
                </c:pt>
                <c:pt idx="132">
                  <c:v>0.13575369509466031</c:v>
                </c:pt>
                <c:pt idx="133">
                  <c:v>0.12677777679264748</c:v>
                </c:pt>
                <c:pt idx="134">
                  <c:v>0.11613673243278003</c:v>
                </c:pt>
                <c:pt idx="135">
                  <c:v>0.10383056201503937</c:v>
                </c:pt>
                <c:pt idx="136">
                  <c:v>8.9906052114709534E-2</c:v>
                </c:pt>
                <c:pt idx="137">
                  <c:v>7.5964023248672199E-2</c:v>
                </c:pt>
                <c:pt idx="138">
                  <c:v>6.3965995328551267E-2</c:v>
                </c:pt>
                <c:pt idx="139">
                  <c:v>5.4031829870492848E-2</c:v>
                </c:pt>
                <c:pt idx="140">
                  <c:v>4.6161526874493479E-2</c:v>
                </c:pt>
                <c:pt idx="141">
                  <c:v>4.0355086340567274E-2</c:v>
                </c:pt>
                <c:pt idx="142">
                  <c:v>3.6612508268697878E-2</c:v>
                </c:pt>
                <c:pt idx="143">
                  <c:v>3.4933792658898934E-2</c:v>
                </c:pt>
                <c:pt idx="144">
                  <c:v>3.5318939511162127E-2</c:v>
                </c:pt>
                <c:pt idx="145">
                  <c:v>3.7767948825492809E-2</c:v>
                </c:pt>
                <c:pt idx="146">
                  <c:v>4.228082060188857E-2</c:v>
                </c:pt>
                <c:pt idx="147">
                  <c:v>4.8857554840346484E-2</c:v>
                </c:pt>
                <c:pt idx="148">
                  <c:v>5.7439512940736973E-2</c:v>
                </c:pt>
                <c:pt idx="149">
                  <c:v>6.6662055449120503E-2</c:v>
                </c:pt>
                <c:pt idx="150">
                  <c:v>7.5151621610090577E-2</c:v>
                </c:pt>
                <c:pt idx="151">
                  <c:v>8.2847788539458372E-2</c:v>
                </c:pt>
                <c:pt idx="152">
                  <c:v>8.9750556237218615E-2</c:v>
                </c:pt>
                <c:pt idx="153">
                  <c:v>9.5859924703381907E-2</c:v>
                </c:pt>
                <c:pt idx="154">
                  <c:v>0.10117589393794334</c:v>
                </c:pt>
                <c:pt idx="155">
                  <c:v>0.10569846394089642</c:v>
                </c:pt>
                <c:pt idx="156">
                  <c:v>0.1094276347122423</c:v>
                </c:pt>
                <c:pt idx="157">
                  <c:v>0.1123634062519972</c:v>
                </c:pt>
                <c:pt idx="158">
                  <c:v>0.11508205385489322</c:v>
                </c:pt>
                <c:pt idx="159">
                  <c:v>0.12175718881585262</c:v>
                </c:pt>
                <c:pt idx="160">
                  <c:v>0.13422652480214406</c:v>
                </c:pt>
                <c:pt idx="161">
                  <c:v>0.15249804788904869</c:v>
                </c:pt>
                <c:pt idx="162">
                  <c:v>0.17657175807655384</c:v>
                </c:pt>
                <c:pt idx="163">
                  <c:v>0.20644765536466098</c:v>
                </c:pt>
                <c:pt idx="164">
                  <c:v>0.24212573975337293</c:v>
                </c:pt>
                <c:pt idx="165">
                  <c:v>0.28310922957602935</c:v>
                </c:pt>
                <c:pt idx="166">
                  <c:v>0.31746202944684476</c:v>
                </c:pt>
                <c:pt idx="167">
                  <c:v>0.3329575732644624</c:v>
                </c:pt>
                <c:pt idx="168">
                  <c:v>0.329040974690542</c:v>
                </c:pt>
                <c:pt idx="169">
                  <c:v>0.30571223372504053</c:v>
                </c:pt>
                <c:pt idx="170">
                  <c:v>0.2631675792191504</c:v>
                </c:pt>
                <c:pt idx="171">
                  <c:v>0.22117775902827652</c:v>
                </c:pt>
                <c:pt idx="172">
                  <c:v>0.216170024982519</c:v>
                </c:pt>
                <c:pt idx="173">
                  <c:v>0.25206714139149361</c:v>
                </c:pt>
                <c:pt idx="174">
                  <c:v>0.32915854914321141</c:v>
                </c:pt>
                <c:pt idx="175">
                  <c:v>0.45056664487274362</c:v>
                </c:pt>
                <c:pt idx="176">
                  <c:v>0.61867786007492631</c:v>
                </c:pt>
                <c:pt idx="177">
                  <c:v>0.87270413890670839</c:v>
                </c:pt>
                <c:pt idx="178">
                  <c:v>1.2764828972090887</c:v>
                </c:pt>
                <c:pt idx="179">
                  <c:v>1.8048521982907617</c:v>
                </c:pt>
                <c:pt idx="180">
                  <c:v>2.3931021396266883</c:v>
                </c:pt>
                <c:pt idx="181">
                  <c:v>2.4973357056717607</c:v>
                </c:pt>
                <c:pt idx="182">
                  <c:v>1.9225486378828645</c:v>
                </c:pt>
                <c:pt idx="183">
                  <c:v>1.3006088829506488</c:v>
                </c:pt>
                <c:pt idx="184">
                  <c:v>0.89625419527482442</c:v>
                </c:pt>
                <c:pt idx="185">
                  <c:v>0.65107521624318399</c:v>
                </c:pt>
                <c:pt idx="186">
                  <c:v>0.47780170775976849</c:v>
                </c:pt>
                <c:pt idx="187">
                  <c:v>0.35571868723664779</c:v>
                </c:pt>
                <c:pt idx="188">
                  <c:v>0.26968385138480933</c:v>
                </c:pt>
                <c:pt idx="189">
                  <c:v>0.21881269666809935</c:v>
                </c:pt>
                <c:pt idx="190">
                  <c:v>0.18972480920995394</c:v>
                </c:pt>
                <c:pt idx="191">
                  <c:v>0.16669765408738055</c:v>
                </c:pt>
                <c:pt idx="192">
                  <c:v>0.14883215197007402</c:v>
                </c:pt>
                <c:pt idx="193">
                  <c:v>0.13612830285805455</c:v>
                </c:pt>
                <c:pt idx="194">
                  <c:v>0.12848686601436729</c:v>
                </c:pt>
                <c:pt idx="195">
                  <c:v>0.12420282086034509</c:v>
                </c:pt>
                <c:pt idx="196">
                  <c:v>0.12184110181865952</c:v>
                </c:pt>
                <c:pt idx="197">
                  <c:v>0.12135696249578826</c:v>
                </c:pt>
                <c:pt idx="198">
                  <c:v>0.12275040289172072</c:v>
                </c:pt>
                <c:pt idx="199">
                  <c:v>0.12602142300646196</c:v>
                </c:pt>
                <c:pt idx="200">
                  <c:v>0.13117002283999624</c:v>
                </c:pt>
                <c:pt idx="201">
                  <c:v>0.13819618120141258</c:v>
                </c:pt>
                <c:pt idx="202">
                  <c:v>0.14640112857684265</c:v>
                </c:pt>
                <c:pt idx="203">
                  <c:v>0.15324677494474701</c:v>
                </c:pt>
                <c:pt idx="204">
                  <c:v>0.15815703602187484</c:v>
                </c:pt>
                <c:pt idx="205">
                  <c:v>0.16113191180824638</c:v>
                </c:pt>
                <c:pt idx="206">
                  <c:v>0.16217140230386268</c:v>
                </c:pt>
                <c:pt idx="207">
                  <c:v>0.161275507508713</c:v>
                </c:pt>
                <c:pt idx="208">
                  <c:v>0.15844422742279662</c:v>
                </c:pt>
                <c:pt idx="209">
                  <c:v>0.15367756204612487</c:v>
                </c:pt>
                <c:pt idx="210">
                  <c:v>0.14697551137869841</c:v>
                </c:pt>
                <c:pt idx="211">
                  <c:v>0.13833807542050405</c:v>
                </c:pt>
                <c:pt idx="212">
                  <c:v>0.12776525417153362</c:v>
                </c:pt>
                <c:pt idx="213">
                  <c:v>0.11530569902056638</c:v>
                </c:pt>
                <c:pt idx="214">
                  <c:v>0.10227645274777315</c:v>
                </c:pt>
                <c:pt idx="215">
                  <c:v>9.011500264408677E-2</c:v>
                </c:pt>
                <c:pt idx="216">
                  <c:v>7.8894146840654392E-2</c:v>
                </c:pt>
                <c:pt idx="217">
                  <c:v>6.8613885337464819E-2</c:v>
                </c:pt>
                <c:pt idx="218">
                  <c:v>5.9274218134539897E-2</c:v>
                </c:pt>
                <c:pt idx="219">
                  <c:v>5.0875145231870179E-2</c:v>
                </c:pt>
                <c:pt idx="220">
                  <c:v>4.3416666629462176E-2</c:v>
                </c:pt>
                <c:pt idx="221">
                  <c:v>3.6898782327309379E-2</c:v>
                </c:pt>
                <c:pt idx="222">
                  <c:v>3.1321492325412613E-2</c:v>
                </c:pt>
                <c:pt idx="223">
                  <c:v>2.6684796623765238E-2</c:v>
                </c:pt>
                <c:pt idx="224">
                  <c:v>2.2988695222395217E-2</c:v>
                </c:pt>
                <c:pt idx="225">
                  <c:v>2.0233188121271044E-2</c:v>
                </c:pt>
                <c:pt idx="226">
                  <c:v>1.8418275320395316E-2</c:v>
                </c:pt>
                <c:pt idx="227">
                  <c:v>1.7543956819786752E-2</c:v>
                </c:pt>
                <c:pt idx="228">
                  <c:v>1.7610232619434812E-2</c:v>
                </c:pt>
                <c:pt idx="229">
                  <c:v>1.8617102719341746E-2</c:v>
                </c:pt>
                <c:pt idx="230">
                  <c:v>2.0564567119494646E-2</c:v>
                </c:pt>
                <c:pt idx="231">
                  <c:v>2.3356216252526051E-2</c:v>
                </c:pt>
                <c:pt idx="232">
                  <c:v>2.6296417933168805E-2</c:v>
                </c:pt>
                <c:pt idx="233">
                  <c:v>2.9079878171368929E-2</c:v>
                </c:pt>
                <c:pt idx="234">
                  <c:v>3.1705290647934474E-2</c:v>
                </c:pt>
                <c:pt idx="235">
                  <c:v>3.417265536283752E-2</c:v>
                </c:pt>
                <c:pt idx="236">
                  <c:v>3.6481972316116634E-2</c:v>
                </c:pt>
                <c:pt idx="237">
                  <c:v>3.8633241507718241E-2</c:v>
                </c:pt>
                <c:pt idx="238">
                  <c:v>4.0626462937679256E-2</c:v>
                </c:pt>
                <c:pt idx="239">
                  <c:v>4.2461636606005396E-2</c:v>
                </c:pt>
                <c:pt idx="240">
                  <c:v>4.4138762512664444E-2</c:v>
                </c:pt>
                <c:pt idx="241">
                  <c:v>4.5657840657683371E-2</c:v>
                </c:pt>
                <c:pt idx="242">
                  <c:v>4.701887104105653E-2</c:v>
                </c:pt>
                <c:pt idx="243">
                  <c:v>4.8221853662773081E-2</c:v>
                </c:pt>
                <c:pt idx="244">
                  <c:v>4.9266788522839201E-2</c:v>
                </c:pt>
                <c:pt idx="245">
                  <c:v>5.015367562127003E-2</c:v>
                </c:pt>
                <c:pt idx="246">
                  <c:v>5.088251495803349E-2</c:v>
                </c:pt>
                <c:pt idx="247">
                  <c:v>5.1453306533157397E-2</c:v>
                </c:pt>
                <c:pt idx="248">
                  <c:v>5.1866050346635245E-2</c:v>
                </c:pt>
                <c:pt idx="249">
                  <c:v>5.2120746398466984E-2</c:v>
                </c:pt>
                <c:pt idx="250">
                  <c:v>5.2217394688637966E-2</c:v>
                </c:pt>
                <c:pt idx="251">
                  <c:v>5.2155995217162833E-2</c:v>
                </c:pt>
                <c:pt idx="252">
                  <c:v>5.1936547984052256E-2</c:v>
                </c:pt>
                <c:pt idx="253">
                  <c:v>5.155905298927025E-2</c:v>
                </c:pt>
                <c:pt idx="254">
                  <c:v>5.1023510232852794E-2</c:v>
                </c:pt>
                <c:pt idx="255">
                  <c:v>5.0329919714789305E-2</c:v>
                </c:pt>
                <c:pt idx="256">
                  <c:v>4.9478281435075558E-2</c:v>
                </c:pt>
                <c:pt idx="257">
                  <c:v>4.846859539370512E-2</c:v>
                </c:pt>
                <c:pt idx="258">
                  <c:v>4.7313192936234538E-2</c:v>
                </c:pt>
                <c:pt idx="259">
                  <c:v>4.6124955050639301E-2</c:v>
                </c:pt>
                <c:pt idx="260">
                  <c:v>4.4964444180639968E-2</c:v>
                </c:pt>
                <c:pt idx="261">
                  <c:v>4.383223845381988E-2</c:v>
                </c:pt>
                <c:pt idx="262">
                  <c:v>4.2728337870163322E-2</c:v>
                </c:pt>
                <c:pt idx="263">
                  <c:v>4.1652742429696674E-2</c:v>
                </c:pt>
                <c:pt idx="264">
                  <c:v>4.0605452132377436E-2</c:v>
                </c:pt>
                <c:pt idx="265">
                  <c:v>3.9586466978232107E-2</c:v>
                </c:pt>
                <c:pt idx="266">
                  <c:v>3.8595786967266163E-2</c:v>
                </c:pt>
                <c:pt idx="267">
                  <c:v>3.7633412099469077E-2</c:v>
                </c:pt>
                <c:pt idx="268">
                  <c:v>3.6699342374834992E-2</c:v>
                </c:pt>
                <c:pt idx="269">
                  <c:v>3.5793577793391075E-2</c:v>
                </c:pt>
                <c:pt idx="270">
                  <c:v>3.4916118355094804E-2</c:v>
                </c:pt>
                <c:pt idx="271">
                  <c:v>3.406696405997197E-2</c:v>
                </c:pt>
                <c:pt idx="272">
                  <c:v>3.3246114908028764E-2</c:v>
                </c:pt>
                <c:pt idx="273">
                  <c:v>3.2453570899254623E-2</c:v>
                </c:pt>
                <c:pt idx="274">
                  <c:v>3.1689332033653712E-2</c:v>
                </c:pt>
                <c:pt idx="275">
                  <c:v>3.0953398311211213E-2</c:v>
                </c:pt>
                <c:pt idx="276">
                  <c:v>3.0245769731959193E-2</c:v>
                </c:pt>
                <c:pt idx="277">
                  <c:v>2.9566446295858893E-2</c:v>
                </c:pt>
                <c:pt idx="278">
                  <c:v>2.8915428002927759E-2</c:v>
                </c:pt>
                <c:pt idx="279">
                  <c:v>2.8292714853187191E-2</c:v>
                </c:pt>
                <c:pt idx="280">
                  <c:v>2.7698306846598172E-2</c:v>
                </c:pt>
                <c:pt idx="281">
                  <c:v>2.7132203983189062E-2</c:v>
                </c:pt>
                <c:pt idx="282">
                  <c:v>2.6594406262949274E-2</c:v>
                </c:pt>
                <c:pt idx="283">
                  <c:v>2.608491368588221E-2</c:v>
                </c:pt>
                <c:pt idx="284">
                  <c:v>2.5603726251984468E-2</c:v>
                </c:pt>
                <c:pt idx="285">
                  <c:v>2.515084396124545E-2</c:v>
                </c:pt>
                <c:pt idx="286">
                  <c:v>2.4726266813689689E-2</c:v>
                </c:pt>
                <c:pt idx="287">
                  <c:v>2.4329994809303312E-2</c:v>
                </c:pt>
                <c:pt idx="288">
                  <c:v>2.396202794808637E-2</c:v>
                </c:pt>
                <c:pt idx="289">
                  <c:v>2.3622366230041925E-2</c:v>
                </c:pt>
                <c:pt idx="290">
                  <c:v>2.3311009655166914E-2</c:v>
                </c:pt>
                <c:pt idx="291">
                  <c:v>2.3027958223461379E-2</c:v>
                </c:pt>
                <c:pt idx="292">
                  <c:v>2.2773211934917603E-2</c:v>
                </c:pt>
                <c:pt idx="293">
                  <c:v>2.2546770789564616E-2</c:v>
                </c:pt>
                <c:pt idx="294">
                  <c:v>2.2348634787359819E-2</c:v>
                </c:pt>
                <c:pt idx="295">
                  <c:v>2.2178803928348697E-2</c:v>
                </c:pt>
                <c:pt idx="296">
                  <c:v>2.2037278212485762E-2</c:v>
                </c:pt>
                <c:pt idx="297">
                  <c:v>2.1924057639803003E-2</c:v>
                </c:pt>
                <c:pt idx="298">
                  <c:v>2.183914221029257E-2</c:v>
                </c:pt>
                <c:pt idx="299">
                  <c:v>2.1782531923962321E-2</c:v>
                </c:pt>
                <c:pt idx="300">
                  <c:v>2.1754226780780279E-2</c:v>
                </c:pt>
              </c:numCache>
            </c:numRef>
          </c:yVal>
          <c:smooth val="1"/>
          <c:extLst>
            <c:ext xmlns:c16="http://schemas.microsoft.com/office/drawing/2014/chart" uri="{C3380CC4-5D6E-409C-BE32-E72D297353CC}">
              <c16:uniqueId val="{00000007-D2C5-41A8-BE27-D2EC7C8BECD8}"/>
            </c:ext>
          </c:extLst>
        </c:ser>
        <c:ser>
          <c:idx val="8"/>
          <c:order val="8"/>
          <c:tx>
            <c:v>An_0</c:v>
          </c:tx>
          <c:spPr>
            <a:ln w="25400">
              <a:solidFill>
                <a:srgbClr val="993300"/>
              </a:solidFill>
              <a:prstDash val="solid"/>
            </a:ln>
          </c:spPr>
          <c:marker>
            <c:symbol val="triangle"/>
            <c:size val="5"/>
            <c:spPr>
              <a:solidFill>
                <a:srgbClr val="F4EE00"/>
              </a:solidFill>
              <a:ln>
                <a:solidFill>
                  <a:srgbClr val="993300"/>
                </a:solidFill>
                <a:prstDash val="solid"/>
              </a:ln>
            </c:spPr>
          </c:marker>
          <c:xVal>
            <c:numRef>
              <c:f>Graphs!$AH$11:$AH$134</c:f>
              <c:numCache>
                <c:formatCode>General</c:formatCode>
                <c:ptCount val="124"/>
                <c:pt idx="0">
                  <c:v>0</c:v>
                </c:pt>
                <c:pt idx="1">
                  <c:v>0.89688894076971337</c:v>
                </c:pt>
                <c:pt idx="2">
                  <c:v>1.8641394926817156</c:v>
                </c:pt>
                <c:pt idx="3">
                  <c:v>2.9605798234115355</c:v>
                </c:pt>
                <c:pt idx="4">
                  <c:v>4.1980953348684125</c:v>
                </c:pt>
                <c:pt idx="5">
                  <c:v>5.5483564428868704</c:v>
                </c:pt>
                <c:pt idx="6">
                  <c:v>6.9703873581602238</c:v>
                </c:pt>
                <c:pt idx="7">
                  <c:v>8.4402233464061283</c:v>
                </c:pt>
                <c:pt idx="8">
                  <c:v>9.9575227286550216</c:v>
                </c:pt>
                <c:pt idx="9">
                  <c:v>11.527829080296215</c:v>
                </c:pt>
                <c:pt idx="10">
                  <c:v>13.142040256934706</c:v>
                </c:pt>
                <c:pt idx="11">
                  <c:v>14.768722133885603</c:v>
                </c:pt>
                <c:pt idx="12">
                  <c:v>16.356732237909455</c:v>
                </c:pt>
                <c:pt idx="13">
                  <c:v>17.844781892199535</c:v>
                </c:pt>
                <c:pt idx="14">
                  <c:v>19.181782512168866</c:v>
                </c:pt>
                <c:pt idx="15">
                  <c:v>20.351667587237898</c:v>
                </c:pt>
                <c:pt idx="16">
                  <c:v>21.384160743036773</c:v>
                </c:pt>
                <c:pt idx="17">
                  <c:v>22.342685637704562</c:v>
                </c:pt>
                <c:pt idx="18">
                  <c:v>23.297000558522996</c:v>
                </c:pt>
                <c:pt idx="19">
                  <c:v>24.292349834286142</c:v>
                </c:pt>
                <c:pt idx="20">
                  <c:v>25.326453409797978</c:v>
                </c:pt>
                <c:pt idx="21">
                  <c:v>26.347641290340107</c:v>
                </c:pt>
                <c:pt idx="22">
                  <c:v>27.280329070345033</c:v>
                </c:pt>
                <c:pt idx="23">
                  <c:v>28.062663164746482</c:v>
                </c:pt>
                <c:pt idx="24">
                  <c:v>28.669746332161594</c:v>
                </c:pt>
                <c:pt idx="25">
                  <c:v>29.111924824246671</c:v>
                </c:pt>
                <c:pt idx="26">
                  <c:v>29.419084104301874</c:v>
                </c:pt>
                <c:pt idx="27">
                  <c:v>29.625479625246953</c:v>
                </c:pt>
                <c:pt idx="28">
                  <c:v>29.761181406502146</c:v>
                </c:pt>
                <c:pt idx="29">
                  <c:v>29.849311058933381</c:v>
                </c:pt>
                <c:pt idx="30">
                  <c:v>29.90638507908443</c:v>
                </c:pt>
                <c:pt idx="31">
                  <c:v>29.94375132402638</c:v>
                </c:pt>
                <c:pt idx="32">
                  <c:v>29.969121598696802</c:v>
                </c:pt>
                <c:pt idx="33">
                  <c:v>29.987858388631139</c:v>
                </c:pt>
                <c:pt idx="34">
                  <c:v>30.003981960180681</c:v>
                </c:pt>
                <c:pt idx="35">
                  <c:v>30.020979327673558</c:v>
                </c:pt>
                <c:pt idx="36">
                  <c:v>30.042530830542091</c:v>
                </c:pt>
                <c:pt idx="37">
                  <c:v>30.073280991928186</c:v>
                </c:pt>
                <c:pt idx="38">
                  <c:v>30.119792056211736</c:v>
                </c:pt>
                <c:pt idx="39">
                  <c:v>30.191834959259722</c:v>
                </c:pt>
                <c:pt idx="40">
                  <c:v>30.304181580140721</c:v>
                </c:pt>
                <c:pt idx="41">
                  <c:v>30.479027204273734</c:v>
                </c:pt>
                <c:pt idx="42">
                  <c:v>30.749027973797638</c:v>
                </c:pt>
                <c:pt idx="43">
                  <c:v>31.160632845421787</c:v>
                </c:pt>
                <c:pt idx="44">
                  <c:v>31.777109763061162</c:v>
                </c:pt>
                <c:pt idx="45">
                  <c:v>32.681422297901008</c:v>
                </c:pt>
                <c:pt idx="46">
                  <c:v>33.983392054506112</c:v>
                </c:pt>
                <c:pt idx="47">
                  <c:v>35.846407026110683</c:v>
                </c:pt>
                <c:pt idx="48">
                  <c:v>38.567444209184032</c:v>
                </c:pt>
                <c:pt idx="49">
                  <c:v>42.780707859492395</c:v>
                </c:pt>
                <c:pt idx="50">
                  <c:v>49.999999983992893</c:v>
                </c:pt>
              </c:numCache>
            </c:numRef>
          </c:xVal>
          <c:yVal>
            <c:numRef>
              <c:f>Graphs!$AI$11:$AI$134</c:f>
              <c:numCache>
                <c:formatCode>General</c:formatCode>
                <c:ptCount val="124"/>
                <c:pt idx="0">
                  <c:v>2.2808282657451926</c:v>
                </c:pt>
                <c:pt idx="1">
                  <c:v>2.4714166043065489</c:v>
                </c:pt>
                <c:pt idx="2">
                  <c:v>2.662466105993837</c:v>
                </c:pt>
                <c:pt idx="3">
                  <c:v>2.8605852687023581</c:v>
                </c:pt>
                <c:pt idx="4">
                  <c:v>3.0949879734255372</c:v>
                </c:pt>
                <c:pt idx="5">
                  <c:v>3.2735308732353152</c:v>
                </c:pt>
                <c:pt idx="6">
                  <c:v>3.4831263395957648</c:v>
                </c:pt>
                <c:pt idx="7">
                  <c:v>3.6744159386791289</c:v>
                </c:pt>
                <c:pt idx="8">
                  <c:v>3.8778446124009789</c:v>
                </c:pt>
                <c:pt idx="9">
                  <c:v>4.0878315094076099</c:v>
                </c:pt>
                <c:pt idx="10">
                  <c:v>4.2595044983066614</c:v>
                </c:pt>
                <c:pt idx="11">
                  <c:v>4.4838214059062302</c:v>
                </c:pt>
                <c:pt idx="12">
                  <c:v>4.6824077536202964</c:v>
                </c:pt>
                <c:pt idx="13">
                  <c:v>4.8893591124005615</c:v>
                </c:pt>
                <c:pt idx="14">
                  <c:v>5.0960081052444872</c:v>
                </c:pt>
                <c:pt idx="15">
                  <c:v>5.295324570912868</c:v>
                </c:pt>
                <c:pt idx="16">
                  <c:v>5.5011578789688649</c:v>
                </c:pt>
                <c:pt idx="17">
                  <c:v>5.6875888803489509</c:v>
                </c:pt>
                <c:pt idx="18">
                  <c:v>5.8781362815611065</c:v>
                </c:pt>
                <c:pt idx="19">
                  <c:v>6.0934056529216472</c:v>
                </c:pt>
                <c:pt idx="20">
                  <c:v>6.3068681297414004</c:v>
                </c:pt>
                <c:pt idx="21">
                  <c:v>6.4901526380963626</c:v>
                </c:pt>
                <c:pt idx="22">
                  <c:v>6.6984786649681629</c:v>
                </c:pt>
                <c:pt idx="23">
                  <c:v>6.8921215216629204</c:v>
                </c:pt>
                <c:pt idx="24">
                  <c:v>7.0865812115333977</c:v>
                </c:pt>
                <c:pt idx="25">
                  <c:v>7.3027161829434339</c:v>
                </c:pt>
                <c:pt idx="26">
                  <c:v>7.5183351617865268</c:v>
                </c:pt>
                <c:pt idx="27">
                  <c:v>7.7038716139905157</c:v>
                </c:pt>
                <c:pt idx="28">
                  <c:v>7.9083233626820144</c:v>
                </c:pt>
                <c:pt idx="29">
                  <c:v>8.1149909251295025</c:v>
                </c:pt>
                <c:pt idx="30">
                  <c:v>8.2506355920545751</c:v>
                </c:pt>
                <c:pt idx="31">
                  <c:v>8.5722924061678345</c:v>
                </c:pt>
                <c:pt idx="32">
                  <c:v>8.6735323605053125</c:v>
                </c:pt>
                <c:pt idx="33">
                  <c:v>8.949234131556004</c:v>
                </c:pt>
                <c:pt idx="34">
                  <c:v>9.1845845668949195</c:v>
                </c:pt>
                <c:pt idx="35">
                  <c:v>9.2019186423607167</c:v>
                </c:pt>
                <c:pt idx="36">
                  <c:v>9.5545939252935348</c:v>
                </c:pt>
                <c:pt idx="37">
                  <c:v>9.7397145399264993</c:v>
                </c:pt>
                <c:pt idx="38">
                  <c:v>9.921328281220049</c:v>
                </c:pt>
                <c:pt idx="39">
                  <c:v>10.118093901764601</c:v>
                </c:pt>
                <c:pt idx="40">
                  <c:v>10.340274881910533</c:v>
                </c:pt>
                <c:pt idx="41">
                  <c:v>10.526514122683555</c:v>
                </c:pt>
                <c:pt idx="42">
                  <c:v>10.716714065384119</c:v>
                </c:pt>
                <c:pt idx="43">
                  <c:v>10.92176637821272</c:v>
                </c:pt>
                <c:pt idx="44">
                  <c:v>11.123641830880194</c:v>
                </c:pt>
                <c:pt idx="45">
                  <c:v>11.335130838844925</c:v>
                </c:pt>
                <c:pt idx="46">
                  <c:v>11.515661543425173</c:v>
                </c:pt>
                <c:pt idx="47">
                  <c:v>11.742123357553035</c:v>
                </c:pt>
                <c:pt idx="48">
                  <c:v>11.919127186704428</c:v>
                </c:pt>
                <c:pt idx="49">
                  <c:v>12.134579030226917</c:v>
                </c:pt>
                <c:pt idx="50">
                  <c:v>12.329984020184726</c:v>
                </c:pt>
              </c:numCache>
            </c:numRef>
          </c:yVal>
          <c:smooth val="1"/>
          <c:extLst>
            <c:ext xmlns:c16="http://schemas.microsoft.com/office/drawing/2014/chart" uri="{C3380CC4-5D6E-409C-BE32-E72D297353CC}">
              <c16:uniqueId val="{00000008-D2C5-41A8-BE27-D2EC7C8BECD8}"/>
            </c:ext>
          </c:extLst>
        </c:ser>
        <c:ser>
          <c:idx val="9"/>
          <c:order val="9"/>
          <c:tx>
            <c:v>An_1</c:v>
          </c:tx>
          <c:spPr>
            <a:ln w="12700">
              <a:solidFill>
                <a:srgbClr val="993300"/>
              </a:solidFill>
              <a:prstDash val="solid"/>
            </a:ln>
          </c:spPr>
          <c:marker>
            <c:symbol val="diamond"/>
            <c:size val="6"/>
            <c:spPr>
              <a:solidFill>
                <a:srgbClr val="F4EE00"/>
              </a:solidFill>
              <a:ln>
                <a:solidFill>
                  <a:srgbClr val="993300"/>
                </a:solidFill>
                <a:prstDash val="solid"/>
              </a:ln>
            </c:spPr>
          </c:marker>
          <c:xVal>
            <c:numRef>
              <c:f>Graphs!$AJ$11:$AJ$134</c:f>
              <c:numCache>
                <c:formatCode>General</c:formatCode>
                <c:ptCount val="124"/>
              </c:numCache>
            </c:numRef>
          </c:xVal>
          <c:yVal>
            <c:numRef>
              <c:f>Graphs!$AK$11:$AK$134</c:f>
              <c:numCache>
                <c:formatCode>General</c:formatCode>
                <c:ptCount val="124"/>
              </c:numCache>
            </c:numRef>
          </c:yVal>
          <c:smooth val="1"/>
          <c:extLst>
            <c:ext xmlns:c16="http://schemas.microsoft.com/office/drawing/2014/chart" uri="{C3380CC4-5D6E-409C-BE32-E72D297353CC}">
              <c16:uniqueId val="{00000009-D2C5-41A8-BE27-D2EC7C8BECD8}"/>
            </c:ext>
          </c:extLst>
        </c:ser>
        <c:ser>
          <c:idx val="10"/>
          <c:order val="10"/>
          <c:tx>
            <c:v>An_Aj_0</c:v>
          </c:tx>
          <c:spPr>
            <a:ln w="25400">
              <a:solidFill>
                <a:srgbClr val="003366"/>
              </a:solidFill>
              <a:prstDash val="solid"/>
            </a:ln>
          </c:spPr>
          <c:marker>
            <c:symbol val="square"/>
            <c:size val="5"/>
            <c:spPr>
              <a:solidFill>
                <a:srgbClr val="CCFFCC"/>
              </a:solidFill>
              <a:ln>
                <a:solidFill>
                  <a:srgbClr val="993300"/>
                </a:solidFill>
                <a:prstDash val="solid"/>
              </a:ln>
            </c:spPr>
          </c:marker>
          <c:xVal>
            <c:numRef>
              <c:f>Graphs!$AL$11:$AL$134</c:f>
              <c:numCache>
                <c:formatCode>General</c:formatCode>
                <c:ptCount val="124"/>
              </c:numCache>
            </c:numRef>
          </c:xVal>
          <c:yVal>
            <c:numRef>
              <c:f>Graphs!$AM$11:$AM$134</c:f>
              <c:numCache>
                <c:formatCode>General</c:formatCode>
                <c:ptCount val="124"/>
              </c:numCache>
            </c:numRef>
          </c:yVal>
          <c:smooth val="1"/>
          <c:extLst>
            <c:ext xmlns:c16="http://schemas.microsoft.com/office/drawing/2014/chart" uri="{C3380CC4-5D6E-409C-BE32-E72D297353CC}">
              <c16:uniqueId val="{0000000A-D2C5-41A8-BE27-D2EC7C8BECD8}"/>
            </c:ext>
          </c:extLst>
        </c:ser>
        <c:ser>
          <c:idx val="11"/>
          <c:order val="11"/>
          <c:tx>
            <c:v>An_Aj_1</c:v>
          </c:tx>
          <c:spPr>
            <a:ln w="12700">
              <a:solidFill>
                <a:srgbClr val="993300"/>
              </a:solidFill>
              <a:prstDash val="solid"/>
            </a:ln>
          </c:spPr>
          <c:marker>
            <c:symbol val="triangle"/>
            <c:size val="5"/>
            <c:spPr>
              <a:solidFill>
                <a:srgbClr val="FFFF99"/>
              </a:solidFill>
              <a:ln>
                <a:solidFill>
                  <a:srgbClr val="993300"/>
                </a:solidFill>
                <a:prstDash val="solid"/>
              </a:ln>
            </c:spPr>
          </c:marker>
          <c:xVal>
            <c:numRef>
              <c:f>Graphs!$AN$11:$AN$134</c:f>
              <c:numCache>
                <c:formatCode>General</c:formatCode>
                <c:ptCount val="124"/>
              </c:numCache>
            </c:numRef>
          </c:xVal>
          <c:yVal>
            <c:numRef>
              <c:f>Graphs!$AO$11:$AO$134</c:f>
              <c:numCache>
                <c:formatCode>General</c:formatCode>
                <c:ptCount val="124"/>
              </c:numCache>
            </c:numRef>
          </c:yVal>
          <c:smooth val="1"/>
          <c:extLst>
            <c:ext xmlns:c16="http://schemas.microsoft.com/office/drawing/2014/chart" uri="{C3380CC4-5D6E-409C-BE32-E72D297353CC}">
              <c16:uniqueId val="{0000000B-D2C5-41A8-BE27-D2EC7C8BECD8}"/>
            </c:ext>
          </c:extLst>
        </c:ser>
        <c:dLbls>
          <c:showLegendKey val="0"/>
          <c:showVal val="0"/>
          <c:showCatName val="0"/>
          <c:showSerName val="0"/>
          <c:showPercent val="0"/>
          <c:showBubbleSize val="0"/>
        </c:dLbls>
        <c:axId val="387167200"/>
        <c:axId val="395543776"/>
      </c:scatterChart>
      <c:valAx>
        <c:axId val="387167200"/>
        <c:scaling>
          <c:orientation val="minMax"/>
          <c:max val="60"/>
        </c:scaling>
        <c:delete val="0"/>
        <c:axPos val="b"/>
        <c:majorGridlines/>
        <c:title>
          <c:tx>
            <c:rich>
              <a:bodyPr/>
              <a:lstStyle/>
              <a:p>
                <a:pPr>
                  <a:defRPr sz="1400" b="1" i="0" u="none" strike="noStrike" baseline="0">
                    <a:solidFill>
                      <a:srgbClr val="000000"/>
                    </a:solidFill>
                    <a:latin typeface="Arial"/>
                    <a:ea typeface="Arial"/>
                    <a:cs typeface="Arial"/>
                  </a:defRPr>
                </a:pPr>
                <a:r>
                  <a:rPr lang="pt-BR"/>
                  <a:t>Titrant Volume (mL)</a:t>
                </a:r>
              </a:p>
            </c:rich>
          </c:tx>
          <c:layout>
            <c:manualLayout>
              <c:xMode val="edge"/>
              <c:yMode val="edge"/>
              <c:x val="0.40473116602998876"/>
              <c:y val="0.94804356352008701"/>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Arial"/>
                <a:ea typeface="Arial"/>
                <a:cs typeface="Arial"/>
              </a:defRPr>
            </a:pPr>
            <a:endParaRPr lang="nl-NL"/>
          </a:p>
        </c:txPr>
        <c:crossAx val="395543776"/>
        <c:crosses val="autoZero"/>
        <c:crossBetween val="midCat"/>
      </c:valAx>
      <c:valAx>
        <c:axId val="395543776"/>
        <c:scaling>
          <c:orientation val="minMax"/>
        </c:scaling>
        <c:delete val="0"/>
        <c:axPos val="l"/>
        <c:majorGridlines>
          <c:spPr>
            <a:ln w="3175">
              <a:solidFill>
                <a:srgbClr val="000000"/>
              </a:solidFill>
              <a:prstDash val="solid"/>
            </a:ln>
          </c:spPr>
        </c:majorGridlines>
        <c:title>
          <c:tx>
            <c:rich>
              <a:bodyPr/>
              <a:lstStyle/>
              <a:p>
                <a:pPr>
                  <a:defRPr sz="1625" b="1" i="0" u="none" strike="noStrike" baseline="0">
                    <a:solidFill>
                      <a:srgbClr val="000000"/>
                    </a:solidFill>
                    <a:latin typeface="Arial"/>
                    <a:ea typeface="Arial"/>
                    <a:cs typeface="Arial"/>
                  </a:defRPr>
                </a:pPr>
                <a:r>
                  <a:rPr lang="pt-BR"/>
                  <a:t>pH</a:t>
                </a:r>
              </a:p>
            </c:rich>
          </c:tx>
          <c:layout>
            <c:manualLayout>
              <c:xMode val="edge"/>
              <c:yMode val="edge"/>
              <c:x val="4.9950884852265854E-3"/>
              <c:y val="0.4075403505596283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Arial"/>
                <a:ea typeface="Arial"/>
                <a:cs typeface="Arial"/>
              </a:defRPr>
            </a:pPr>
            <a:endParaRPr lang="nl-NL"/>
          </a:p>
        </c:txPr>
        <c:crossAx val="387167200"/>
        <c:crosses val="autoZero"/>
        <c:crossBetween val="midCat"/>
      </c:valAx>
      <c:spPr>
        <a:noFill/>
        <a:ln w="12700">
          <a:solidFill>
            <a:schemeClr val="tx1"/>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625" b="0" i="0" u="none" strike="noStrike" baseline="0">
          <a:solidFill>
            <a:srgbClr val="000000"/>
          </a:solidFill>
          <a:latin typeface="Arial"/>
          <a:ea typeface="Arial"/>
          <a:cs typeface="Arial"/>
        </a:defRPr>
      </a:pPr>
      <a:endParaRPr lang="nl-NL"/>
    </a:p>
  </c:txPr>
  <c:printSettings>
    <c:headerFooter alignWithMargins="0"/>
    <c:pageMargins b="0.98425196899999956" l="0.78740157499999996" r="0.78740157499999996" t="0.98425196899999956" header="0.49212598500001148" footer="0.49212598500001148"/>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pt-BR" sz="1200"/>
              <a:t>Distribution of HiB species</a:t>
            </a:r>
          </a:p>
        </c:rich>
      </c:tx>
      <c:layout>
        <c:manualLayout>
          <c:xMode val="edge"/>
          <c:yMode val="edge"/>
          <c:x val="0.10091743119265995"/>
          <c:y val="1.5306178330762532E-2"/>
        </c:manualLayout>
      </c:layout>
      <c:overlay val="0"/>
      <c:spPr>
        <a:noFill/>
        <a:ln w="25400">
          <a:noFill/>
        </a:ln>
      </c:spPr>
    </c:title>
    <c:autoTitleDeleted val="0"/>
    <c:plotArea>
      <c:layout>
        <c:manualLayout>
          <c:layoutTarget val="inner"/>
          <c:xMode val="edge"/>
          <c:yMode val="edge"/>
          <c:x val="0.10536082054632871"/>
          <c:y val="6.7500082397561514E-2"/>
          <c:w val="0.86270886220066589"/>
          <c:h val="0.79000096435664557"/>
        </c:manualLayout>
      </c:layout>
      <c:scatterChart>
        <c:scatterStyle val="smoothMarker"/>
        <c:varyColors val="0"/>
        <c:ser>
          <c:idx val="1"/>
          <c:order val="0"/>
          <c:tx>
            <c:v>alfa 0</c:v>
          </c:tx>
          <c:spPr>
            <a:ln w="25400">
              <a:solidFill>
                <a:srgbClr val="FF0000"/>
              </a:solidFill>
              <a:prstDash val="solid"/>
            </a:ln>
          </c:spPr>
          <c:marker>
            <c:symbol val="none"/>
          </c:marker>
          <c:xVal>
            <c:numRef>
              <c:f>Distribution!$O$12:$O$114</c:f>
              <c:numCache>
                <c:formatCode>0.000</c:formatCode>
                <c:ptCount val="103"/>
                <c:pt idx="0">
                  <c:v>0</c:v>
                </c:pt>
                <c:pt idx="1">
                  <c:v>0.2</c:v>
                </c:pt>
                <c:pt idx="2">
                  <c:v>0.4</c:v>
                </c:pt>
                <c:pt idx="3">
                  <c:v>0.60000000000000009</c:v>
                </c:pt>
                <c:pt idx="4">
                  <c:v>0.8</c:v>
                </c:pt>
                <c:pt idx="5">
                  <c:v>1</c:v>
                </c:pt>
                <c:pt idx="6">
                  <c:v>1.2</c:v>
                </c:pt>
                <c:pt idx="7">
                  <c:v>1.4</c:v>
                </c:pt>
                <c:pt idx="8">
                  <c:v>1.5999999999999999</c:v>
                </c:pt>
                <c:pt idx="9">
                  <c:v>1.7999999999999998</c:v>
                </c:pt>
                <c:pt idx="10">
                  <c:v>1.9999999999999998</c:v>
                </c:pt>
                <c:pt idx="11">
                  <c:v>2.1999999999999997</c:v>
                </c:pt>
                <c:pt idx="12">
                  <c:v>2.4</c:v>
                </c:pt>
                <c:pt idx="13">
                  <c:v>2.6</c:v>
                </c:pt>
                <c:pt idx="14">
                  <c:v>2.8000000000000003</c:v>
                </c:pt>
                <c:pt idx="15">
                  <c:v>3.0000000000000004</c:v>
                </c:pt>
                <c:pt idx="16">
                  <c:v>3.2000000000000006</c:v>
                </c:pt>
                <c:pt idx="17">
                  <c:v>3.4000000000000008</c:v>
                </c:pt>
                <c:pt idx="18">
                  <c:v>3.600000000000001</c:v>
                </c:pt>
                <c:pt idx="19">
                  <c:v>3.8000000000000012</c:v>
                </c:pt>
                <c:pt idx="20">
                  <c:v>4.0000000000000009</c:v>
                </c:pt>
                <c:pt idx="21">
                  <c:v>4.2000000000000011</c:v>
                </c:pt>
                <c:pt idx="22">
                  <c:v>4.4000000000000012</c:v>
                </c:pt>
                <c:pt idx="23">
                  <c:v>4.6000000000000014</c:v>
                </c:pt>
                <c:pt idx="24">
                  <c:v>4.8000000000000016</c:v>
                </c:pt>
                <c:pt idx="25">
                  <c:v>5.0000000000000018</c:v>
                </c:pt>
                <c:pt idx="26">
                  <c:v>5.200000000000002</c:v>
                </c:pt>
                <c:pt idx="27">
                  <c:v>5.4000000000000021</c:v>
                </c:pt>
                <c:pt idx="28">
                  <c:v>5.6000000000000023</c:v>
                </c:pt>
                <c:pt idx="29">
                  <c:v>5.8000000000000025</c:v>
                </c:pt>
                <c:pt idx="30">
                  <c:v>6.0000000000000027</c:v>
                </c:pt>
                <c:pt idx="31">
                  <c:v>6.2000000000000028</c:v>
                </c:pt>
                <c:pt idx="32">
                  <c:v>6.400000000000003</c:v>
                </c:pt>
                <c:pt idx="33">
                  <c:v>6.6000000000000032</c:v>
                </c:pt>
                <c:pt idx="34">
                  <c:v>6.8000000000000034</c:v>
                </c:pt>
                <c:pt idx="35">
                  <c:v>7.0000000000000036</c:v>
                </c:pt>
                <c:pt idx="36">
                  <c:v>7.2000000000000037</c:v>
                </c:pt>
                <c:pt idx="37">
                  <c:v>7.4000000000000039</c:v>
                </c:pt>
                <c:pt idx="38">
                  <c:v>7.6000000000000041</c:v>
                </c:pt>
                <c:pt idx="39">
                  <c:v>7.8000000000000043</c:v>
                </c:pt>
                <c:pt idx="40">
                  <c:v>8.0000000000000036</c:v>
                </c:pt>
                <c:pt idx="41">
                  <c:v>8.2000000000000028</c:v>
                </c:pt>
                <c:pt idx="42">
                  <c:v>8.4000000000000021</c:v>
                </c:pt>
                <c:pt idx="43">
                  <c:v>8.6000000000000014</c:v>
                </c:pt>
                <c:pt idx="44">
                  <c:v>8.8000000000000007</c:v>
                </c:pt>
                <c:pt idx="45">
                  <c:v>9</c:v>
                </c:pt>
                <c:pt idx="46">
                  <c:v>9.1999999999999993</c:v>
                </c:pt>
                <c:pt idx="47">
                  <c:v>9.3999999999999986</c:v>
                </c:pt>
                <c:pt idx="48">
                  <c:v>9.5999999999999979</c:v>
                </c:pt>
                <c:pt idx="49">
                  <c:v>9.7999999999999972</c:v>
                </c:pt>
                <c:pt idx="50">
                  <c:v>9.9999999999999964</c:v>
                </c:pt>
                <c:pt idx="51">
                  <c:v>10.199999999999996</c:v>
                </c:pt>
                <c:pt idx="52">
                  <c:v>10.399999999999995</c:v>
                </c:pt>
                <c:pt idx="53">
                  <c:v>10.599999999999994</c:v>
                </c:pt>
                <c:pt idx="54">
                  <c:v>10.799999999999994</c:v>
                </c:pt>
                <c:pt idx="55">
                  <c:v>10.999999999999993</c:v>
                </c:pt>
                <c:pt idx="56">
                  <c:v>11.199999999999992</c:v>
                </c:pt>
                <c:pt idx="57">
                  <c:v>11.399999999999991</c:v>
                </c:pt>
                <c:pt idx="58">
                  <c:v>11.599999999999991</c:v>
                </c:pt>
                <c:pt idx="59">
                  <c:v>11.79999999999999</c:v>
                </c:pt>
                <c:pt idx="60">
                  <c:v>11.999999999999989</c:v>
                </c:pt>
                <c:pt idx="61">
                  <c:v>12.199999999999989</c:v>
                </c:pt>
                <c:pt idx="62">
                  <c:v>12.399999999999988</c:v>
                </c:pt>
                <c:pt idx="63">
                  <c:v>12.599999999999987</c:v>
                </c:pt>
                <c:pt idx="64">
                  <c:v>12.799999999999986</c:v>
                </c:pt>
                <c:pt idx="65">
                  <c:v>12.999999999999986</c:v>
                </c:pt>
                <c:pt idx="66">
                  <c:v>13.199999999999985</c:v>
                </c:pt>
                <c:pt idx="67">
                  <c:v>13.399999999999984</c:v>
                </c:pt>
                <c:pt idx="68">
                  <c:v>13.599999999999984</c:v>
                </c:pt>
                <c:pt idx="69">
                  <c:v>13.799999999999983</c:v>
                </c:pt>
                <c:pt idx="70">
                  <c:v>13.999999999999982</c:v>
                </c:pt>
              </c:numCache>
            </c:numRef>
          </c:xVal>
          <c:yVal>
            <c:numRef>
              <c:f>Distribution!$Q$12:$Q$114</c:f>
              <c:numCache>
                <c:formatCode>0.000</c:formatCode>
                <c:ptCount val="103"/>
                <c:pt idx="0">
                  <c:v>3.2187643142029429E-21</c:v>
                </c:pt>
                <c:pt idx="1">
                  <c:v>1.2742605092770875E-20</c:v>
                </c:pt>
                <c:pt idx="2">
                  <c:v>5.0284377607761668E-20</c:v>
                </c:pt>
                <c:pt idx="3">
                  <c:v>1.9744166684804369E-19</c:v>
                </c:pt>
                <c:pt idx="4">
                  <c:v>7.6931608759165904E-19</c:v>
                </c:pt>
                <c:pt idx="5">
                  <c:v>2.9628554066503605E-18</c:v>
                </c:pt>
                <c:pt idx="6">
                  <c:v>1.1215827555141677E-17</c:v>
                </c:pt>
                <c:pt idx="7">
                  <c:v>4.1425347762669581E-17</c:v>
                </c:pt>
                <c:pt idx="8">
                  <c:v>1.479747818988091E-16</c:v>
                </c:pt>
                <c:pt idx="9">
                  <c:v>5.0661069302882487E-16</c:v>
                </c:pt>
                <c:pt idx="10">
                  <c:v>1.6505552712822386E-15</c:v>
                </c:pt>
                <c:pt idx="11">
                  <c:v>5.1022836530815549E-15</c:v>
                </c:pt>
                <c:pt idx="12">
                  <c:v>1.4999098746496071E-14</c:v>
                </c:pt>
                <c:pt idx="13">
                  <c:v>4.221156976112795E-14</c:v>
                </c:pt>
                <c:pt idx="14">
                  <c:v>1.1474416422634397E-13</c:v>
                </c:pt>
                <c:pt idx="15">
                  <c:v>3.0397665827208917E-13</c:v>
                </c:pt>
                <c:pt idx="16">
                  <c:v>7.907836902459769E-13</c:v>
                </c:pt>
                <c:pt idx="17">
                  <c:v>2.0319072181472707E-12</c:v>
                </c:pt>
                <c:pt idx="18">
                  <c:v>5.1781354298277304E-12</c:v>
                </c:pt>
                <c:pt idx="19">
                  <c:v>1.3124434334030952E-11</c:v>
                </c:pt>
                <c:pt idx="20">
                  <c:v>3.3144507831273126E-11</c:v>
                </c:pt>
                <c:pt idx="21">
                  <c:v>8.3492290936471959E-11</c:v>
                </c:pt>
                <c:pt idx="22">
                  <c:v>2.0991462130368041E-10</c:v>
                </c:pt>
                <c:pt idx="23">
                  <c:v>5.2684603733069823E-10</c:v>
                </c:pt>
                <c:pt idx="24">
                  <c:v>1.3197573329844578E-9</c:v>
                </c:pt>
                <c:pt idx="25">
                  <c:v>3.2978083794106951E-9</c:v>
                </c:pt>
                <c:pt idx="26">
                  <c:v>8.2112660208903606E-9</c:v>
                </c:pt>
                <c:pt idx="27">
                  <c:v>2.0336652115339193E-8</c:v>
                </c:pt>
                <c:pt idx="28">
                  <c:v>4.9962400410346974E-8</c:v>
                </c:pt>
                <c:pt idx="29">
                  <c:v>1.2126594080327146E-7</c:v>
                </c:pt>
                <c:pt idx="30">
                  <c:v>2.8912320242957626E-7</c:v>
                </c:pt>
                <c:pt idx="31">
                  <c:v>6.7206942484213787E-7</c:v>
                </c:pt>
                <c:pt idx="32">
                  <c:v>1.5096373964799736E-6</c:v>
                </c:pt>
                <c:pt idx="33">
                  <c:v>3.2476611840598506E-6</c:v>
                </c:pt>
                <c:pt idx="34">
                  <c:v>6.6456435715217657E-6</c:v>
                </c:pt>
                <c:pt idx="35">
                  <c:v>1.2902558878774451E-5</c:v>
                </c:pt>
                <c:pt idx="36">
                  <c:v>2.3832548745316712E-5</c:v>
                </c:pt>
                <c:pt idx="37">
                  <c:v>4.2174399443621063E-5</c:v>
                </c:pt>
                <c:pt idx="38">
                  <c:v>7.2146359476865304E-5</c:v>
                </c:pt>
                <c:pt idx="39">
                  <c:v>1.2036822074125432E-4</c:v>
                </c:pt>
                <c:pt idx="40">
                  <c:v>1.9732145293333274E-4</c:v>
                </c:pt>
                <c:pt idx="41">
                  <c:v>3.19636391314406E-4</c:v>
                </c:pt>
                <c:pt idx="42">
                  <c:v>5.1368589803868188E-4</c:v>
                </c:pt>
                <c:pt idx="43">
                  <c:v>8.2124737248838583E-4</c:v>
                </c:pt>
                <c:pt idx="44">
                  <c:v>1.3084209128806058E-3</c:v>
                </c:pt>
                <c:pt idx="45">
                  <c:v>2.0796365076225982E-3</c:v>
                </c:pt>
                <c:pt idx="46">
                  <c:v>3.2995385226113057E-3</c:v>
                </c:pt>
                <c:pt idx="47">
                  <c:v>5.2268835608290185E-3</c:v>
                </c:pt>
                <c:pt idx="48">
                  <c:v>8.266315490606151E-3</c:v>
                </c:pt>
                <c:pt idx="49">
                  <c:v>1.3045639436968626E-2</c:v>
                </c:pt>
                <c:pt idx="50">
                  <c:v>2.0526721209308475E-2</c:v>
                </c:pt>
                <c:pt idx="51">
                  <c:v>3.2153885371075074E-2</c:v>
                </c:pt>
                <c:pt idx="52">
                  <c:v>5.002668886497634E-2</c:v>
                </c:pt>
                <c:pt idx="53">
                  <c:v>7.7039483557025876E-2</c:v>
                </c:pt>
                <c:pt idx="54">
                  <c:v>0.11684077232384454</c:v>
                </c:pt>
                <c:pt idx="55">
                  <c:v>0.17333980866153983</c:v>
                </c:pt>
                <c:pt idx="56">
                  <c:v>0.24944027013514425</c:v>
                </c:pt>
                <c:pt idx="57">
                  <c:v>0.34500511809642415</c:v>
                </c:pt>
                <c:pt idx="58">
                  <c:v>0.45498671110187838</c:v>
                </c:pt>
                <c:pt idx="59">
                  <c:v>0.56954152877809172</c:v>
                </c:pt>
                <c:pt idx="60">
                  <c:v>0.67710551607437075</c:v>
                </c:pt>
                <c:pt idx="61">
                  <c:v>0.76870633731421134</c:v>
                </c:pt>
                <c:pt idx="62">
                  <c:v>0.84044453088518101</c:v>
                </c:pt>
                <c:pt idx="63">
                  <c:v>0.89302861564124014</c:v>
                </c:pt>
                <c:pt idx="64">
                  <c:v>0.9297316727409235</c:v>
                </c:pt>
                <c:pt idx="65">
                  <c:v>0.95448336034832182</c:v>
                </c:pt>
                <c:pt idx="66">
                  <c:v>0.97079029596257693</c:v>
                </c:pt>
                <c:pt idx="67">
                  <c:v>0.98136909109675718</c:v>
                </c:pt>
                <c:pt idx="68">
                  <c:v>0.98816330789884455</c:v>
                </c:pt>
                <c:pt idx="69">
                  <c:v>0.99249878547656156</c:v>
                </c:pt>
                <c:pt idx="70">
                  <c:v>0.99525391534128393</c:v>
                </c:pt>
              </c:numCache>
            </c:numRef>
          </c:yVal>
          <c:smooth val="1"/>
          <c:extLst>
            <c:ext xmlns:c16="http://schemas.microsoft.com/office/drawing/2014/chart" uri="{C3380CC4-5D6E-409C-BE32-E72D297353CC}">
              <c16:uniqueId val="{00000000-28B8-458C-98DA-8F43FC221239}"/>
            </c:ext>
          </c:extLst>
        </c:ser>
        <c:ser>
          <c:idx val="0"/>
          <c:order val="1"/>
          <c:tx>
            <c:v>alfa 1</c:v>
          </c:tx>
          <c:spPr>
            <a:ln w="25400">
              <a:solidFill>
                <a:srgbClr val="000000"/>
              </a:solidFill>
              <a:prstDash val="solid"/>
            </a:ln>
          </c:spPr>
          <c:marker>
            <c:symbol val="square"/>
            <c:size val="6"/>
            <c:spPr>
              <a:noFill/>
              <a:ln w="9525">
                <a:noFill/>
              </a:ln>
            </c:spPr>
          </c:marker>
          <c:xVal>
            <c:numRef>
              <c:f>Distribution!$O$12:$O$114</c:f>
              <c:numCache>
                <c:formatCode>0.000</c:formatCode>
                <c:ptCount val="103"/>
                <c:pt idx="0">
                  <c:v>0</c:v>
                </c:pt>
                <c:pt idx="1">
                  <c:v>0.2</c:v>
                </c:pt>
                <c:pt idx="2">
                  <c:v>0.4</c:v>
                </c:pt>
                <c:pt idx="3">
                  <c:v>0.60000000000000009</c:v>
                </c:pt>
                <c:pt idx="4">
                  <c:v>0.8</c:v>
                </c:pt>
                <c:pt idx="5">
                  <c:v>1</c:v>
                </c:pt>
                <c:pt idx="6">
                  <c:v>1.2</c:v>
                </c:pt>
                <c:pt idx="7">
                  <c:v>1.4</c:v>
                </c:pt>
                <c:pt idx="8">
                  <c:v>1.5999999999999999</c:v>
                </c:pt>
                <c:pt idx="9">
                  <c:v>1.7999999999999998</c:v>
                </c:pt>
                <c:pt idx="10">
                  <c:v>1.9999999999999998</c:v>
                </c:pt>
                <c:pt idx="11">
                  <c:v>2.1999999999999997</c:v>
                </c:pt>
                <c:pt idx="12">
                  <c:v>2.4</c:v>
                </c:pt>
                <c:pt idx="13">
                  <c:v>2.6</c:v>
                </c:pt>
                <c:pt idx="14">
                  <c:v>2.8000000000000003</c:v>
                </c:pt>
                <c:pt idx="15">
                  <c:v>3.0000000000000004</c:v>
                </c:pt>
                <c:pt idx="16">
                  <c:v>3.2000000000000006</c:v>
                </c:pt>
                <c:pt idx="17">
                  <c:v>3.4000000000000008</c:v>
                </c:pt>
                <c:pt idx="18">
                  <c:v>3.600000000000001</c:v>
                </c:pt>
                <c:pt idx="19">
                  <c:v>3.8000000000000012</c:v>
                </c:pt>
                <c:pt idx="20">
                  <c:v>4.0000000000000009</c:v>
                </c:pt>
                <c:pt idx="21">
                  <c:v>4.2000000000000011</c:v>
                </c:pt>
                <c:pt idx="22">
                  <c:v>4.4000000000000012</c:v>
                </c:pt>
                <c:pt idx="23">
                  <c:v>4.6000000000000014</c:v>
                </c:pt>
                <c:pt idx="24">
                  <c:v>4.8000000000000016</c:v>
                </c:pt>
                <c:pt idx="25">
                  <c:v>5.0000000000000018</c:v>
                </c:pt>
                <c:pt idx="26">
                  <c:v>5.200000000000002</c:v>
                </c:pt>
                <c:pt idx="27">
                  <c:v>5.4000000000000021</c:v>
                </c:pt>
                <c:pt idx="28">
                  <c:v>5.6000000000000023</c:v>
                </c:pt>
                <c:pt idx="29">
                  <c:v>5.8000000000000025</c:v>
                </c:pt>
                <c:pt idx="30">
                  <c:v>6.0000000000000027</c:v>
                </c:pt>
                <c:pt idx="31">
                  <c:v>6.2000000000000028</c:v>
                </c:pt>
                <c:pt idx="32">
                  <c:v>6.400000000000003</c:v>
                </c:pt>
                <c:pt idx="33">
                  <c:v>6.6000000000000032</c:v>
                </c:pt>
                <c:pt idx="34">
                  <c:v>6.8000000000000034</c:v>
                </c:pt>
                <c:pt idx="35">
                  <c:v>7.0000000000000036</c:v>
                </c:pt>
                <c:pt idx="36">
                  <c:v>7.2000000000000037</c:v>
                </c:pt>
                <c:pt idx="37">
                  <c:v>7.4000000000000039</c:v>
                </c:pt>
                <c:pt idx="38">
                  <c:v>7.6000000000000041</c:v>
                </c:pt>
                <c:pt idx="39">
                  <c:v>7.8000000000000043</c:v>
                </c:pt>
                <c:pt idx="40">
                  <c:v>8.0000000000000036</c:v>
                </c:pt>
                <c:pt idx="41">
                  <c:v>8.2000000000000028</c:v>
                </c:pt>
                <c:pt idx="42">
                  <c:v>8.4000000000000021</c:v>
                </c:pt>
                <c:pt idx="43">
                  <c:v>8.6000000000000014</c:v>
                </c:pt>
                <c:pt idx="44">
                  <c:v>8.8000000000000007</c:v>
                </c:pt>
                <c:pt idx="45">
                  <c:v>9</c:v>
                </c:pt>
                <c:pt idx="46">
                  <c:v>9.1999999999999993</c:v>
                </c:pt>
                <c:pt idx="47">
                  <c:v>9.3999999999999986</c:v>
                </c:pt>
                <c:pt idx="48">
                  <c:v>9.5999999999999979</c:v>
                </c:pt>
                <c:pt idx="49">
                  <c:v>9.7999999999999972</c:v>
                </c:pt>
                <c:pt idx="50">
                  <c:v>9.9999999999999964</c:v>
                </c:pt>
                <c:pt idx="51">
                  <c:v>10.199999999999996</c:v>
                </c:pt>
                <c:pt idx="52">
                  <c:v>10.399999999999995</c:v>
                </c:pt>
                <c:pt idx="53">
                  <c:v>10.599999999999994</c:v>
                </c:pt>
                <c:pt idx="54">
                  <c:v>10.799999999999994</c:v>
                </c:pt>
                <c:pt idx="55">
                  <c:v>10.999999999999993</c:v>
                </c:pt>
                <c:pt idx="56">
                  <c:v>11.199999999999992</c:v>
                </c:pt>
                <c:pt idx="57">
                  <c:v>11.399999999999991</c:v>
                </c:pt>
                <c:pt idx="58">
                  <c:v>11.599999999999991</c:v>
                </c:pt>
                <c:pt idx="59">
                  <c:v>11.79999999999999</c:v>
                </c:pt>
                <c:pt idx="60">
                  <c:v>11.999999999999989</c:v>
                </c:pt>
                <c:pt idx="61">
                  <c:v>12.199999999999989</c:v>
                </c:pt>
                <c:pt idx="62">
                  <c:v>12.399999999999988</c:v>
                </c:pt>
                <c:pt idx="63">
                  <c:v>12.599999999999987</c:v>
                </c:pt>
                <c:pt idx="64">
                  <c:v>12.799999999999986</c:v>
                </c:pt>
                <c:pt idx="65">
                  <c:v>12.999999999999986</c:v>
                </c:pt>
                <c:pt idx="66">
                  <c:v>13.199999999999985</c:v>
                </c:pt>
                <c:pt idx="67">
                  <c:v>13.399999999999984</c:v>
                </c:pt>
                <c:pt idx="68">
                  <c:v>13.599999999999984</c:v>
                </c:pt>
                <c:pt idx="69">
                  <c:v>13.799999999999983</c:v>
                </c:pt>
                <c:pt idx="70">
                  <c:v>13.999999999999982</c:v>
                </c:pt>
              </c:numCache>
            </c:numRef>
          </c:xVal>
          <c:yVal>
            <c:numRef>
              <c:f>Distribution!$R$12:$R$114</c:f>
              <c:numCache>
                <c:formatCode>0.000</c:formatCode>
                <c:ptCount val="103"/>
                <c:pt idx="0">
                  <c:v>1.534937641645464E-9</c:v>
                </c:pt>
                <c:pt idx="1">
                  <c:v>3.8340677501590593E-9</c:v>
                </c:pt>
                <c:pt idx="2">
                  <c:v>9.546290318054512E-9</c:v>
                </c:pt>
                <c:pt idx="3">
                  <c:v>2.3650502226715149E-8</c:v>
                </c:pt>
                <c:pt idx="4">
                  <c:v>5.8144196466120051E-8</c:v>
                </c:pt>
                <c:pt idx="5">
                  <c:v>1.4129019233725969E-7</c:v>
                </c:pt>
                <c:pt idx="6">
                  <c:v>3.3746822103833419E-7</c:v>
                </c:pt>
                <c:pt idx="7">
                  <c:v>7.8644385211158054E-7</c:v>
                </c:pt>
                <c:pt idx="8">
                  <c:v>1.772512339803593E-6</c:v>
                </c:pt>
                <c:pt idx="9">
                  <c:v>3.8289166367908159E-6</c:v>
                </c:pt>
                <c:pt idx="10">
                  <c:v>7.8710311417591811E-6</c:v>
                </c:pt>
                <c:pt idx="11">
                  <c:v>1.5352042273947531E-5</c:v>
                </c:pt>
                <c:pt idx="12">
                  <c:v>2.8475196065888572E-5</c:v>
                </c:pt>
                <c:pt idx="13">
                  <c:v>5.0563026567084006E-5</c:v>
                </c:pt>
                <c:pt idx="14">
                  <c:v>8.6722575229162792E-5</c:v>
                </c:pt>
                <c:pt idx="15">
                  <c:v>1.4495786874006304E-4</c:v>
                </c:pt>
                <c:pt idx="16">
                  <c:v>2.3793551020771512E-4</c:v>
                </c:pt>
                <c:pt idx="17">
                  <c:v>3.857495533720253E-4</c:v>
                </c:pt>
                <c:pt idx="18">
                  <c:v>6.202616978898672E-4</c:v>
                </c:pt>
                <c:pt idx="19">
                  <c:v>9.9193257587202807E-4</c:v>
                </c:pt>
                <c:pt idx="20">
                  <c:v>1.5805678116768828E-3</c:v>
                </c:pt>
                <c:pt idx="21">
                  <c:v>2.5121637038570035E-3</c:v>
                </c:pt>
                <c:pt idx="22">
                  <c:v>3.9851461076055644E-3</c:v>
                </c:pt>
                <c:pt idx="23">
                  <c:v>6.3108124936036769E-3</c:v>
                </c:pt>
                <c:pt idx="24">
                  <c:v>9.9746035334933817E-3</c:v>
                </c:pt>
                <c:pt idx="25">
                  <c:v>1.5726315201629662E-2</c:v>
                </c:pt>
                <c:pt idx="26">
                  <c:v>2.4706525870862278E-2</c:v>
                </c:pt>
                <c:pt idx="27">
                  <c:v>3.8608330146724913E-2</c:v>
                </c:pt>
                <c:pt idx="28">
                  <c:v>5.9847340281337709E-2</c:v>
                </c:pt>
                <c:pt idx="29">
                  <c:v>9.1651673485564397E-2</c:v>
                </c:pt>
                <c:pt idx="30">
                  <c:v>0.13787467585744287</c:v>
                </c:pt>
                <c:pt idx="31">
                  <c:v>0.20221608445803738</c:v>
                </c:pt>
                <c:pt idx="32">
                  <c:v>0.28659869222613604</c:v>
                </c:pt>
                <c:pt idx="33">
                  <c:v>0.38902030808085397</c:v>
                </c:pt>
                <c:pt idx="34">
                  <c:v>0.50227157822216806</c:v>
                </c:pt>
                <c:pt idx="35">
                  <c:v>0.61528653120667598</c:v>
                </c:pt>
                <c:pt idx="36">
                  <c:v>0.71708732934328256</c:v>
                </c:pt>
                <c:pt idx="37">
                  <c:v>0.80066430217932116</c:v>
                </c:pt>
                <c:pt idx="38">
                  <c:v>0.8642034190129636</c:v>
                </c:pt>
                <c:pt idx="39">
                  <c:v>0.9097318498780097</c:v>
                </c:pt>
                <c:pt idx="40">
                  <c:v>0.94097018621428463</c:v>
                </c:pt>
                <c:pt idx="41">
                  <c:v>0.96174021779191099</c:v>
                </c:pt>
                <c:pt idx="42">
                  <c:v>0.97521237176670439</c:v>
                </c:pt>
                <c:pt idx="43">
                  <c:v>0.98372917539583271</c:v>
                </c:pt>
                <c:pt idx="44">
                  <c:v>0.98889239216443514</c:v>
                </c:pt>
                <c:pt idx="45">
                  <c:v>0.99171981695108924</c:v>
                </c:pt>
                <c:pt idx="46">
                  <c:v>0.99278398316906624</c:v>
                </c:pt>
                <c:pt idx="47">
                  <c:v>0.99230318250252325</c:v>
                </c:pt>
                <c:pt idx="48">
                  <c:v>0.99017859825796339</c:v>
                </c:pt>
                <c:pt idx="49">
                  <c:v>0.98597733062341386</c:v>
                </c:pt>
                <c:pt idx="50">
                  <c:v>0.97886126376830496</c:v>
                </c:pt>
                <c:pt idx="51">
                  <c:v>0.96746445523522129</c:v>
                </c:pt>
                <c:pt idx="52">
                  <c:v>0.9497369128863179</c:v>
                </c:pt>
                <c:pt idx="53">
                  <c:v>0.92281558725531132</c:v>
                </c:pt>
                <c:pt idx="54">
                  <c:v>0.88307172186120497</c:v>
                </c:pt>
                <c:pt idx="55">
                  <c:v>0.82660850916047801</c:v>
                </c:pt>
                <c:pt idx="56">
                  <c:v>0.75053012186550883</c:v>
                </c:pt>
                <c:pt idx="57">
                  <c:v>0.65497857888467514</c:v>
                </c:pt>
                <c:pt idx="58">
                  <c:v>0.54500472953982382</c:v>
                </c:pt>
                <c:pt idx="59">
                  <c:v>0.4304542057420967</c:v>
                </c:pt>
                <c:pt idx="60">
                  <c:v>0.32289246509983094</c:v>
                </c:pt>
                <c:pt idx="61">
                  <c:v>0.23129275024864665</c:v>
                </c:pt>
                <c:pt idx="62">
                  <c:v>0.15955507196757829</c:v>
                </c:pt>
                <c:pt idx="63">
                  <c:v>0.10697121635930612</c:v>
                </c:pt>
                <c:pt idx="64">
                  <c:v>7.0268257628479186E-2</c:v>
                </c:pt>
                <c:pt idx="65">
                  <c:v>4.5516611193253273E-2</c:v>
                </c:pt>
                <c:pt idx="66">
                  <c:v>2.9209692514360487E-2</c:v>
                </c:pt>
                <c:pt idx="67">
                  <c:v>1.863090426583941E-2</c:v>
                </c:pt>
                <c:pt idx="68">
                  <c:v>1.1836690242190523E-2</c:v>
                </c:pt>
                <c:pt idx="69">
                  <c:v>7.5012137801240848E-3</c:v>
                </c:pt>
                <c:pt idx="70">
                  <c:v>4.7460843619757768E-3</c:v>
                </c:pt>
              </c:numCache>
            </c:numRef>
          </c:yVal>
          <c:smooth val="1"/>
          <c:extLst>
            <c:ext xmlns:c16="http://schemas.microsoft.com/office/drawing/2014/chart" uri="{C3380CC4-5D6E-409C-BE32-E72D297353CC}">
              <c16:uniqueId val="{00000001-28B8-458C-98DA-8F43FC221239}"/>
            </c:ext>
          </c:extLst>
        </c:ser>
        <c:ser>
          <c:idx val="2"/>
          <c:order val="2"/>
          <c:tx>
            <c:v>alfa 2</c:v>
          </c:tx>
          <c:spPr>
            <a:ln w="25400">
              <a:solidFill>
                <a:srgbClr val="008000"/>
              </a:solidFill>
              <a:prstDash val="solid"/>
            </a:ln>
          </c:spPr>
          <c:marker>
            <c:symbol val="none"/>
          </c:marker>
          <c:xVal>
            <c:numRef>
              <c:f>Distribution!$O$12:$O$114</c:f>
              <c:numCache>
                <c:formatCode>0.000</c:formatCode>
                <c:ptCount val="103"/>
                <c:pt idx="0">
                  <c:v>0</c:v>
                </c:pt>
                <c:pt idx="1">
                  <c:v>0.2</c:v>
                </c:pt>
                <c:pt idx="2">
                  <c:v>0.4</c:v>
                </c:pt>
                <c:pt idx="3">
                  <c:v>0.60000000000000009</c:v>
                </c:pt>
                <c:pt idx="4">
                  <c:v>0.8</c:v>
                </c:pt>
                <c:pt idx="5">
                  <c:v>1</c:v>
                </c:pt>
                <c:pt idx="6">
                  <c:v>1.2</c:v>
                </c:pt>
                <c:pt idx="7">
                  <c:v>1.4</c:v>
                </c:pt>
                <c:pt idx="8">
                  <c:v>1.5999999999999999</c:v>
                </c:pt>
                <c:pt idx="9">
                  <c:v>1.7999999999999998</c:v>
                </c:pt>
                <c:pt idx="10">
                  <c:v>1.9999999999999998</c:v>
                </c:pt>
                <c:pt idx="11">
                  <c:v>2.1999999999999997</c:v>
                </c:pt>
                <c:pt idx="12">
                  <c:v>2.4</c:v>
                </c:pt>
                <c:pt idx="13">
                  <c:v>2.6</c:v>
                </c:pt>
                <c:pt idx="14">
                  <c:v>2.8000000000000003</c:v>
                </c:pt>
                <c:pt idx="15">
                  <c:v>3.0000000000000004</c:v>
                </c:pt>
                <c:pt idx="16">
                  <c:v>3.2000000000000006</c:v>
                </c:pt>
                <c:pt idx="17">
                  <c:v>3.4000000000000008</c:v>
                </c:pt>
                <c:pt idx="18">
                  <c:v>3.600000000000001</c:v>
                </c:pt>
                <c:pt idx="19">
                  <c:v>3.8000000000000012</c:v>
                </c:pt>
                <c:pt idx="20">
                  <c:v>4.0000000000000009</c:v>
                </c:pt>
                <c:pt idx="21">
                  <c:v>4.2000000000000011</c:v>
                </c:pt>
                <c:pt idx="22">
                  <c:v>4.4000000000000012</c:v>
                </c:pt>
                <c:pt idx="23">
                  <c:v>4.6000000000000014</c:v>
                </c:pt>
                <c:pt idx="24">
                  <c:v>4.8000000000000016</c:v>
                </c:pt>
                <c:pt idx="25">
                  <c:v>5.0000000000000018</c:v>
                </c:pt>
                <c:pt idx="26">
                  <c:v>5.200000000000002</c:v>
                </c:pt>
                <c:pt idx="27">
                  <c:v>5.4000000000000021</c:v>
                </c:pt>
                <c:pt idx="28">
                  <c:v>5.6000000000000023</c:v>
                </c:pt>
                <c:pt idx="29">
                  <c:v>5.8000000000000025</c:v>
                </c:pt>
                <c:pt idx="30">
                  <c:v>6.0000000000000027</c:v>
                </c:pt>
                <c:pt idx="31">
                  <c:v>6.2000000000000028</c:v>
                </c:pt>
                <c:pt idx="32">
                  <c:v>6.400000000000003</c:v>
                </c:pt>
                <c:pt idx="33">
                  <c:v>6.6000000000000032</c:v>
                </c:pt>
                <c:pt idx="34">
                  <c:v>6.8000000000000034</c:v>
                </c:pt>
                <c:pt idx="35">
                  <c:v>7.0000000000000036</c:v>
                </c:pt>
                <c:pt idx="36">
                  <c:v>7.2000000000000037</c:v>
                </c:pt>
                <c:pt idx="37">
                  <c:v>7.4000000000000039</c:v>
                </c:pt>
                <c:pt idx="38">
                  <c:v>7.6000000000000041</c:v>
                </c:pt>
                <c:pt idx="39">
                  <c:v>7.8000000000000043</c:v>
                </c:pt>
                <c:pt idx="40">
                  <c:v>8.0000000000000036</c:v>
                </c:pt>
                <c:pt idx="41">
                  <c:v>8.2000000000000028</c:v>
                </c:pt>
                <c:pt idx="42">
                  <c:v>8.4000000000000021</c:v>
                </c:pt>
                <c:pt idx="43">
                  <c:v>8.6000000000000014</c:v>
                </c:pt>
                <c:pt idx="44">
                  <c:v>8.8000000000000007</c:v>
                </c:pt>
                <c:pt idx="45">
                  <c:v>9</c:v>
                </c:pt>
                <c:pt idx="46">
                  <c:v>9.1999999999999993</c:v>
                </c:pt>
                <c:pt idx="47">
                  <c:v>9.3999999999999986</c:v>
                </c:pt>
                <c:pt idx="48">
                  <c:v>9.5999999999999979</c:v>
                </c:pt>
                <c:pt idx="49">
                  <c:v>9.7999999999999972</c:v>
                </c:pt>
                <c:pt idx="50">
                  <c:v>9.9999999999999964</c:v>
                </c:pt>
                <c:pt idx="51">
                  <c:v>10.199999999999996</c:v>
                </c:pt>
                <c:pt idx="52">
                  <c:v>10.399999999999995</c:v>
                </c:pt>
                <c:pt idx="53">
                  <c:v>10.599999999999994</c:v>
                </c:pt>
                <c:pt idx="54">
                  <c:v>10.799999999999994</c:v>
                </c:pt>
                <c:pt idx="55">
                  <c:v>10.999999999999993</c:v>
                </c:pt>
                <c:pt idx="56">
                  <c:v>11.199999999999992</c:v>
                </c:pt>
                <c:pt idx="57">
                  <c:v>11.399999999999991</c:v>
                </c:pt>
                <c:pt idx="58">
                  <c:v>11.599999999999991</c:v>
                </c:pt>
                <c:pt idx="59">
                  <c:v>11.79999999999999</c:v>
                </c:pt>
                <c:pt idx="60">
                  <c:v>11.999999999999989</c:v>
                </c:pt>
                <c:pt idx="61">
                  <c:v>12.199999999999989</c:v>
                </c:pt>
                <c:pt idx="62">
                  <c:v>12.399999999999988</c:v>
                </c:pt>
                <c:pt idx="63">
                  <c:v>12.599999999999987</c:v>
                </c:pt>
                <c:pt idx="64">
                  <c:v>12.799999999999986</c:v>
                </c:pt>
                <c:pt idx="65">
                  <c:v>12.999999999999986</c:v>
                </c:pt>
                <c:pt idx="66">
                  <c:v>13.199999999999985</c:v>
                </c:pt>
                <c:pt idx="67">
                  <c:v>13.399999999999984</c:v>
                </c:pt>
                <c:pt idx="68">
                  <c:v>13.599999999999984</c:v>
                </c:pt>
                <c:pt idx="69">
                  <c:v>13.799999999999983</c:v>
                </c:pt>
                <c:pt idx="70">
                  <c:v>13.999999999999982</c:v>
                </c:pt>
              </c:numCache>
            </c:numRef>
          </c:xVal>
          <c:yVal>
            <c:numRef>
              <c:f>Distribution!$S$12:$S$114</c:f>
              <c:numCache>
                <c:formatCode>0.000</c:formatCode>
                <c:ptCount val="103"/>
                <c:pt idx="0">
                  <c:v>9.5969155200060739E-3</c:v>
                </c:pt>
                <c:pt idx="1">
                  <c:v>1.5125185793626757E-2</c:v>
                </c:pt>
                <c:pt idx="2">
                  <c:v>2.3761594110245289E-2</c:v>
                </c:pt>
                <c:pt idx="3">
                  <c:v>3.714336985619953E-2</c:v>
                </c:pt>
                <c:pt idx="4">
                  <c:v>5.7616557773505363E-2</c:v>
                </c:pt>
                <c:pt idx="5">
                  <c:v>8.8339096187158642E-2</c:v>
                </c:pt>
                <c:pt idx="6">
                  <c:v>0.13312935178147939</c:v>
                </c:pt>
                <c:pt idx="7">
                  <c:v>0.19575310389451375</c:v>
                </c:pt>
                <c:pt idx="8">
                  <c:v>0.27837498240368957</c:v>
                </c:pt>
                <c:pt idx="9">
                  <c:v>0.3794170528130702</c:v>
                </c:pt>
                <c:pt idx="10">
                  <c:v>0.49212175708860068</c:v>
                </c:pt>
                <c:pt idx="11">
                  <c:v>0.6056295997780311</c:v>
                </c:pt>
                <c:pt idx="12">
                  <c:v>0.7087738048859058</c:v>
                </c:pt>
                <c:pt idx="13">
                  <c:v>0.79409780766033788</c:v>
                </c:pt>
                <c:pt idx="14">
                  <c:v>0.859355975255366</c:v>
                </c:pt>
                <c:pt idx="15">
                  <c:v>0.90632243454997419</c:v>
                </c:pt>
                <c:pt idx="16">
                  <c:v>0.93864246364550075</c:v>
                </c:pt>
                <c:pt idx="17">
                  <c:v>0.9601660969915321</c:v>
                </c:pt>
                <c:pt idx="18">
                  <c:v>0.97412771329370007</c:v>
                </c:pt>
                <c:pt idx="19">
                  <c:v>0.98293112707222985</c:v>
                </c:pt>
                <c:pt idx="20">
                  <c:v>0.98822097724068203</c:v>
                </c:pt>
                <c:pt idx="21">
                  <c:v>0.99103472449766428</c:v>
                </c:pt>
                <c:pt idx="22">
                  <c:v>0.99193949821384786</c:v>
                </c:pt>
                <c:pt idx="23">
                  <c:v>0.99111993604206161</c:v>
                </c:pt>
                <c:pt idx="24">
                  <c:v>0.98840874185990757</c:v>
                </c:pt>
                <c:pt idx="25">
                  <c:v>0.98325895682143016</c:v>
                </c:pt>
                <c:pt idx="26">
                  <c:v>0.97465881789995357</c:v>
                </c:pt>
                <c:pt idx="27">
                  <c:v>0.96099682667914177</c:v>
                </c:pt>
                <c:pt idx="28">
                  <c:v>0.93990895993259838</c:v>
                </c:pt>
                <c:pt idx="29">
                  <c:v>0.90819965901436384</c:v>
                </c:pt>
                <c:pt idx="30">
                  <c:v>0.86203607277077576</c:v>
                </c:pt>
                <c:pt idx="31">
                  <c:v>0.7977312992866723</c:v>
                </c:pt>
                <c:pt idx="32">
                  <c:v>0.71337048951098347</c:v>
                </c:pt>
                <c:pt idx="33">
                  <c:v>0.61096060650660677</c:v>
                </c:pt>
                <c:pt idx="34">
                  <c:v>0.49771363546987102</c:v>
                </c:pt>
                <c:pt idx="35">
                  <c:v>0.38469659615995588</c:v>
                </c:pt>
                <c:pt idx="36">
                  <c:v>0.28288699609240647</c:v>
                </c:pt>
                <c:pt idx="37">
                  <c:v>0.19929270463277571</c:v>
                </c:pt>
                <c:pt idx="38">
                  <c:v>0.13572408279402837</c:v>
                </c:pt>
                <c:pt idx="39">
                  <c:v>9.0147634454688388E-2</c:v>
                </c:pt>
                <c:pt idx="40">
                  <c:v>5.8832431617626718E-2</c:v>
                </c:pt>
                <c:pt idx="41">
                  <c:v>3.7940121112106456E-2</c:v>
                </c:pt>
                <c:pt idx="42">
                  <c:v>2.4273932362380131E-2</c:v>
                </c:pt>
                <c:pt idx="43">
                  <c:v>1.5449573226731616E-2</c:v>
                </c:pt>
                <c:pt idx="44">
                  <c:v>9.7991853199178025E-3</c:v>
                </c:pt>
                <c:pt idx="45">
                  <c:v>6.2005459013909619E-3</c:v>
                </c:pt>
                <c:pt idx="46">
                  <c:v>3.9164780533014884E-3</c:v>
                </c:pt>
                <c:pt idx="47">
                  <c:v>2.4699338351711598E-3</c:v>
                </c:pt>
                <c:pt idx="48">
                  <c:v>1.5550862111183654E-3</c:v>
                </c:pt>
                <c:pt idx="49">
                  <c:v>9.7702992363705001E-4</c:v>
                </c:pt>
                <c:pt idx="50">
                  <c:v>6.1201501607064616E-4</c:v>
                </c:pt>
                <c:pt idx="51">
                  <c:v>3.8165939121852233E-4</c:v>
                </c:pt>
                <c:pt idx="52">
                  <c:v>2.3639824773442916E-4</c:v>
                </c:pt>
                <c:pt idx="53">
                  <c:v>1.4492918728707758E-4</c:v>
                </c:pt>
                <c:pt idx="54">
                  <c:v>8.7505814807179691E-5</c:v>
                </c:pt>
                <c:pt idx="55">
                  <c:v>5.1682177928917616E-5</c:v>
                </c:pt>
                <c:pt idx="56">
                  <c:v>2.9607999327759435E-5</c:v>
                </c:pt>
                <c:pt idx="57">
                  <c:v>1.6303018894081747E-5</c:v>
                </c:pt>
                <c:pt idx="58">
                  <c:v>8.5593582954909316E-6</c:v>
                </c:pt>
                <c:pt idx="59">
                  <c:v>4.2654798107735269E-6</c:v>
                </c:pt>
                <c:pt idx="60">
                  <c:v>2.018825798217938E-6</c:v>
                </c:pt>
                <c:pt idx="61">
                  <c:v>9.1243714201050617E-7</c:v>
                </c:pt>
                <c:pt idx="62">
                  <c:v>3.9714724065686312E-7</c:v>
                </c:pt>
                <c:pt idx="63">
                  <c:v>1.6799945367389435E-7</c:v>
                </c:pt>
                <c:pt idx="64">
                  <c:v>6.9630597228289796E-8</c:v>
                </c:pt>
                <c:pt idx="65">
                  <c:v>2.8458424663451191E-8</c:v>
                </c:pt>
                <c:pt idx="66">
                  <c:v>1.1523062581147598E-8</c:v>
                </c:pt>
                <c:pt idx="67">
                  <c:v>4.6374033296941436E-9</c:v>
                </c:pt>
                <c:pt idx="68">
                  <c:v>1.8589650203805901E-9</c:v>
                </c:pt>
                <c:pt idx="69">
                  <c:v>7.4331428311299376E-10</c:v>
                </c:pt>
                <c:pt idx="70">
                  <c:v>2.9674020257837828E-10</c:v>
                </c:pt>
              </c:numCache>
            </c:numRef>
          </c:yVal>
          <c:smooth val="1"/>
          <c:extLst>
            <c:ext xmlns:c16="http://schemas.microsoft.com/office/drawing/2014/chart" uri="{C3380CC4-5D6E-409C-BE32-E72D297353CC}">
              <c16:uniqueId val="{00000002-28B8-458C-98DA-8F43FC221239}"/>
            </c:ext>
          </c:extLst>
        </c:ser>
        <c:ser>
          <c:idx val="3"/>
          <c:order val="3"/>
          <c:tx>
            <c:v>alfa 3</c:v>
          </c:tx>
          <c:spPr>
            <a:ln w="25400">
              <a:solidFill>
                <a:srgbClr val="993300"/>
              </a:solidFill>
              <a:prstDash val="solid"/>
            </a:ln>
          </c:spPr>
          <c:marker>
            <c:symbol val="none"/>
          </c:marker>
          <c:xVal>
            <c:numRef>
              <c:f>Distribution!$O$12:$O$114</c:f>
              <c:numCache>
                <c:formatCode>0.000</c:formatCode>
                <c:ptCount val="103"/>
                <c:pt idx="0">
                  <c:v>0</c:v>
                </c:pt>
                <c:pt idx="1">
                  <c:v>0.2</c:v>
                </c:pt>
                <c:pt idx="2">
                  <c:v>0.4</c:v>
                </c:pt>
                <c:pt idx="3">
                  <c:v>0.60000000000000009</c:v>
                </c:pt>
                <c:pt idx="4">
                  <c:v>0.8</c:v>
                </c:pt>
                <c:pt idx="5">
                  <c:v>1</c:v>
                </c:pt>
                <c:pt idx="6">
                  <c:v>1.2</c:v>
                </c:pt>
                <c:pt idx="7">
                  <c:v>1.4</c:v>
                </c:pt>
                <c:pt idx="8">
                  <c:v>1.5999999999999999</c:v>
                </c:pt>
                <c:pt idx="9">
                  <c:v>1.7999999999999998</c:v>
                </c:pt>
                <c:pt idx="10">
                  <c:v>1.9999999999999998</c:v>
                </c:pt>
                <c:pt idx="11">
                  <c:v>2.1999999999999997</c:v>
                </c:pt>
                <c:pt idx="12">
                  <c:v>2.4</c:v>
                </c:pt>
                <c:pt idx="13">
                  <c:v>2.6</c:v>
                </c:pt>
                <c:pt idx="14">
                  <c:v>2.8000000000000003</c:v>
                </c:pt>
                <c:pt idx="15">
                  <c:v>3.0000000000000004</c:v>
                </c:pt>
                <c:pt idx="16">
                  <c:v>3.2000000000000006</c:v>
                </c:pt>
                <c:pt idx="17">
                  <c:v>3.4000000000000008</c:v>
                </c:pt>
                <c:pt idx="18">
                  <c:v>3.600000000000001</c:v>
                </c:pt>
                <c:pt idx="19">
                  <c:v>3.8000000000000012</c:v>
                </c:pt>
                <c:pt idx="20">
                  <c:v>4.0000000000000009</c:v>
                </c:pt>
                <c:pt idx="21">
                  <c:v>4.2000000000000011</c:v>
                </c:pt>
                <c:pt idx="22">
                  <c:v>4.4000000000000012</c:v>
                </c:pt>
                <c:pt idx="23">
                  <c:v>4.6000000000000014</c:v>
                </c:pt>
                <c:pt idx="24">
                  <c:v>4.8000000000000016</c:v>
                </c:pt>
                <c:pt idx="25">
                  <c:v>5.0000000000000018</c:v>
                </c:pt>
                <c:pt idx="26">
                  <c:v>5.200000000000002</c:v>
                </c:pt>
                <c:pt idx="27">
                  <c:v>5.4000000000000021</c:v>
                </c:pt>
                <c:pt idx="28">
                  <c:v>5.6000000000000023</c:v>
                </c:pt>
                <c:pt idx="29">
                  <c:v>5.8000000000000025</c:v>
                </c:pt>
                <c:pt idx="30">
                  <c:v>6.0000000000000027</c:v>
                </c:pt>
                <c:pt idx="31">
                  <c:v>6.2000000000000028</c:v>
                </c:pt>
                <c:pt idx="32">
                  <c:v>6.400000000000003</c:v>
                </c:pt>
                <c:pt idx="33">
                  <c:v>6.6000000000000032</c:v>
                </c:pt>
                <c:pt idx="34">
                  <c:v>6.8000000000000034</c:v>
                </c:pt>
                <c:pt idx="35">
                  <c:v>7.0000000000000036</c:v>
                </c:pt>
                <c:pt idx="36">
                  <c:v>7.2000000000000037</c:v>
                </c:pt>
                <c:pt idx="37">
                  <c:v>7.4000000000000039</c:v>
                </c:pt>
                <c:pt idx="38">
                  <c:v>7.6000000000000041</c:v>
                </c:pt>
                <c:pt idx="39">
                  <c:v>7.8000000000000043</c:v>
                </c:pt>
                <c:pt idx="40">
                  <c:v>8.0000000000000036</c:v>
                </c:pt>
                <c:pt idx="41">
                  <c:v>8.2000000000000028</c:v>
                </c:pt>
                <c:pt idx="42">
                  <c:v>8.4000000000000021</c:v>
                </c:pt>
                <c:pt idx="43">
                  <c:v>8.6000000000000014</c:v>
                </c:pt>
                <c:pt idx="44">
                  <c:v>8.8000000000000007</c:v>
                </c:pt>
                <c:pt idx="45">
                  <c:v>9</c:v>
                </c:pt>
                <c:pt idx="46">
                  <c:v>9.1999999999999993</c:v>
                </c:pt>
                <c:pt idx="47">
                  <c:v>9.3999999999999986</c:v>
                </c:pt>
                <c:pt idx="48">
                  <c:v>9.5999999999999979</c:v>
                </c:pt>
                <c:pt idx="49">
                  <c:v>9.7999999999999972</c:v>
                </c:pt>
                <c:pt idx="50">
                  <c:v>9.9999999999999964</c:v>
                </c:pt>
                <c:pt idx="51">
                  <c:v>10.199999999999996</c:v>
                </c:pt>
                <c:pt idx="52">
                  <c:v>10.399999999999995</c:v>
                </c:pt>
                <c:pt idx="53">
                  <c:v>10.599999999999994</c:v>
                </c:pt>
                <c:pt idx="54">
                  <c:v>10.799999999999994</c:v>
                </c:pt>
                <c:pt idx="55">
                  <c:v>10.999999999999993</c:v>
                </c:pt>
                <c:pt idx="56">
                  <c:v>11.199999999999992</c:v>
                </c:pt>
                <c:pt idx="57">
                  <c:v>11.399999999999991</c:v>
                </c:pt>
                <c:pt idx="58">
                  <c:v>11.599999999999991</c:v>
                </c:pt>
                <c:pt idx="59">
                  <c:v>11.79999999999999</c:v>
                </c:pt>
                <c:pt idx="60">
                  <c:v>11.999999999999989</c:v>
                </c:pt>
                <c:pt idx="61">
                  <c:v>12.199999999999989</c:v>
                </c:pt>
                <c:pt idx="62">
                  <c:v>12.399999999999988</c:v>
                </c:pt>
                <c:pt idx="63">
                  <c:v>12.599999999999987</c:v>
                </c:pt>
                <c:pt idx="64">
                  <c:v>12.799999999999986</c:v>
                </c:pt>
                <c:pt idx="65">
                  <c:v>12.999999999999986</c:v>
                </c:pt>
                <c:pt idx="66">
                  <c:v>13.199999999999985</c:v>
                </c:pt>
                <c:pt idx="67">
                  <c:v>13.399999999999984</c:v>
                </c:pt>
                <c:pt idx="68">
                  <c:v>13.599999999999984</c:v>
                </c:pt>
                <c:pt idx="69">
                  <c:v>13.799999999999983</c:v>
                </c:pt>
                <c:pt idx="70">
                  <c:v>13.999999999999982</c:v>
                </c:pt>
              </c:numCache>
            </c:numRef>
          </c:xVal>
          <c:yVal>
            <c:numRef>
              <c:f>Distribution!$T$12:$T$114</c:f>
              <c:numCache>
                <c:formatCode>0.000</c:formatCode>
                <c:ptCount val="103"/>
                <c:pt idx="0">
                  <c:v>0.9904030829450563</c:v>
                </c:pt>
                <c:pt idx="1">
                  <c:v>0.9848748103723054</c:v>
                </c:pt>
                <c:pt idx="2">
                  <c:v>0.97623839634346443</c:v>
                </c:pt>
                <c:pt idx="3">
                  <c:v>0.96285660649329818</c:v>
                </c:pt>
                <c:pt idx="4">
                  <c:v>0.94238338408229816</c:v>
                </c:pt>
                <c:pt idx="5">
                  <c:v>0.91166076252264894</c:v>
                </c:pt>
                <c:pt idx="6">
                  <c:v>0.86687031075029963</c:v>
                </c:pt>
                <c:pt idx="7">
                  <c:v>0.80424610966163401</c:v>
                </c:pt>
                <c:pt idx="8">
                  <c:v>0.72162324508397035</c:v>
                </c:pt>
                <c:pt idx="9">
                  <c:v>0.62057911827029255</c:v>
                </c:pt>
                <c:pt idx="10">
                  <c:v>0.50787037188025586</c:v>
                </c:pt>
                <c:pt idx="11">
                  <c:v>0.3943550481796898</c:v>
                </c:pt>
                <c:pt idx="12">
                  <c:v>0.29119771991801341</c:v>
                </c:pt>
                <c:pt idx="13">
                  <c:v>0.20585162931305281</c:v>
                </c:pt>
                <c:pt idx="14">
                  <c:v>0.14055730216929008</c:v>
                </c:pt>
                <c:pt idx="15">
                  <c:v>9.3532607580981864E-2</c:v>
                </c:pt>
                <c:pt idx="16">
                  <c:v>6.1119600843500703E-2</c:v>
                </c:pt>
                <c:pt idx="17">
                  <c:v>3.9448153453063878E-2</c:v>
                </c:pt>
                <c:pt idx="18">
                  <c:v>2.5252025003232065E-2</c:v>
                </c:pt>
                <c:pt idx="19">
                  <c:v>1.6076940338773684E-2</c:v>
                </c:pt>
                <c:pt idx="20">
                  <c:v>1.0198454914496596E-2</c:v>
                </c:pt>
                <c:pt idx="21">
                  <c:v>6.4531117149865163E-3</c:v>
                </c:pt>
                <c:pt idx="22">
                  <c:v>4.0753554686320179E-3</c:v>
                </c:pt>
                <c:pt idx="23">
                  <c:v>2.5692509374887259E-3</c:v>
                </c:pt>
                <c:pt idx="24">
                  <c:v>1.6166532868417721E-3</c:v>
                </c:pt>
                <c:pt idx="25">
                  <c:v>1.0147246791317637E-3</c:v>
                </c:pt>
                <c:pt idx="26">
                  <c:v>6.3464801791815657E-4</c:v>
                </c:pt>
                <c:pt idx="27">
                  <c:v>3.948228374812158E-4</c:v>
                </c:pt>
                <c:pt idx="28">
                  <c:v>2.4364982366356042E-4</c:v>
                </c:pt>
                <c:pt idx="29">
                  <c:v>1.485462341309651E-4</c:v>
                </c:pt>
                <c:pt idx="30">
                  <c:v>8.8962248578955901E-5</c:v>
                </c:pt>
                <c:pt idx="31">
                  <c:v>5.1944185865410136E-5</c:v>
                </c:pt>
                <c:pt idx="32">
                  <c:v>2.9308625483955826E-5</c:v>
                </c:pt>
                <c:pt idx="33">
                  <c:v>1.583775135534311E-5</c:v>
                </c:pt>
                <c:pt idx="34">
                  <c:v>8.1406643892509785E-6</c:v>
                </c:pt>
                <c:pt idx="35">
                  <c:v>3.9700744894651892E-6</c:v>
                </c:pt>
                <c:pt idx="36">
                  <c:v>1.8420155655257713E-6</c:v>
                </c:pt>
                <c:pt idx="37">
                  <c:v>8.1878845952411779E-7</c:v>
                </c:pt>
                <c:pt idx="38">
                  <c:v>3.5183353121811691E-7</c:v>
                </c:pt>
                <c:pt idx="39">
                  <c:v>1.4744656068899661E-7</c:v>
                </c:pt>
                <c:pt idx="40">
                  <c:v>6.0715155332756712E-8</c:v>
                </c:pt>
                <c:pt idx="41">
                  <c:v>2.4704668157883247E-8</c:v>
                </c:pt>
                <c:pt idx="42">
                  <c:v>9.9728766901973487E-9</c:v>
                </c:pt>
                <c:pt idx="43">
                  <c:v>4.0049472372732479E-9</c:v>
                </c:pt>
                <c:pt idx="44">
                  <c:v>1.6027665969451879E-9</c:v>
                </c:pt>
                <c:pt idx="45">
                  <c:v>6.3989724238773515E-10</c:v>
                </c:pt>
                <c:pt idx="46">
                  <c:v>2.5502103793646726E-10</c:v>
                </c:pt>
                <c:pt idx="47">
                  <c:v>1.0147653541823219E-10</c:v>
                </c:pt>
                <c:pt idx="48">
                  <c:v>4.0312040556332072E-11</c:v>
                </c:pt>
                <c:pt idx="49">
                  <c:v>1.5980419542004538E-11</c:v>
                </c:pt>
                <c:pt idx="50">
                  <c:v>6.3160039021022609E-12</c:v>
                </c:pt>
                <c:pt idx="51">
                  <c:v>2.4851709306707578E-12</c:v>
                </c:pt>
                <c:pt idx="52">
                  <c:v>9.7123553746404961E-13</c:v>
                </c:pt>
                <c:pt idx="53">
                  <c:v>3.7569565172282735E-13</c:v>
                </c:pt>
                <c:pt idx="54">
                  <c:v>1.4312556853715875E-13</c:v>
                </c:pt>
                <c:pt idx="55">
                  <c:v>5.3336083085665632E-14</c:v>
                </c:pt>
                <c:pt idx="56">
                  <c:v>1.9279216216780662E-14</c:v>
                </c:pt>
                <c:pt idx="57">
                  <c:v>6.6980493593456038E-15</c:v>
                </c:pt>
                <c:pt idx="58">
                  <c:v>2.2188171708877065E-15</c:v>
                </c:pt>
                <c:pt idx="59">
                  <c:v>6.9766703429478606E-16</c:v>
                </c:pt>
                <c:pt idx="60">
                  <c:v>2.0834311715217055E-16</c:v>
                </c:pt>
                <c:pt idx="61">
                  <c:v>5.9413244205762042E-17</c:v>
                </c:pt>
                <c:pt idx="62">
                  <c:v>1.6316682438571311E-17</c:v>
                </c:pt>
                <c:pt idx="63">
                  <c:v>4.355000218973934E-18</c:v>
                </c:pt>
                <c:pt idx="64">
                  <c:v>1.1388864657555722E-18</c:v>
                </c:pt>
                <c:pt idx="65">
                  <c:v>2.9369135805860226E-19</c:v>
                </c:pt>
                <c:pt idx="66">
                  <c:v>7.5032295334172555E-20</c:v>
                </c:pt>
                <c:pt idx="67">
                  <c:v>1.9052640865650579E-20</c:v>
                </c:pt>
                <c:pt idx="68">
                  <c:v>4.8189401178275586E-21</c:v>
                </c:pt>
                <c:pt idx="69">
                  <c:v>1.2157738272224114E-21</c:v>
                </c:pt>
                <c:pt idx="70">
                  <c:v>3.0623632234202728E-22</c:v>
                </c:pt>
              </c:numCache>
            </c:numRef>
          </c:yVal>
          <c:smooth val="1"/>
          <c:extLst>
            <c:ext xmlns:c16="http://schemas.microsoft.com/office/drawing/2014/chart" uri="{C3380CC4-5D6E-409C-BE32-E72D297353CC}">
              <c16:uniqueId val="{00000003-28B8-458C-98DA-8F43FC221239}"/>
            </c:ext>
          </c:extLst>
        </c:ser>
        <c:ser>
          <c:idx val="4"/>
          <c:order val="4"/>
          <c:tx>
            <c:v>alfa 4</c:v>
          </c:tx>
          <c:spPr>
            <a:ln w="25400">
              <a:solidFill>
                <a:srgbClr val="0000FF"/>
              </a:solidFill>
              <a:prstDash val="solid"/>
            </a:ln>
          </c:spPr>
          <c:marker>
            <c:symbol val="none"/>
          </c:marker>
          <c:xVal>
            <c:numRef>
              <c:f>Distribution!$O$12:$O$114</c:f>
              <c:numCache>
                <c:formatCode>0.000</c:formatCode>
                <c:ptCount val="103"/>
                <c:pt idx="0">
                  <c:v>0</c:v>
                </c:pt>
                <c:pt idx="1">
                  <c:v>0.2</c:v>
                </c:pt>
                <c:pt idx="2">
                  <c:v>0.4</c:v>
                </c:pt>
                <c:pt idx="3">
                  <c:v>0.60000000000000009</c:v>
                </c:pt>
                <c:pt idx="4">
                  <c:v>0.8</c:v>
                </c:pt>
                <c:pt idx="5">
                  <c:v>1</c:v>
                </c:pt>
                <c:pt idx="6">
                  <c:v>1.2</c:v>
                </c:pt>
                <c:pt idx="7">
                  <c:v>1.4</c:v>
                </c:pt>
                <c:pt idx="8">
                  <c:v>1.5999999999999999</c:v>
                </c:pt>
                <c:pt idx="9">
                  <c:v>1.7999999999999998</c:v>
                </c:pt>
                <c:pt idx="10">
                  <c:v>1.9999999999999998</c:v>
                </c:pt>
                <c:pt idx="11">
                  <c:v>2.1999999999999997</c:v>
                </c:pt>
                <c:pt idx="12">
                  <c:v>2.4</c:v>
                </c:pt>
                <c:pt idx="13">
                  <c:v>2.6</c:v>
                </c:pt>
                <c:pt idx="14">
                  <c:v>2.8000000000000003</c:v>
                </c:pt>
                <c:pt idx="15">
                  <c:v>3.0000000000000004</c:v>
                </c:pt>
                <c:pt idx="16">
                  <c:v>3.2000000000000006</c:v>
                </c:pt>
                <c:pt idx="17">
                  <c:v>3.4000000000000008</c:v>
                </c:pt>
                <c:pt idx="18">
                  <c:v>3.600000000000001</c:v>
                </c:pt>
                <c:pt idx="19">
                  <c:v>3.8000000000000012</c:v>
                </c:pt>
                <c:pt idx="20">
                  <c:v>4.0000000000000009</c:v>
                </c:pt>
                <c:pt idx="21">
                  <c:v>4.2000000000000011</c:v>
                </c:pt>
                <c:pt idx="22">
                  <c:v>4.4000000000000012</c:v>
                </c:pt>
                <c:pt idx="23">
                  <c:v>4.6000000000000014</c:v>
                </c:pt>
                <c:pt idx="24">
                  <c:v>4.8000000000000016</c:v>
                </c:pt>
                <c:pt idx="25">
                  <c:v>5.0000000000000018</c:v>
                </c:pt>
                <c:pt idx="26">
                  <c:v>5.200000000000002</c:v>
                </c:pt>
                <c:pt idx="27">
                  <c:v>5.4000000000000021</c:v>
                </c:pt>
                <c:pt idx="28">
                  <c:v>5.6000000000000023</c:v>
                </c:pt>
                <c:pt idx="29">
                  <c:v>5.8000000000000025</c:v>
                </c:pt>
                <c:pt idx="30">
                  <c:v>6.0000000000000027</c:v>
                </c:pt>
                <c:pt idx="31">
                  <c:v>6.2000000000000028</c:v>
                </c:pt>
                <c:pt idx="32">
                  <c:v>6.400000000000003</c:v>
                </c:pt>
                <c:pt idx="33">
                  <c:v>6.6000000000000032</c:v>
                </c:pt>
                <c:pt idx="34">
                  <c:v>6.8000000000000034</c:v>
                </c:pt>
                <c:pt idx="35">
                  <c:v>7.0000000000000036</c:v>
                </c:pt>
                <c:pt idx="36">
                  <c:v>7.2000000000000037</c:v>
                </c:pt>
                <c:pt idx="37">
                  <c:v>7.4000000000000039</c:v>
                </c:pt>
                <c:pt idx="38">
                  <c:v>7.6000000000000041</c:v>
                </c:pt>
                <c:pt idx="39">
                  <c:v>7.8000000000000043</c:v>
                </c:pt>
                <c:pt idx="40">
                  <c:v>8.0000000000000036</c:v>
                </c:pt>
                <c:pt idx="41">
                  <c:v>8.2000000000000028</c:v>
                </c:pt>
                <c:pt idx="42">
                  <c:v>8.4000000000000021</c:v>
                </c:pt>
                <c:pt idx="43">
                  <c:v>8.6000000000000014</c:v>
                </c:pt>
                <c:pt idx="44">
                  <c:v>8.8000000000000007</c:v>
                </c:pt>
                <c:pt idx="45">
                  <c:v>9</c:v>
                </c:pt>
                <c:pt idx="46">
                  <c:v>9.1999999999999993</c:v>
                </c:pt>
                <c:pt idx="47">
                  <c:v>9.3999999999999986</c:v>
                </c:pt>
                <c:pt idx="48">
                  <c:v>9.5999999999999979</c:v>
                </c:pt>
                <c:pt idx="49">
                  <c:v>9.7999999999999972</c:v>
                </c:pt>
                <c:pt idx="50">
                  <c:v>9.9999999999999964</c:v>
                </c:pt>
                <c:pt idx="51">
                  <c:v>10.199999999999996</c:v>
                </c:pt>
                <c:pt idx="52">
                  <c:v>10.399999999999995</c:v>
                </c:pt>
                <c:pt idx="53">
                  <c:v>10.599999999999994</c:v>
                </c:pt>
                <c:pt idx="54">
                  <c:v>10.799999999999994</c:v>
                </c:pt>
                <c:pt idx="55">
                  <c:v>10.999999999999993</c:v>
                </c:pt>
                <c:pt idx="56">
                  <c:v>11.199999999999992</c:v>
                </c:pt>
                <c:pt idx="57">
                  <c:v>11.399999999999991</c:v>
                </c:pt>
                <c:pt idx="58">
                  <c:v>11.599999999999991</c:v>
                </c:pt>
                <c:pt idx="59">
                  <c:v>11.79999999999999</c:v>
                </c:pt>
                <c:pt idx="60">
                  <c:v>11.999999999999989</c:v>
                </c:pt>
                <c:pt idx="61">
                  <c:v>12.199999999999989</c:v>
                </c:pt>
                <c:pt idx="62">
                  <c:v>12.399999999999988</c:v>
                </c:pt>
                <c:pt idx="63">
                  <c:v>12.599999999999987</c:v>
                </c:pt>
                <c:pt idx="64">
                  <c:v>12.799999999999986</c:v>
                </c:pt>
                <c:pt idx="65">
                  <c:v>12.999999999999986</c:v>
                </c:pt>
                <c:pt idx="66">
                  <c:v>13.199999999999985</c:v>
                </c:pt>
                <c:pt idx="67">
                  <c:v>13.399999999999984</c:v>
                </c:pt>
                <c:pt idx="68">
                  <c:v>13.599999999999984</c:v>
                </c:pt>
                <c:pt idx="69">
                  <c:v>13.799999999999983</c:v>
                </c:pt>
                <c:pt idx="70">
                  <c:v>13.999999999999982</c:v>
                </c:pt>
              </c:numCache>
            </c:numRef>
          </c:xVal>
          <c:yVal>
            <c:numRef>
              <c:f>Distribution!$U$12:$U$114</c:f>
              <c:numCache>
                <c:formatCode>0.000</c:formatCode>
                <c:ptCount val="103"/>
              </c:numCache>
            </c:numRef>
          </c:yVal>
          <c:smooth val="1"/>
          <c:extLst>
            <c:ext xmlns:c16="http://schemas.microsoft.com/office/drawing/2014/chart" uri="{C3380CC4-5D6E-409C-BE32-E72D297353CC}">
              <c16:uniqueId val="{00000004-28B8-458C-98DA-8F43FC221239}"/>
            </c:ext>
          </c:extLst>
        </c:ser>
        <c:ser>
          <c:idx val="5"/>
          <c:order val="5"/>
          <c:tx>
            <c:v>alfa 5</c:v>
          </c:tx>
          <c:spPr>
            <a:ln w="25400">
              <a:solidFill>
                <a:srgbClr val="FF00FF"/>
              </a:solidFill>
              <a:prstDash val="solid"/>
            </a:ln>
          </c:spPr>
          <c:marker>
            <c:symbol val="none"/>
          </c:marker>
          <c:xVal>
            <c:numRef>
              <c:f>Distribution!$O$12:$O$114</c:f>
              <c:numCache>
                <c:formatCode>0.000</c:formatCode>
                <c:ptCount val="103"/>
                <c:pt idx="0">
                  <c:v>0</c:v>
                </c:pt>
                <c:pt idx="1">
                  <c:v>0.2</c:v>
                </c:pt>
                <c:pt idx="2">
                  <c:v>0.4</c:v>
                </c:pt>
                <c:pt idx="3">
                  <c:v>0.60000000000000009</c:v>
                </c:pt>
                <c:pt idx="4">
                  <c:v>0.8</c:v>
                </c:pt>
                <c:pt idx="5">
                  <c:v>1</c:v>
                </c:pt>
                <c:pt idx="6">
                  <c:v>1.2</c:v>
                </c:pt>
                <c:pt idx="7">
                  <c:v>1.4</c:v>
                </c:pt>
                <c:pt idx="8">
                  <c:v>1.5999999999999999</c:v>
                </c:pt>
                <c:pt idx="9">
                  <c:v>1.7999999999999998</c:v>
                </c:pt>
                <c:pt idx="10">
                  <c:v>1.9999999999999998</c:v>
                </c:pt>
                <c:pt idx="11">
                  <c:v>2.1999999999999997</c:v>
                </c:pt>
                <c:pt idx="12">
                  <c:v>2.4</c:v>
                </c:pt>
                <c:pt idx="13">
                  <c:v>2.6</c:v>
                </c:pt>
                <c:pt idx="14">
                  <c:v>2.8000000000000003</c:v>
                </c:pt>
                <c:pt idx="15">
                  <c:v>3.0000000000000004</c:v>
                </c:pt>
                <c:pt idx="16">
                  <c:v>3.2000000000000006</c:v>
                </c:pt>
                <c:pt idx="17">
                  <c:v>3.4000000000000008</c:v>
                </c:pt>
                <c:pt idx="18">
                  <c:v>3.600000000000001</c:v>
                </c:pt>
                <c:pt idx="19">
                  <c:v>3.8000000000000012</c:v>
                </c:pt>
                <c:pt idx="20">
                  <c:v>4.0000000000000009</c:v>
                </c:pt>
                <c:pt idx="21">
                  <c:v>4.2000000000000011</c:v>
                </c:pt>
                <c:pt idx="22">
                  <c:v>4.4000000000000012</c:v>
                </c:pt>
                <c:pt idx="23">
                  <c:v>4.6000000000000014</c:v>
                </c:pt>
                <c:pt idx="24">
                  <c:v>4.8000000000000016</c:v>
                </c:pt>
                <c:pt idx="25">
                  <c:v>5.0000000000000018</c:v>
                </c:pt>
                <c:pt idx="26">
                  <c:v>5.200000000000002</c:v>
                </c:pt>
                <c:pt idx="27">
                  <c:v>5.4000000000000021</c:v>
                </c:pt>
                <c:pt idx="28">
                  <c:v>5.6000000000000023</c:v>
                </c:pt>
                <c:pt idx="29">
                  <c:v>5.8000000000000025</c:v>
                </c:pt>
                <c:pt idx="30">
                  <c:v>6.0000000000000027</c:v>
                </c:pt>
                <c:pt idx="31">
                  <c:v>6.2000000000000028</c:v>
                </c:pt>
                <c:pt idx="32">
                  <c:v>6.400000000000003</c:v>
                </c:pt>
                <c:pt idx="33">
                  <c:v>6.6000000000000032</c:v>
                </c:pt>
                <c:pt idx="34">
                  <c:v>6.8000000000000034</c:v>
                </c:pt>
                <c:pt idx="35">
                  <c:v>7.0000000000000036</c:v>
                </c:pt>
                <c:pt idx="36">
                  <c:v>7.2000000000000037</c:v>
                </c:pt>
                <c:pt idx="37">
                  <c:v>7.4000000000000039</c:v>
                </c:pt>
                <c:pt idx="38">
                  <c:v>7.6000000000000041</c:v>
                </c:pt>
                <c:pt idx="39">
                  <c:v>7.8000000000000043</c:v>
                </c:pt>
                <c:pt idx="40">
                  <c:v>8.0000000000000036</c:v>
                </c:pt>
                <c:pt idx="41">
                  <c:v>8.2000000000000028</c:v>
                </c:pt>
                <c:pt idx="42">
                  <c:v>8.4000000000000021</c:v>
                </c:pt>
                <c:pt idx="43">
                  <c:v>8.6000000000000014</c:v>
                </c:pt>
                <c:pt idx="44">
                  <c:v>8.8000000000000007</c:v>
                </c:pt>
                <c:pt idx="45">
                  <c:v>9</c:v>
                </c:pt>
                <c:pt idx="46">
                  <c:v>9.1999999999999993</c:v>
                </c:pt>
                <c:pt idx="47">
                  <c:v>9.3999999999999986</c:v>
                </c:pt>
                <c:pt idx="48">
                  <c:v>9.5999999999999979</c:v>
                </c:pt>
                <c:pt idx="49">
                  <c:v>9.7999999999999972</c:v>
                </c:pt>
                <c:pt idx="50">
                  <c:v>9.9999999999999964</c:v>
                </c:pt>
                <c:pt idx="51">
                  <c:v>10.199999999999996</c:v>
                </c:pt>
                <c:pt idx="52">
                  <c:v>10.399999999999995</c:v>
                </c:pt>
                <c:pt idx="53">
                  <c:v>10.599999999999994</c:v>
                </c:pt>
                <c:pt idx="54">
                  <c:v>10.799999999999994</c:v>
                </c:pt>
                <c:pt idx="55">
                  <c:v>10.999999999999993</c:v>
                </c:pt>
                <c:pt idx="56">
                  <c:v>11.199999999999992</c:v>
                </c:pt>
                <c:pt idx="57">
                  <c:v>11.399999999999991</c:v>
                </c:pt>
                <c:pt idx="58">
                  <c:v>11.599999999999991</c:v>
                </c:pt>
                <c:pt idx="59">
                  <c:v>11.79999999999999</c:v>
                </c:pt>
                <c:pt idx="60">
                  <c:v>11.999999999999989</c:v>
                </c:pt>
                <c:pt idx="61">
                  <c:v>12.199999999999989</c:v>
                </c:pt>
                <c:pt idx="62">
                  <c:v>12.399999999999988</c:v>
                </c:pt>
                <c:pt idx="63">
                  <c:v>12.599999999999987</c:v>
                </c:pt>
                <c:pt idx="64">
                  <c:v>12.799999999999986</c:v>
                </c:pt>
                <c:pt idx="65">
                  <c:v>12.999999999999986</c:v>
                </c:pt>
                <c:pt idx="66">
                  <c:v>13.199999999999985</c:v>
                </c:pt>
                <c:pt idx="67">
                  <c:v>13.399999999999984</c:v>
                </c:pt>
                <c:pt idx="68">
                  <c:v>13.599999999999984</c:v>
                </c:pt>
                <c:pt idx="69">
                  <c:v>13.799999999999983</c:v>
                </c:pt>
                <c:pt idx="70">
                  <c:v>13.999999999999982</c:v>
                </c:pt>
              </c:numCache>
            </c:numRef>
          </c:xVal>
          <c:yVal>
            <c:numRef>
              <c:f>Distribution!$V$12:$V$114</c:f>
              <c:numCache>
                <c:formatCode>0.000</c:formatCode>
                <c:ptCount val="103"/>
              </c:numCache>
            </c:numRef>
          </c:yVal>
          <c:smooth val="1"/>
          <c:extLst>
            <c:ext xmlns:c16="http://schemas.microsoft.com/office/drawing/2014/chart" uri="{C3380CC4-5D6E-409C-BE32-E72D297353CC}">
              <c16:uniqueId val="{00000005-28B8-458C-98DA-8F43FC221239}"/>
            </c:ext>
          </c:extLst>
        </c:ser>
        <c:ser>
          <c:idx val="6"/>
          <c:order val="6"/>
          <c:tx>
            <c:v>alfa 6</c:v>
          </c:tx>
          <c:spPr>
            <a:ln w="25400">
              <a:solidFill>
                <a:srgbClr val="008080"/>
              </a:solidFill>
              <a:prstDash val="solid"/>
            </a:ln>
          </c:spPr>
          <c:marker>
            <c:symbol val="none"/>
          </c:marker>
          <c:xVal>
            <c:numRef>
              <c:f>Distribution!$O$12:$O$114</c:f>
              <c:numCache>
                <c:formatCode>0.000</c:formatCode>
                <c:ptCount val="103"/>
                <c:pt idx="0">
                  <c:v>0</c:v>
                </c:pt>
                <c:pt idx="1">
                  <c:v>0.2</c:v>
                </c:pt>
                <c:pt idx="2">
                  <c:v>0.4</c:v>
                </c:pt>
                <c:pt idx="3">
                  <c:v>0.60000000000000009</c:v>
                </c:pt>
                <c:pt idx="4">
                  <c:v>0.8</c:v>
                </c:pt>
                <c:pt idx="5">
                  <c:v>1</c:v>
                </c:pt>
                <c:pt idx="6">
                  <c:v>1.2</c:v>
                </c:pt>
                <c:pt idx="7">
                  <c:v>1.4</c:v>
                </c:pt>
                <c:pt idx="8">
                  <c:v>1.5999999999999999</c:v>
                </c:pt>
                <c:pt idx="9">
                  <c:v>1.7999999999999998</c:v>
                </c:pt>
                <c:pt idx="10">
                  <c:v>1.9999999999999998</c:v>
                </c:pt>
                <c:pt idx="11">
                  <c:v>2.1999999999999997</c:v>
                </c:pt>
                <c:pt idx="12">
                  <c:v>2.4</c:v>
                </c:pt>
                <c:pt idx="13">
                  <c:v>2.6</c:v>
                </c:pt>
                <c:pt idx="14">
                  <c:v>2.8000000000000003</c:v>
                </c:pt>
                <c:pt idx="15">
                  <c:v>3.0000000000000004</c:v>
                </c:pt>
                <c:pt idx="16">
                  <c:v>3.2000000000000006</c:v>
                </c:pt>
                <c:pt idx="17">
                  <c:v>3.4000000000000008</c:v>
                </c:pt>
                <c:pt idx="18">
                  <c:v>3.600000000000001</c:v>
                </c:pt>
                <c:pt idx="19">
                  <c:v>3.8000000000000012</c:v>
                </c:pt>
                <c:pt idx="20">
                  <c:v>4.0000000000000009</c:v>
                </c:pt>
                <c:pt idx="21">
                  <c:v>4.2000000000000011</c:v>
                </c:pt>
                <c:pt idx="22">
                  <c:v>4.4000000000000012</c:v>
                </c:pt>
                <c:pt idx="23">
                  <c:v>4.6000000000000014</c:v>
                </c:pt>
                <c:pt idx="24">
                  <c:v>4.8000000000000016</c:v>
                </c:pt>
                <c:pt idx="25">
                  <c:v>5.0000000000000018</c:v>
                </c:pt>
                <c:pt idx="26">
                  <c:v>5.200000000000002</c:v>
                </c:pt>
                <c:pt idx="27">
                  <c:v>5.4000000000000021</c:v>
                </c:pt>
                <c:pt idx="28">
                  <c:v>5.6000000000000023</c:v>
                </c:pt>
                <c:pt idx="29">
                  <c:v>5.8000000000000025</c:v>
                </c:pt>
                <c:pt idx="30">
                  <c:v>6.0000000000000027</c:v>
                </c:pt>
                <c:pt idx="31">
                  <c:v>6.2000000000000028</c:v>
                </c:pt>
                <c:pt idx="32">
                  <c:v>6.400000000000003</c:v>
                </c:pt>
                <c:pt idx="33">
                  <c:v>6.6000000000000032</c:v>
                </c:pt>
                <c:pt idx="34">
                  <c:v>6.8000000000000034</c:v>
                </c:pt>
                <c:pt idx="35">
                  <c:v>7.0000000000000036</c:v>
                </c:pt>
                <c:pt idx="36">
                  <c:v>7.2000000000000037</c:v>
                </c:pt>
                <c:pt idx="37">
                  <c:v>7.4000000000000039</c:v>
                </c:pt>
                <c:pt idx="38">
                  <c:v>7.6000000000000041</c:v>
                </c:pt>
                <c:pt idx="39">
                  <c:v>7.8000000000000043</c:v>
                </c:pt>
                <c:pt idx="40">
                  <c:v>8.0000000000000036</c:v>
                </c:pt>
                <c:pt idx="41">
                  <c:v>8.2000000000000028</c:v>
                </c:pt>
                <c:pt idx="42">
                  <c:v>8.4000000000000021</c:v>
                </c:pt>
                <c:pt idx="43">
                  <c:v>8.6000000000000014</c:v>
                </c:pt>
                <c:pt idx="44">
                  <c:v>8.8000000000000007</c:v>
                </c:pt>
                <c:pt idx="45">
                  <c:v>9</c:v>
                </c:pt>
                <c:pt idx="46">
                  <c:v>9.1999999999999993</c:v>
                </c:pt>
                <c:pt idx="47">
                  <c:v>9.3999999999999986</c:v>
                </c:pt>
                <c:pt idx="48">
                  <c:v>9.5999999999999979</c:v>
                </c:pt>
                <c:pt idx="49">
                  <c:v>9.7999999999999972</c:v>
                </c:pt>
                <c:pt idx="50">
                  <c:v>9.9999999999999964</c:v>
                </c:pt>
                <c:pt idx="51">
                  <c:v>10.199999999999996</c:v>
                </c:pt>
                <c:pt idx="52">
                  <c:v>10.399999999999995</c:v>
                </c:pt>
                <c:pt idx="53">
                  <c:v>10.599999999999994</c:v>
                </c:pt>
                <c:pt idx="54">
                  <c:v>10.799999999999994</c:v>
                </c:pt>
                <c:pt idx="55">
                  <c:v>10.999999999999993</c:v>
                </c:pt>
                <c:pt idx="56">
                  <c:v>11.199999999999992</c:v>
                </c:pt>
                <c:pt idx="57">
                  <c:v>11.399999999999991</c:v>
                </c:pt>
                <c:pt idx="58">
                  <c:v>11.599999999999991</c:v>
                </c:pt>
                <c:pt idx="59">
                  <c:v>11.79999999999999</c:v>
                </c:pt>
                <c:pt idx="60">
                  <c:v>11.999999999999989</c:v>
                </c:pt>
                <c:pt idx="61">
                  <c:v>12.199999999999989</c:v>
                </c:pt>
                <c:pt idx="62">
                  <c:v>12.399999999999988</c:v>
                </c:pt>
                <c:pt idx="63">
                  <c:v>12.599999999999987</c:v>
                </c:pt>
                <c:pt idx="64">
                  <c:v>12.799999999999986</c:v>
                </c:pt>
                <c:pt idx="65">
                  <c:v>12.999999999999986</c:v>
                </c:pt>
                <c:pt idx="66">
                  <c:v>13.199999999999985</c:v>
                </c:pt>
                <c:pt idx="67">
                  <c:v>13.399999999999984</c:v>
                </c:pt>
                <c:pt idx="68">
                  <c:v>13.599999999999984</c:v>
                </c:pt>
                <c:pt idx="69">
                  <c:v>13.799999999999983</c:v>
                </c:pt>
                <c:pt idx="70">
                  <c:v>13.999999999999982</c:v>
                </c:pt>
              </c:numCache>
            </c:numRef>
          </c:xVal>
          <c:yVal>
            <c:numRef>
              <c:f>Distribution!$W$12:$W$114</c:f>
              <c:numCache>
                <c:formatCode>0.000</c:formatCode>
                <c:ptCount val="103"/>
              </c:numCache>
            </c:numRef>
          </c:yVal>
          <c:smooth val="1"/>
          <c:extLst>
            <c:ext xmlns:c16="http://schemas.microsoft.com/office/drawing/2014/chart" uri="{C3380CC4-5D6E-409C-BE32-E72D297353CC}">
              <c16:uniqueId val="{00000006-28B8-458C-98DA-8F43FC221239}"/>
            </c:ext>
          </c:extLst>
        </c:ser>
        <c:dLbls>
          <c:showLegendKey val="0"/>
          <c:showVal val="0"/>
          <c:showCatName val="0"/>
          <c:showSerName val="0"/>
          <c:showPercent val="0"/>
          <c:showBubbleSize val="0"/>
        </c:dLbls>
        <c:axId val="277060480"/>
        <c:axId val="277058848"/>
      </c:scatterChart>
      <c:valAx>
        <c:axId val="277060480"/>
        <c:scaling>
          <c:orientation val="minMax"/>
          <c:max val="14"/>
        </c:scaling>
        <c:delete val="0"/>
        <c:axPos val="b"/>
        <c:majorGridlines/>
        <c:title>
          <c:tx>
            <c:rich>
              <a:bodyPr/>
              <a:lstStyle/>
              <a:p>
                <a:pPr>
                  <a:defRPr sz="1175" b="1" i="0" u="none" strike="noStrike" baseline="0">
                    <a:solidFill>
                      <a:srgbClr val="000000"/>
                    </a:solidFill>
                    <a:latin typeface="Arial"/>
                    <a:ea typeface="Arial"/>
                    <a:cs typeface="Arial"/>
                  </a:defRPr>
                </a:pPr>
                <a:r>
                  <a:rPr lang="pt-BR"/>
                  <a:t>pH</a:t>
                </a:r>
              </a:p>
            </c:rich>
          </c:tx>
          <c:layout>
            <c:manualLayout>
              <c:xMode val="edge"/>
              <c:yMode val="edge"/>
              <c:x val="0.48546028076766606"/>
              <c:y val="0.93151703365323613"/>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1175" b="0" i="0" u="none" strike="noStrike" baseline="0">
                <a:solidFill>
                  <a:srgbClr val="000000"/>
                </a:solidFill>
                <a:latin typeface="Arial"/>
                <a:ea typeface="Arial"/>
                <a:cs typeface="Arial"/>
              </a:defRPr>
            </a:pPr>
            <a:endParaRPr lang="nl-NL"/>
          </a:p>
        </c:txPr>
        <c:crossAx val="277058848"/>
        <c:crosses val="autoZero"/>
        <c:crossBetween val="midCat"/>
        <c:majorUnit val="1"/>
      </c:valAx>
      <c:valAx>
        <c:axId val="277058848"/>
        <c:scaling>
          <c:orientation val="minMax"/>
          <c:max val="1.03"/>
          <c:min val="0"/>
        </c:scaling>
        <c:delete val="0"/>
        <c:axPos val="l"/>
        <c:majorGridlines>
          <c:spPr>
            <a:ln w="3175">
              <a:solidFill>
                <a:srgbClr val="000000"/>
              </a:solidFill>
              <a:prstDash val="solid"/>
            </a:ln>
          </c:spPr>
        </c:majorGridlines>
        <c:title>
          <c:tx>
            <c:rich>
              <a:bodyPr/>
              <a:lstStyle/>
              <a:p>
                <a:pPr>
                  <a:defRPr sz="1100" b="0" i="0" u="none" strike="noStrike" baseline="0">
                    <a:solidFill>
                      <a:srgbClr val="000000"/>
                    </a:solidFill>
                    <a:latin typeface="Calibri"/>
                    <a:ea typeface="Calibri"/>
                    <a:cs typeface="Calibri"/>
                  </a:defRPr>
                </a:pPr>
                <a:r>
                  <a:rPr lang="pt-BR" sz="1500" b="0" i="0" strike="noStrike">
                    <a:solidFill>
                      <a:srgbClr val="000000"/>
                    </a:solidFill>
                    <a:latin typeface="Symbol"/>
                  </a:rPr>
                  <a:t>a</a:t>
                </a:r>
                <a:r>
                  <a:rPr lang="pt-BR" sz="1500" b="1" i="0" strike="noStrike" baseline="-25000">
                    <a:solidFill>
                      <a:srgbClr val="000000"/>
                    </a:solidFill>
                    <a:latin typeface="Arial"/>
                    <a:cs typeface="Arial"/>
                  </a:rPr>
                  <a:t>i</a:t>
                </a:r>
              </a:p>
            </c:rich>
          </c:tx>
          <c:layout>
            <c:manualLayout>
              <c:xMode val="edge"/>
              <c:yMode val="edge"/>
              <c:x val="7.2568910537559334E-3"/>
              <c:y val="0.42000066785546092"/>
            </c:manualLayout>
          </c:layout>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1175" b="0" i="0" u="none" strike="noStrike" baseline="0">
                <a:solidFill>
                  <a:srgbClr val="000000"/>
                </a:solidFill>
                <a:latin typeface="Arial"/>
                <a:ea typeface="Arial"/>
                <a:cs typeface="Arial"/>
              </a:defRPr>
            </a:pPr>
            <a:endParaRPr lang="nl-NL"/>
          </a:p>
        </c:txPr>
        <c:crossAx val="277060480"/>
        <c:crosses val="autoZero"/>
        <c:crossBetween val="midCat"/>
      </c:valAx>
      <c:spPr>
        <a:noFill/>
        <a:ln w="12700">
          <a:solidFill>
            <a:schemeClr val="tx1"/>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175" b="0" i="0" u="none" strike="noStrike" baseline="0">
          <a:solidFill>
            <a:srgbClr val="000000"/>
          </a:solidFill>
          <a:latin typeface="Arial"/>
          <a:ea typeface="Arial"/>
          <a:cs typeface="Arial"/>
        </a:defRPr>
      </a:pPr>
      <a:endParaRPr lang="nl-NL"/>
    </a:p>
  </c:txPr>
  <c:printSettings>
    <c:headerFooter alignWithMargins="0"/>
    <c:pageMargins b="0.98425196899999956" l="0.78740157499999996" r="0.78740157499999996" t="0.98425196899999956" header="0.49212598500001165" footer="0.49212598500001165"/>
    <c:pageSetup paperSize="9"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pt-BR" sz="1200"/>
              <a:t>Average protonation (h</a:t>
            </a:r>
            <a:r>
              <a:rPr lang="pt-BR" sz="1400" baseline="-25000"/>
              <a:t>m</a:t>
            </a:r>
            <a:r>
              <a:rPr lang="pt-BR" sz="1200"/>
              <a:t>) of the base B</a:t>
            </a:r>
          </a:p>
        </c:rich>
      </c:tx>
      <c:layout>
        <c:manualLayout>
          <c:xMode val="edge"/>
          <c:yMode val="edge"/>
          <c:x val="8.3203459071367517E-2"/>
          <c:y val="1.2195096170260418E-2"/>
        </c:manualLayout>
      </c:layout>
      <c:overlay val="0"/>
      <c:spPr>
        <a:noFill/>
        <a:ln w="25400">
          <a:noFill/>
        </a:ln>
      </c:spPr>
    </c:title>
    <c:autoTitleDeleted val="0"/>
    <c:plotArea>
      <c:layout>
        <c:manualLayout>
          <c:layoutTarget val="inner"/>
          <c:xMode val="edge"/>
          <c:yMode val="edge"/>
          <c:x val="8.6614284231314689E-2"/>
          <c:y val="8.0487804878048699E-2"/>
          <c:w val="0.88976491983078021"/>
          <c:h val="0.78048780487804859"/>
        </c:manualLayout>
      </c:layout>
      <c:scatterChart>
        <c:scatterStyle val="smoothMarker"/>
        <c:varyColors val="0"/>
        <c:ser>
          <c:idx val="0"/>
          <c:order val="0"/>
          <c:tx>
            <c:v>n médio</c:v>
          </c:tx>
          <c:spPr>
            <a:ln w="38100">
              <a:solidFill>
                <a:srgbClr val="09007E"/>
              </a:solidFill>
              <a:prstDash val="solid"/>
            </a:ln>
          </c:spPr>
          <c:marker>
            <c:symbol val="none"/>
          </c:marker>
          <c:xVal>
            <c:numRef>
              <c:f>Distribution!$O$12:$O$114</c:f>
              <c:numCache>
                <c:formatCode>0.000</c:formatCode>
                <c:ptCount val="103"/>
                <c:pt idx="0">
                  <c:v>0</c:v>
                </c:pt>
                <c:pt idx="1">
                  <c:v>0.2</c:v>
                </c:pt>
                <c:pt idx="2">
                  <c:v>0.4</c:v>
                </c:pt>
                <c:pt idx="3">
                  <c:v>0.60000000000000009</c:v>
                </c:pt>
                <c:pt idx="4">
                  <c:v>0.8</c:v>
                </c:pt>
                <c:pt idx="5">
                  <c:v>1</c:v>
                </c:pt>
                <c:pt idx="6">
                  <c:v>1.2</c:v>
                </c:pt>
                <c:pt idx="7">
                  <c:v>1.4</c:v>
                </c:pt>
                <c:pt idx="8">
                  <c:v>1.5999999999999999</c:v>
                </c:pt>
                <c:pt idx="9">
                  <c:v>1.7999999999999998</c:v>
                </c:pt>
                <c:pt idx="10">
                  <c:v>1.9999999999999998</c:v>
                </c:pt>
                <c:pt idx="11">
                  <c:v>2.1999999999999997</c:v>
                </c:pt>
                <c:pt idx="12">
                  <c:v>2.4</c:v>
                </c:pt>
                <c:pt idx="13">
                  <c:v>2.6</c:v>
                </c:pt>
                <c:pt idx="14">
                  <c:v>2.8000000000000003</c:v>
                </c:pt>
                <c:pt idx="15">
                  <c:v>3.0000000000000004</c:v>
                </c:pt>
                <c:pt idx="16">
                  <c:v>3.2000000000000006</c:v>
                </c:pt>
                <c:pt idx="17">
                  <c:v>3.4000000000000008</c:v>
                </c:pt>
                <c:pt idx="18">
                  <c:v>3.600000000000001</c:v>
                </c:pt>
                <c:pt idx="19">
                  <c:v>3.8000000000000012</c:v>
                </c:pt>
                <c:pt idx="20">
                  <c:v>4.0000000000000009</c:v>
                </c:pt>
                <c:pt idx="21">
                  <c:v>4.2000000000000011</c:v>
                </c:pt>
                <c:pt idx="22">
                  <c:v>4.4000000000000012</c:v>
                </c:pt>
                <c:pt idx="23">
                  <c:v>4.6000000000000014</c:v>
                </c:pt>
                <c:pt idx="24">
                  <c:v>4.8000000000000016</c:v>
                </c:pt>
                <c:pt idx="25">
                  <c:v>5.0000000000000018</c:v>
                </c:pt>
                <c:pt idx="26">
                  <c:v>5.200000000000002</c:v>
                </c:pt>
                <c:pt idx="27">
                  <c:v>5.4000000000000021</c:v>
                </c:pt>
                <c:pt idx="28">
                  <c:v>5.6000000000000023</c:v>
                </c:pt>
                <c:pt idx="29">
                  <c:v>5.8000000000000025</c:v>
                </c:pt>
                <c:pt idx="30">
                  <c:v>6.0000000000000027</c:v>
                </c:pt>
                <c:pt idx="31">
                  <c:v>6.2000000000000028</c:v>
                </c:pt>
                <c:pt idx="32">
                  <c:v>6.400000000000003</c:v>
                </c:pt>
                <c:pt idx="33">
                  <c:v>6.6000000000000032</c:v>
                </c:pt>
                <c:pt idx="34">
                  <c:v>6.8000000000000034</c:v>
                </c:pt>
                <c:pt idx="35">
                  <c:v>7.0000000000000036</c:v>
                </c:pt>
                <c:pt idx="36">
                  <c:v>7.2000000000000037</c:v>
                </c:pt>
                <c:pt idx="37">
                  <c:v>7.4000000000000039</c:v>
                </c:pt>
                <c:pt idx="38">
                  <c:v>7.6000000000000041</c:v>
                </c:pt>
                <c:pt idx="39">
                  <c:v>7.8000000000000043</c:v>
                </c:pt>
                <c:pt idx="40">
                  <c:v>8.0000000000000036</c:v>
                </c:pt>
                <c:pt idx="41">
                  <c:v>8.2000000000000028</c:v>
                </c:pt>
                <c:pt idx="42">
                  <c:v>8.4000000000000021</c:v>
                </c:pt>
                <c:pt idx="43">
                  <c:v>8.6000000000000014</c:v>
                </c:pt>
                <c:pt idx="44">
                  <c:v>8.8000000000000007</c:v>
                </c:pt>
                <c:pt idx="45">
                  <c:v>9</c:v>
                </c:pt>
                <c:pt idx="46">
                  <c:v>9.1999999999999993</c:v>
                </c:pt>
                <c:pt idx="47">
                  <c:v>9.3999999999999986</c:v>
                </c:pt>
                <c:pt idx="48">
                  <c:v>9.5999999999999979</c:v>
                </c:pt>
                <c:pt idx="49">
                  <c:v>9.7999999999999972</c:v>
                </c:pt>
                <c:pt idx="50">
                  <c:v>9.9999999999999964</c:v>
                </c:pt>
                <c:pt idx="51">
                  <c:v>10.199999999999996</c:v>
                </c:pt>
                <c:pt idx="52">
                  <c:v>10.399999999999995</c:v>
                </c:pt>
                <c:pt idx="53">
                  <c:v>10.599999999999994</c:v>
                </c:pt>
                <c:pt idx="54">
                  <c:v>10.799999999999994</c:v>
                </c:pt>
                <c:pt idx="55">
                  <c:v>10.999999999999993</c:v>
                </c:pt>
                <c:pt idx="56">
                  <c:v>11.199999999999992</c:v>
                </c:pt>
                <c:pt idx="57">
                  <c:v>11.399999999999991</c:v>
                </c:pt>
                <c:pt idx="58">
                  <c:v>11.599999999999991</c:v>
                </c:pt>
                <c:pt idx="59">
                  <c:v>11.79999999999999</c:v>
                </c:pt>
                <c:pt idx="60">
                  <c:v>11.999999999999989</c:v>
                </c:pt>
                <c:pt idx="61">
                  <c:v>12.199999999999989</c:v>
                </c:pt>
                <c:pt idx="62">
                  <c:v>12.399999999999988</c:v>
                </c:pt>
                <c:pt idx="63">
                  <c:v>12.599999999999987</c:v>
                </c:pt>
                <c:pt idx="64">
                  <c:v>12.799999999999986</c:v>
                </c:pt>
                <c:pt idx="65">
                  <c:v>12.999999999999986</c:v>
                </c:pt>
                <c:pt idx="66">
                  <c:v>13.199999999999985</c:v>
                </c:pt>
                <c:pt idx="67">
                  <c:v>13.399999999999984</c:v>
                </c:pt>
                <c:pt idx="68">
                  <c:v>13.599999999999984</c:v>
                </c:pt>
                <c:pt idx="69">
                  <c:v>13.799999999999983</c:v>
                </c:pt>
                <c:pt idx="70">
                  <c:v>13.999999999999982</c:v>
                </c:pt>
              </c:numCache>
            </c:numRef>
          </c:xVal>
          <c:yVal>
            <c:numRef>
              <c:f>Distribution!$P$12:$P$114</c:f>
              <c:numCache>
                <c:formatCode>0.000</c:formatCode>
                <c:ptCount val="103"/>
                <c:pt idx="0">
                  <c:v>2.9904030814101192</c:v>
                </c:pt>
                <c:pt idx="1">
                  <c:v>2.9848748065382376</c:v>
                </c:pt>
                <c:pt idx="2">
                  <c:v>2.9762383867971742</c:v>
                </c:pt>
                <c:pt idx="3">
                  <c:v>2.9628565828427957</c:v>
                </c:pt>
                <c:pt idx="4">
                  <c:v>2.9423833259381014</c:v>
                </c:pt>
                <c:pt idx="5">
                  <c:v>2.9116606212324565</c:v>
                </c:pt>
                <c:pt idx="6">
                  <c:v>2.8668699732820788</c:v>
                </c:pt>
                <c:pt idx="7">
                  <c:v>2.8042453232177817</c:v>
                </c:pt>
                <c:pt idx="8">
                  <c:v>2.7216214725716306</c:v>
                </c:pt>
                <c:pt idx="9">
                  <c:v>2.6205752893536549</c:v>
                </c:pt>
                <c:pt idx="10">
                  <c:v>2.5078625008491104</c:v>
                </c:pt>
                <c:pt idx="11">
                  <c:v>2.3943396961374055</c:v>
                </c:pt>
                <c:pt idx="12">
                  <c:v>2.2911692447219174</c:v>
                </c:pt>
                <c:pt idx="13">
                  <c:v>2.2058010662864009</c:v>
                </c:pt>
                <c:pt idx="14">
                  <c:v>2.1404705795938317</c:v>
                </c:pt>
                <c:pt idx="15">
                  <c:v>2.0933876497116342</c:v>
                </c:pt>
                <c:pt idx="16">
                  <c:v>2.0608816653317112</c:v>
                </c:pt>
                <c:pt idx="17">
                  <c:v>2.0390624038956275</c:v>
                </c:pt>
                <c:pt idx="18">
                  <c:v>2.0246317632949862</c:v>
                </c:pt>
                <c:pt idx="19">
                  <c:v>2.0150850077366527</c:v>
                </c:pt>
                <c:pt idx="20">
                  <c:v>2.008617887036531</c:v>
                </c:pt>
                <c:pt idx="21">
                  <c:v>2.003940947844145</c:v>
                </c:pt>
                <c:pt idx="22">
                  <c:v>2.0000902089411978</c:v>
                </c:pt>
                <c:pt idx="23">
                  <c:v>1.996258437390193</c:v>
                </c:pt>
                <c:pt idx="24">
                  <c:v>1.9916420471138339</c:v>
                </c:pt>
                <c:pt idx="25">
                  <c:v>1.9852884028818854</c:v>
                </c:pt>
                <c:pt idx="26">
                  <c:v>1.9759281057245239</c:v>
                </c:pt>
                <c:pt idx="27">
                  <c:v>1.9617864520174519</c:v>
                </c:pt>
                <c:pt idx="28">
                  <c:v>1.9403962096175249</c:v>
                </c:pt>
                <c:pt idx="29">
                  <c:v>1.908496630216685</c:v>
                </c:pt>
                <c:pt idx="30">
                  <c:v>1.862213708144731</c:v>
                </c:pt>
                <c:pt idx="31">
                  <c:v>1.7978345155889783</c:v>
                </c:pt>
                <c:pt idx="32">
                  <c:v>1.7134275971245549</c:v>
                </c:pt>
                <c:pt idx="33">
                  <c:v>1.6109890343481337</c:v>
                </c:pt>
                <c:pt idx="34">
                  <c:v>1.4977232711550779</c:v>
                </c:pt>
                <c:pt idx="35">
                  <c:v>1.3846916337500561</c:v>
                </c:pt>
                <c:pt idx="36">
                  <c:v>1.2828668475747922</c:v>
                </c:pt>
                <c:pt idx="37">
                  <c:v>1.1992521678102512</c:v>
                </c:pt>
                <c:pt idx="38">
                  <c:v>1.135652640101614</c:v>
                </c:pt>
                <c:pt idx="39">
                  <c:v>1.0900275611270687</c:v>
                </c:pt>
                <c:pt idx="40">
                  <c:v>1.0586352315950041</c:v>
                </c:pt>
                <c:pt idx="41">
                  <c:v>1.0376205341301283</c:v>
                </c:pt>
                <c:pt idx="42">
                  <c:v>1.0237602664100949</c:v>
                </c:pt>
                <c:pt idx="43">
                  <c:v>1.0146283338641378</c:v>
                </c:pt>
                <c:pt idx="44">
                  <c:v>1.0084907676125705</c:v>
                </c:pt>
                <c:pt idx="45">
                  <c:v>1.0041209106735629</c:v>
                </c:pt>
                <c:pt idx="46">
                  <c:v>1.0006169400407323</c:v>
                </c:pt>
                <c:pt idx="47">
                  <c:v>0.99724305047729522</c:v>
                </c:pt>
                <c:pt idx="48">
                  <c:v>0.9932887708011362</c:v>
                </c:pt>
                <c:pt idx="49">
                  <c:v>0.98793139051862922</c:v>
                </c:pt>
                <c:pt idx="50">
                  <c:v>0.98008529381939424</c:v>
                </c:pt>
                <c:pt idx="51">
                  <c:v>0.96822777402511395</c:v>
                </c:pt>
                <c:pt idx="52">
                  <c:v>0.9502097093847004</c:v>
                </c:pt>
                <c:pt idx="53">
                  <c:v>0.9231054456310126</c:v>
                </c:pt>
                <c:pt idx="54">
                  <c:v>0.88324673349124883</c:v>
                </c:pt>
                <c:pt idx="55">
                  <c:v>0.82671187351649589</c:v>
                </c:pt>
                <c:pt idx="56">
                  <c:v>0.75058933786422211</c:v>
                </c:pt>
                <c:pt idx="57">
                  <c:v>0.65501118492248345</c:v>
                </c:pt>
                <c:pt idx="58">
                  <c:v>0.54502184825642153</c:v>
                </c:pt>
                <c:pt idx="59">
                  <c:v>0.43046273670172036</c:v>
                </c:pt>
                <c:pt idx="60">
                  <c:v>0.32289650275142801</c:v>
                </c:pt>
                <c:pt idx="61">
                  <c:v>0.23129457512293086</c:v>
                </c:pt>
                <c:pt idx="62">
                  <c:v>0.15955586626205964</c:v>
                </c:pt>
                <c:pt idx="63">
                  <c:v>0.10697155235821348</c:v>
                </c:pt>
                <c:pt idx="64">
                  <c:v>7.0268396889673651E-2</c:v>
                </c:pt>
                <c:pt idx="65">
                  <c:v>4.5516668110102597E-2</c:v>
                </c:pt>
                <c:pt idx="66">
                  <c:v>2.9209715560485648E-2</c:v>
                </c:pt>
                <c:pt idx="67">
                  <c:v>1.8630913540646069E-2</c:v>
                </c:pt>
                <c:pt idx="68">
                  <c:v>1.1836693960120565E-2</c:v>
                </c:pt>
                <c:pt idx="69">
                  <c:v>7.5012152667526507E-3</c:v>
                </c:pt>
                <c:pt idx="70">
                  <c:v>4.7460849554561814E-3</c:v>
                </c:pt>
              </c:numCache>
            </c:numRef>
          </c:yVal>
          <c:smooth val="1"/>
          <c:extLst>
            <c:ext xmlns:c16="http://schemas.microsoft.com/office/drawing/2014/chart" uri="{C3380CC4-5D6E-409C-BE32-E72D297353CC}">
              <c16:uniqueId val="{00000000-C89C-4E66-B746-5778833C1B41}"/>
            </c:ext>
          </c:extLst>
        </c:ser>
        <c:dLbls>
          <c:showLegendKey val="0"/>
          <c:showVal val="0"/>
          <c:showCatName val="0"/>
          <c:showSerName val="0"/>
          <c:showPercent val="0"/>
          <c:showBubbleSize val="0"/>
        </c:dLbls>
        <c:axId val="277061024"/>
        <c:axId val="277059392"/>
      </c:scatterChart>
      <c:valAx>
        <c:axId val="277061024"/>
        <c:scaling>
          <c:orientation val="minMax"/>
          <c:max val="14"/>
          <c:min val="0"/>
        </c:scaling>
        <c:delete val="0"/>
        <c:axPos val="b"/>
        <c:majorGridlines/>
        <c:title>
          <c:tx>
            <c:rich>
              <a:bodyPr/>
              <a:lstStyle/>
              <a:p>
                <a:pPr>
                  <a:defRPr sz="1200" b="1" i="0" u="none" strike="noStrike" baseline="0">
                    <a:solidFill>
                      <a:srgbClr val="000000"/>
                    </a:solidFill>
                    <a:latin typeface="Arial"/>
                    <a:ea typeface="Arial"/>
                    <a:cs typeface="Arial"/>
                  </a:defRPr>
                </a:pPr>
                <a:r>
                  <a:rPr lang="pt-BR"/>
                  <a:t>pH</a:t>
                </a:r>
              </a:p>
            </c:rich>
          </c:tx>
          <c:layout>
            <c:manualLayout>
              <c:xMode val="edge"/>
              <c:yMode val="edge"/>
              <c:x val="0.48757991525569927"/>
              <c:y val="0.92938454644389934"/>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nl-NL"/>
          </a:p>
        </c:txPr>
        <c:crossAx val="277059392"/>
        <c:crosses val="autoZero"/>
        <c:crossBetween val="midCat"/>
        <c:majorUnit val="1"/>
        <c:minorUnit val="1"/>
      </c:valAx>
      <c:valAx>
        <c:axId val="277059392"/>
        <c:scaling>
          <c:orientation val="minMax"/>
        </c:scaling>
        <c:delete val="0"/>
        <c:axPos val="l"/>
        <c:majorGridlines>
          <c:spPr>
            <a:ln w="3175">
              <a:solidFill>
                <a:srgbClr val="000000"/>
              </a:solidFill>
              <a:prstDash val="solid"/>
            </a:ln>
          </c:spPr>
        </c:majorGridlines>
        <c:title>
          <c:tx>
            <c:rich>
              <a:bodyPr/>
              <a:lstStyle/>
              <a:p>
                <a:pPr>
                  <a:defRPr sz="1075" b="1" i="0" u="none" strike="noStrike" baseline="0">
                    <a:solidFill>
                      <a:srgbClr val="000000"/>
                    </a:solidFill>
                    <a:latin typeface="Arial"/>
                    <a:ea typeface="Arial"/>
                    <a:cs typeface="Arial"/>
                  </a:defRPr>
                </a:pPr>
                <a:r>
                  <a:rPr lang="pt-BR"/>
                  <a:t>average protonation</a:t>
                </a:r>
              </a:p>
            </c:rich>
          </c:tx>
          <c:layout>
            <c:manualLayout>
              <c:xMode val="edge"/>
              <c:yMode val="edge"/>
              <c:x val="7.2358602233545807E-3"/>
              <c:y val="0.37652851930095393"/>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nl-NL"/>
          </a:p>
        </c:txPr>
        <c:crossAx val="277061024"/>
        <c:crosses val="autoZero"/>
        <c:crossBetween val="midCat"/>
      </c:valAx>
      <c:spPr>
        <a:noFill/>
        <a:ln w="12700">
          <a:solidFill>
            <a:schemeClr val="tx1"/>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0.98425196899999956" l="0.78740157499999996" r="0.78740157499999996" t="0.98425196899999956" header="0.49212598500001165" footer="0.49212598500001165"/>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pt-BR" sz="1200"/>
              <a:t>Distribution of HiB species along a titration</a:t>
            </a:r>
          </a:p>
        </c:rich>
      </c:tx>
      <c:layout>
        <c:manualLayout>
          <c:xMode val="edge"/>
          <c:yMode val="edge"/>
          <c:x val="0.10082050977955882"/>
          <c:y val="1.2722650506383043E-2"/>
        </c:manualLayout>
      </c:layout>
      <c:overlay val="0"/>
      <c:spPr>
        <a:noFill/>
        <a:ln w="25400">
          <a:noFill/>
        </a:ln>
      </c:spPr>
    </c:title>
    <c:autoTitleDeleted val="0"/>
    <c:plotArea>
      <c:layout>
        <c:manualLayout>
          <c:layoutTarget val="inner"/>
          <c:xMode val="edge"/>
          <c:yMode val="edge"/>
          <c:x val="0.1040312754181065"/>
          <c:y val="9.2891767572868753E-2"/>
          <c:w val="0.84525411277208684"/>
          <c:h val="0.75698308342056364"/>
        </c:manualLayout>
      </c:layout>
      <c:scatterChart>
        <c:scatterStyle val="smoothMarker"/>
        <c:varyColors val="0"/>
        <c:ser>
          <c:idx val="1"/>
          <c:order val="0"/>
          <c:tx>
            <c:v>alfa 0</c:v>
          </c:tx>
          <c:spPr>
            <a:ln w="25400">
              <a:solidFill>
                <a:srgbClr val="FF0000"/>
              </a:solidFill>
              <a:prstDash val="solid"/>
            </a:ln>
          </c:spPr>
          <c:marker>
            <c:symbol val="square"/>
            <c:size val="3"/>
            <c:spPr>
              <a:noFill/>
              <a:ln>
                <a:solidFill>
                  <a:srgbClr val="000000"/>
                </a:solidFill>
                <a:prstDash val="solid"/>
              </a:ln>
            </c:spPr>
          </c:marker>
          <c:xVal>
            <c:numRef>
              <c:f>Distribution!$Y$12:$Y$114</c:f>
              <c:numCache>
                <c:formatCode>0.000</c:formatCode>
                <c:ptCount val="103"/>
                <c:pt idx="0">
                  <c:v>0</c:v>
                </c:pt>
                <c:pt idx="1">
                  <c:v>2.3004448812571354</c:v>
                </c:pt>
                <c:pt idx="2">
                  <c:v>4.3254298929241486</c:v>
                </c:pt>
                <c:pt idx="3">
                  <c:v>5.9982889695675112</c:v>
                </c:pt>
                <c:pt idx="4">
                  <c:v>7.2857926934375428</c:v>
                </c:pt>
                <c:pt idx="5">
                  <c:v>8.2150732792797498</c:v>
                </c:pt>
                <c:pt idx="6">
                  <c:v>8.852646873856429</c:v>
                </c:pt>
                <c:pt idx="7">
                  <c:v>9.2745251997257583</c:v>
                </c:pt>
                <c:pt idx="8">
                  <c:v>9.5472193221212365</c:v>
                </c:pt>
                <c:pt idx="9">
                  <c:v>9.7213898246991448</c:v>
                </c:pt>
                <c:pt idx="10">
                  <c:v>9.8327682426315732</c:v>
                </c:pt>
                <c:pt idx="11">
                  <c:v>9.9056407503667288</c:v>
                </c:pt>
                <c:pt idx="12">
                  <c:v>9.956512633652892</c:v>
                </c:pt>
                <c:pt idx="13">
                  <c:v>9.9971799951163121</c:v>
                </c:pt>
                <c:pt idx="14">
                  <c:v>10.037190483126324</c:v>
                </c:pt>
                <c:pt idx="15">
                  <c:v>10.085949620406609</c:v>
                </c:pt>
                <c:pt idx="16">
                  <c:v>10.154803957266267</c:v>
                </c:pt>
                <c:pt idx="17">
                  <c:v>10.259427917480934</c:v>
                </c:pt>
                <c:pt idx="18">
                  <c:v>10.422738817578647</c:v>
                </c:pt>
                <c:pt idx="19">
                  <c:v>10.678157336951699</c:v>
                </c:pt>
                <c:pt idx="20">
                  <c:v>11.071775054733735</c:v>
                </c:pt>
                <c:pt idx="21">
                  <c:v>11.659035268530715</c:v>
                </c:pt>
                <c:pt idx="22">
                  <c:v>12.487507292826194</c:v>
                </c:pt>
                <c:pt idx="23">
                  <c:v>13.560292513284367</c:v>
                </c:pt>
                <c:pt idx="24">
                  <c:v>14.799194350780454</c:v>
                </c:pt>
                <c:pt idx="25">
                  <c:v>16.054576211899985</c:v>
                </c:pt>
                <c:pt idx="26">
                  <c:v>17.173922529036645</c:v>
                </c:pt>
                <c:pt idx="27">
                  <c:v>18.068469061108772</c:v>
                </c:pt>
                <c:pt idx="28">
                  <c:v>18.725484058086295</c:v>
                </c:pt>
                <c:pt idx="29">
                  <c:v>19.179874857945833</c:v>
                </c:pt>
                <c:pt idx="30">
                  <c:v>19.48181740444852</c:v>
                </c:pt>
                <c:pt idx="31">
                  <c:v>19.677734184369911</c:v>
                </c:pt>
                <c:pt idx="32">
                  <c:v>19.803712518478278</c:v>
                </c:pt>
                <c:pt idx="33">
                  <c:v>19.885540132236201</c:v>
                </c:pt>
                <c:pt idx="34">
                  <c:v>19.941073826339561</c:v>
                </c:pt>
                <c:pt idx="35">
                  <c:v>19.982924718351569</c:v>
                </c:pt>
                <c:pt idx="36">
                  <c:v>20.020832466252614</c:v>
                </c:pt>
                <c:pt idx="37">
                  <c:v>20.063731157279108</c:v>
                </c:pt>
                <c:pt idx="38">
                  <c:v>20.121755062427837</c:v>
                </c:pt>
                <c:pt idx="39">
                  <c:v>20.208536063728388</c:v>
                </c:pt>
                <c:pt idx="40">
                  <c:v>20.344214436772745</c:v>
                </c:pt>
                <c:pt idx="41">
                  <c:v>20.55962798622204</c:v>
                </c:pt>
                <c:pt idx="42">
                  <c:v>20.902049214055296</c:v>
                </c:pt>
                <c:pt idx="43">
                  <c:v>21.442285725788679</c:v>
                </c:pt>
                <c:pt idx="44">
                  <c:v>22.281442677194718</c:v>
                </c:pt>
                <c:pt idx="45">
                  <c:v>23.553723619261291</c:v>
                </c:pt>
                <c:pt idx="46">
                  <c:v>25.425947584153619</c:v>
                </c:pt>
                <c:pt idx="47">
                  <c:v>28.122492051625159</c:v>
                </c:pt>
                <c:pt idx="48">
                  <c:v>32.065280988172162</c:v>
                </c:pt>
                <c:pt idx="49">
                  <c:v>38.31748273660196</c:v>
                </c:pt>
                <c:pt idx="50">
                  <c:v>49.999999998544808</c:v>
                </c:pt>
              </c:numCache>
            </c:numRef>
          </c:xVal>
          <c:yVal>
            <c:numRef>
              <c:f>Distribution!$AB$12:$AB$114</c:f>
              <c:numCache>
                <c:formatCode>0.000</c:formatCode>
                <c:ptCount val="103"/>
                <c:pt idx="0">
                  <c:v>5.6159816814899737E-16</c:v>
                </c:pt>
                <c:pt idx="1">
                  <c:v>1.98475113907249E-15</c:v>
                </c:pt>
                <c:pt idx="2">
                  <c:v>6.5713966691194759E-15</c:v>
                </c:pt>
                <c:pt idx="3">
                  <c:v>2.0467983376829496E-14</c:v>
                </c:pt>
                <c:pt idx="4">
                  <c:v>6.0589586855119058E-14</c:v>
                </c:pt>
                <c:pt idx="5">
                  <c:v>1.7256827716568964E-13</c:v>
                </c:pt>
                <c:pt idx="6">
                  <c:v>4.7825106508971218E-13</c:v>
                </c:pt>
                <c:pt idx="7">
                  <c:v>1.3011828114673164E-12</c:v>
                </c:pt>
                <c:pt idx="8">
                  <c:v>3.497631158045969E-12</c:v>
                </c:pt>
                <c:pt idx="9">
                  <c:v>9.3288722063737369E-12</c:v>
                </c:pt>
                <c:pt idx="10">
                  <c:v>2.4757520557504773E-11</c:v>
                </c:pt>
                <c:pt idx="11">
                  <c:v>6.5486080498795348E-11</c:v>
                </c:pt>
                <c:pt idx="12">
                  <c:v>1.7281250659819446E-10</c:v>
                </c:pt>
                <c:pt idx="13">
                  <c:v>4.5516887120333683E-10</c:v>
                </c:pt>
                <c:pt idx="14">
                  <c:v>1.1965600882484132E-9</c:v>
                </c:pt>
                <c:pt idx="15">
                  <c:v>3.1380458866878923E-9</c:v>
                </c:pt>
                <c:pt idx="16">
                  <c:v>8.2017471553174256E-9</c:v>
                </c:pt>
                <c:pt idx="17">
                  <c:v>2.1325779702365025E-8</c:v>
                </c:pt>
                <c:pt idx="18">
                  <c:v>5.5005398479131462E-8</c:v>
                </c:pt>
                <c:pt idx="19">
                  <c:v>1.4011071420006007E-7</c:v>
                </c:pt>
                <c:pt idx="20">
                  <c:v>3.50138884725792E-7</c:v>
                </c:pt>
                <c:pt idx="21">
                  <c:v>8.5066652356466898E-7</c:v>
                </c:pt>
                <c:pt idx="22">
                  <c:v>1.9867770108898077E-6</c:v>
                </c:pt>
                <c:pt idx="23">
                  <c:v>4.4100686946713258E-6</c:v>
                </c:pt>
                <c:pt idx="24">
                  <c:v>9.2290768443755326E-6</c:v>
                </c:pt>
                <c:pt idx="25">
                  <c:v>1.818608846681325E-5</c:v>
                </c:pt>
                <c:pt idx="26">
                  <c:v>3.3945167735827202E-5</c:v>
                </c:pt>
                <c:pt idx="27">
                  <c:v>6.0647190950524324E-5</c:v>
                </c:pt>
                <c:pt idx="28">
                  <c:v>1.048973913078582E-4</c:v>
                </c:pt>
                <c:pt idx="29">
                  <c:v>1.7738588714674849E-4</c:v>
                </c:pt>
                <c:pt idx="30">
                  <c:v>2.9548361825373806E-4</c:v>
                </c:pt>
                <c:pt idx="31">
                  <c:v>4.8741037087566755E-4</c:v>
                </c:pt>
                <c:pt idx="32">
                  <c:v>7.9895510728205331E-4</c:v>
                </c:pt>
                <c:pt idx="33">
                  <c:v>1.304316128477666E-3</c:v>
                </c:pt>
                <c:pt idx="34">
                  <c:v>2.1235395929480078E-3</c:v>
                </c:pt>
                <c:pt idx="35">
                  <c:v>3.4504199136122732E-3</c:v>
                </c:pt>
                <c:pt idx="36">
                  <c:v>5.5967295712693729E-3</c:v>
                </c:pt>
                <c:pt idx="37">
                  <c:v>9.0612697157870393E-3</c:v>
                </c:pt>
                <c:pt idx="38">
                  <c:v>1.4634909706761921E-2</c:v>
                </c:pt>
                <c:pt idx="39">
                  <c:v>2.3553278780268305E-2</c:v>
                </c:pt>
                <c:pt idx="40">
                  <c:v>3.77007100777026E-2</c:v>
                </c:pt>
                <c:pt idx="41">
                  <c:v>5.9837480380462445E-2</c:v>
                </c:pt>
                <c:pt idx="42">
                  <c:v>9.3739974801512915E-2</c:v>
                </c:pt>
                <c:pt idx="43">
                  <c:v>0.14398275544777889</c:v>
                </c:pt>
                <c:pt idx="44">
                  <c:v>0.21489986608505141</c:v>
                </c:pt>
                <c:pt idx="45">
                  <c:v>0.3083407955882988</c:v>
                </c:pt>
                <c:pt idx="46">
                  <c:v>0.42078175127329487</c:v>
                </c:pt>
                <c:pt idx="47">
                  <c:v>0.5421017382636043</c:v>
                </c:pt>
                <c:pt idx="48">
                  <c:v>0.658492120562156</c:v>
                </c:pt>
                <c:pt idx="49">
                  <c:v>0.75827510754583338</c:v>
                </c:pt>
                <c:pt idx="50">
                  <c:v>0.83596174386176481</c:v>
                </c:pt>
              </c:numCache>
            </c:numRef>
          </c:yVal>
          <c:smooth val="1"/>
          <c:extLst>
            <c:ext xmlns:c16="http://schemas.microsoft.com/office/drawing/2014/chart" uri="{C3380CC4-5D6E-409C-BE32-E72D297353CC}">
              <c16:uniqueId val="{00000000-0319-4762-9CCB-AF1015638FB7}"/>
            </c:ext>
          </c:extLst>
        </c:ser>
        <c:ser>
          <c:idx val="0"/>
          <c:order val="1"/>
          <c:tx>
            <c:v>alfa 1</c:v>
          </c:tx>
          <c:spPr>
            <a:ln w="25400">
              <a:solidFill>
                <a:srgbClr val="000000"/>
              </a:solidFill>
              <a:prstDash val="solid"/>
            </a:ln>
          </c:spPr>
          <c:marker>
            <c:symbol val="square"/>
            <c:size val="3"/>
            <c:spPr>
              <a:noFill/>
              <a:ln>
                <a:solidFill>
                  <a:srgbClr val="000000"/>
                </a:solidFill>
                <a:prstDash val="solid"/>
              </a:ln>
            </c:spPr>
          </c:marker>
          <c:xVal>
            <c:numRef>
              <c:f>Distribution!$Y$12:$Y$114</c:f>
              <c:numCache>
                <c:formatCode>0.000</c:formatCode>
                <c:ptCount val="103"/>
                <c:pt idx="0">
                  <c:v>0</c:v>
                </c:pt>
                <c:pt idx="1">
                  <c:v>2.3004448812571354</c:v>
                </c:pt>
                <c:pt idx="2">
                  <c:v>4.3254298929241486</c:v>
                </c:pt>
                <c:pt idx="3">
                  <c:v>5.9982889695675112</c:v>
                </c:pt>
                <c:pt idx="4">
                  <c:v>7.2857926934375428</c:v>
                </c:pt>
                <c:pt idx="5">
                  <c:v>8.2150732792797498</c:v>
                </c:pt>
                <c:pt idx="6">
                  <c:v>8.852646873856429</c:v>
                </c:pt>
                <c:pt idx="7">
                  <c:v>9.2745251997257583</c:v>
                </c:pt>
                <c:pt idx="8">
                  <c:v>9.5472193221212365</c:v>
                </c:pt>
                <c:pt idx="9">
                  <c:v>9.7213898246991448</c:v>
                </c:pt>
                <c:pt idx="10">
                  <c:v>9.8327682426315732</c:v>
                </c:pt>
                <c:pt idx="11">
                  <c:v>9.9056407503667288</c:v>
                </c:pt>
                <c:pt idx="12">
                  <c:v>9.956512633652892</c:v>
                </c:pt>
                <c:pt idx="13">
                  <c:v>9.9971799951163121</c:v>
                </c:pt>
                <c:pt idx="14">
                  <c:v>10.037190483126324</c:v>
                </c:pt>
                <c:pt idx="15">
                  <c:v>10.085949620406609</c:v>
                </c:pt>
                <c:pt idx="16">
                  <c:v>10.154803957266267</c:v>
                </c:pt>
                <c:pt idx="17">
                  <c:v>10.259427917480934</c:v>
                </c:pt>
                <c:pt idx="18">
                  <c:v>10.422738817578647</c:v>
                </c:pt>
                <c:pt idx="19">
                  <c:v>10.678157336951699</c:v>
                </c:pt>
                <c:pt idx="20">
                  <c:v>11.071775054733735</c:v>
                </c:pt>
                <c:pt idx="21">
                  <c:v>11.659035268530715</c:v>
                </c:pt>
                <c:pt idx="22">
                  <c:v>12.487507292826194</c:v>
                </c:pt>
                <c:pt idx="23">
                  <c:v>13.560292513284367</c:v>
                </c:pt>
                <c:pt idx="24">
                  <c:v>14.799194350780454</c:v>
                </c:pt>
                <c:pt idx="25">
                  <c:v>16.054576211899985</c:v>
                </c:pt>
                <c:pt idx="26">
                  <c:v>17.173922529036645</c:v>
                </c:pt>
                <c:pt idx="27">
                  <c:v>18.068469061108772</c:v>
                </c:pt>
                <c:pt idx="28">
                  <c:v>18.725484058086295</c:v>
                </c:pt>
                <c:pt idx="29">
                  <c:v>19.179874857945833</c:v>
                </c:pt>
                <c:pt idx="30">
                  <c:v>19.48181740444852</c:v>
                </c:pt>
                <c:pt idx="31">
                  <c:v>19.677734184369911</c:v>
                </c:pt>
                <c:pt idx="32">
                  <c:v>19.803712518478278</c:v>
                </c:pt>
                <c:pt idx="33">
                  <c:v>19.885540132236201</c:v>
                </c:pt>
                <c:pt idx="34">
                  <c:v>19.941073826339561</c:v>
                </c:pt>
                <c:pt idx="35">
                  <c:v>19.982924718351569</c:v>
                </c:pt>
                <c:pt idx="36">
                  <c:v>20.020832466252614</c:v>
                </c:pt>
                <c:pt idx="37">
                  <c:v>20.063731157279108</c:v>
                </c:pt>
                <c:pt idx="38">
                  <c:v>20.121755062427837</c:v>
                </c:pt>
                <c:pt idx="39">
                  <c:v>20.208536063728388</c:v>
                </c:pt>
                <c:pt idx="40">
                  <c:v>20.344214436772745</c:v>
                </c:pt>
                <c:pt idx="41">
                  <c:v>20.55962798622204</c:v>
                </c:pt>
                <c:pt idx="42">
                  <c:v>20.902049214055296</c:v>
                </c:pt>
                <c:pt idx="43">
                  <c:v>21.442285725788679</c:v>
                </c:pt>
                <c:pt idx="44">
                  <c:v>22.281442677194718</c:v>
                </c:pt>
                <c:pt idx="45">
                  <c:v>23.553723619261291</c:v>
                </c:pt>
                <c:pt idx="46">
                  <c:v>25.425947584153619</c:v>
                </c:pt>
                <c:pt idx="47">
                  <c:v>28.122492051625159</c:v>
                </c:pt>
                <c:pt idx="48">
                  <c:v>32.065280988172162</c:v>
                </c:pt>
                <c:pt idx="49">
                  <c:v>38.31748273660196</c:v>
                </c:pt>
                <c:pt idx="50">
                  <c:v>49.999999998544808</c:v>
                </c:pt>
              </c:numCache>
            </c:numRef>
          </c:xVal>
          <c:yVal>
            <c:numRef>
              <c:f>Distribution!$AC$12:$AC$114</c:f>
              <c:numCache>
                <c:formatCode>0.000</c:formatCode>
                <c:ptCount val="103"/>
                <c:pt idx="0">
                  <c:v>4.0805618151405927E-6</c:v>
                </c:pt>
                <c:pt idx="1">
                  <c:v>8.7914350388243287E-6</c:v>
                </c:pt>
                <c:pt idx="2">
                  <c:v>1.7779503241684127E-5</c:v>
                </c:pt>
                <c:pt idx="3">
                  <c:v>3.3899467233674733E-5</c:v>
                </c:pt>
                <c:pt idx="4">
                  <c:v>6.1548213691933439E-5</c:v>
                </c:pt>
                <c:pt idx="5">
                  <c:v>1.0767937990459786E-4</c:v>
                </c:pt>
                <c:pt idx="6">
                  <c:v>1.8350456078502144E-4</c:v>
                </c:pt>
                <c:pt idx="7">
                  <c:v>3.0722828521512229E-4</c:v>
                </c:pt>
                <c:pt idx="8">
                  <c:v>5.0842984811543326E-4</c:v>
                </c:pt>
                <c:pt idx="9">
                  <c:v>8.3511619349201018E-4</c:v>
                </c:pt>
                <c:pt idx="10">
                  <c:v>1.3650905995211621E-3</c:v>
                </c:pt>
                <c:pt idx="11">
                  <c:v>2.2242367131681761E-3</c:v>
                </c:pt>
                <c:pt idx="12">
                  <c:v>3.6157658811562065E-3</c:v>
                </c:pt>
                <c:pt idx="13">
                  <c:v>5.8665677308931755E-3</c:v>
                </c:pt>
                <c:pt idx="14">
                  <c:v>9.4995307272474853E-3</c:v>
                </c:pt>
                <c:pt idx="15">
                  <c:v>1.5343438448308065E-2</c:v>
                </c:pt>
                <c:pt idx="16">
                  <c:v>2.4692375672517825E-2</c:v>
                </c:pt>
                <c:pt idx="17">
                  <c:v>3.9517586474782131E-2</c:v>
                </c:pt>
                <c:pt idx="18">
                  <c:v>6.2700162613408619E-2</c:v>
                </c:pt>
                <c:pt idx="19">
                  <c:v>9.8162835434375664E-2</c:v>
                </c:pt>
                <c:pt idx="20">
                  <c:v>0.15060361180535739</c:v>
                </c:pt>
                <c:pt idx="21">
                  <c:v>0.22432932022682273</c:v>
                </c:pt>
                <c:pt idx="22">
                  <c:v>0.32080665124426688</c:v>
                </c:pt>
                <c:pt idx="23">
                  <c:v>0.43567402639711872</c:v>
                </c:pt>
                <c:pt idx="24">
                  <c:v>0.55786531687919105</c:v>
                </c:pt>
                <c:pt idx="25">
                  <c:v>0.67322523917021149</c:v>
                </c:pt>
                <c:pt idx="26">
                  <c:v>0.77060251081517328</c:v>
                </c:pt>
                <c:pt idx="27">
                  <c:v>0.84542204493954298</c:v>
                </c:pt>
                <c:pt idx="28">
                  <c:v>0.89890039113363585</c:v>
                </c:pt>
                <c:pt idx="29">
                  <c:v>0.93518100460599518</c:v>
                </c:pt>
                <c:pt idx="30">
                  <c:v>0.95890479011740626</c:v>
                </c:pt>
                <c:pt idx="31">
                  <c:v>0.97399396126435001</c:v>
                </c:pt>
                <c:pt idx="32">
                  <c:v>0.9833331797194127</c:v>
                </c:pt>
                <c:pt idx="33">
                  <c:v>0.98886617926821629</c:v>
                </c:pt>
                <c:pt idx="34">
                  <c:v>0.99180308719971677</c:v>
                </c:pt>
                <c:pt idx="35">
                  <c:v>0.99280421055948764</c:v>
                </c:pt>
                <c:pt idx="36">
                  <c:v>0.99209751207102714</c:v>
                </c:pt>
                <c:pt idx="37">
                  <c:v>0.98952195426418688</c:v>
                </c:pt>
                <c:pt idx="38">
                  <c:v>0.98449677403994207</c:v>
                </c:pt>
                <c:pt idx="39">
                  <c:v>0.9759165533833335</c:v>
                </c:pt>
                <c:pt idx="40">
                  <c:v>0.96197746502015857</c:v>
                </c:pt>
                <c:pt idx="41">
                  <c:v>0.93996892509388918</c:v>
                </c:pt>
                <c:pt idx="42">
                  <c:v>0.90614518072130856</c:v>
                </c:pt>
                <c:pt idx="43">
                  <c:v>0.85595052913198311</c:v>
                </c:pt>
                <c:pt idx="44">
                  <c:v>0.78506253184671959</c:v>
                </c:pt>
                <c:pt idx="45">
                  <c:v>0.69163886365218774</c:v>
                </c:pt>
                <c:pt idx="46">
                  <c:v>0.57920779547816414</c:v>
                </c:pt>
                <c:pt idx="47">
                  <c:v>0.45789319081419738</c:v>
                </c:pt>
                <c:pt idx="48">
                  <c:v>0.34150555731952492</c:v>
                </c:pt>
                <c:pt idx="49">
                  <c:v>0.24172388215103718</c:v>
                </c:pt>
                <c:pt idx="50">
                  <c:v>0.16403783411046813</c:v>
                </c:pt>
              </c:numCache>
            </c:numRef>
          </c:yVal>
          <c:smooth val="1"/>
          <c:extLst>
            <c:ext xmlns:c16="http://schemas.microsoft.com/office/drawing/2014/chart" uri="{C3380CC4-5D6E-409C-BE32-E72D297353CC}">
              <c16:uniqueId val="{00000001-0319-4762-9CCB-AF1015638FB7}"/>
            </c:ext>
          </c:extLst>
        </c:ser>
        <c:ser>
          <c:idx val="2"/>
          <c:order val="2"/>
          <c:tx>
            <c:v>alfa 2</c:v>
          </c:tx>
          <c:spPr>
            <a:ln w="25400">
              <a:solidFill>
                <a:srgbClr val="008000"/>
              </a:solidFill>
              <a:prstDash val="solid"/>
            </a:ln>
          </c:spPr>
          <c:marker>
            <c:symbol val="square"/>
            <c:size val="3"/>
            <c:spPr>
              <a:noFill/>
              <a:ln>
                <a:solidFill>
                  <a:srgbClr val="000000"/>
                </a:solidFill>
                <a:prstDash val="solid"/>
              </a:ln>
            </c:spPr>
          </c:marker>
          <c:xVal>
            <c:numRef>
              <c:f>Distribution!$Y$12:$Y$114</c:f>
              <c:numCache>
                <c:formatCode>0.000</c:formatCode>
                <c:ptCount val="103"/>
                <c:pt idx="0">
                  <c:v>0</c:v>
                </c:pt>
                <c:pt idx="1">
                  <c:v>2.3004448812571354</c:v>
                </c:pt>
                <c:pt idx="2">
                  <c:v>4.3254298929241486</c:v>
                </c:pt>
                <c:pt idx="3">
                  <c:v>5.9982889695675112</c:v>
                </c:pt>
                <c:pt idx="4">
                  <c:v>7.2857926934375428</c:v>
                </c:pt>
                <c:pt idx="5">
                  <c:v>8.2150732792797498</c:v>
                </c:pt>
                <c:pt idx="6">
                  <c:v>8.852646873856429</c:v>
                </c:pt>
                <c:pt idx="7">
                  <c:v>9.2745251997257583</c:v>
                </c:pt>
                <c:pt idx="8">
                  <c:v>9.5472193221212365</c:v>
                </c:pt>
                <c:pt idx="9">
                  <c:v>9.7213898246991448</c:v>
                </c:pt>
                <c:pt idx="10">
                  <c:v>9.8327682426315732</c:v>
                </c:pt>
                <c:pt idx="11">
                  <c:v>9.9056407503667288</c:v>
                </c:pt>
                <c:pt idx="12">
                  <c:v>9.956512633652892</c:v>
                </c:pt>
                <c:pt idx="13">
                  <c:v>9.9971799951163121</c:v>
                </c:pt>
                <c:pt idx="14">
                  <c:v>10.037190483126324</c:v>
                </c:pt>
                <c:pt idx="15">
                  <c:v>10.085949620406609</c:v>
                </c:pt>
                <c:pt idx="16">
                  <c:v>10.154803957266267</c:v>
                </c:pt>
                <c:pt idx="17">
                  <c:v>10.259427917480934</c:v>
                </c:pt>
                <c:pt idx="18">
                  <c:v>10.422738817578647</c:v>
                </c:pt>
                <c:pt idx="19">
                  <c:v>10.678157336951699</c:v>
                </c:pt>
                <c:pt idx="20">
                  <c:v>11.071775054733735</c:v>
                </c:pt>
                <c:pt idx="21">
                  <c:v>11.659035268530715</c:v>
                </c:pt>
                <c:pt idx="22">
                  <c:v>12.487507292826194</c:v>
                </c:pt>
                <c:pt idx="23">
                  <c:v>13.560292513284367</c:v>
                </c:pt>
                <c:pt idx="24">
                  <c:v>14.799194350780454</c:v>
                </c:pt>
                <c:pt idx="25">
                  <c:v>16.054576211899985</c:v>
                </c:pt>
                <c:pt idx="26">
                  <c:v>17.173922529036645</c:v>
                </c:pt>
                <c:pt idx="27">
                  <c:v>18.068469061108772</c:v>
                </c:pt>
                <c:pt idx="28">
                  <c:v>18.725484058086295</c:v>
                </c:pt>
                <c:pt idx="29">
                  <c:v>19.179874857945833</c:v>
                </c:pt>
                <c:pt idx="30">
                  <c:v>19.48181740444852</c:v>
                </c:pt>
                <c:pt idx="31">
                  <c:v>19.677734184369911</c:v>
                </c:pt>
                <c:pt idx="32">
                  <c:v>19.803712518478278</c:v>
                </c:pt>
                <c:pt idx="33">
                  <c:v>19.885540132236201</c:v>
                </c:pt>
                <c:pt idx="34">
                  <c:v>19.941073826339561</c:v>
                </c:pt>
                <c:pt idx="35">
                  <c:v>19.982924718351569</c:v>
                </c:pt>
                <c:pt idx="36">
                  <c:v>20.020832466252614</c:v>
                </c:pt>
                <c:pt idx="37">
                  <c:v>20.063731157279108</c:v>
                </c:pt>
                <c:pt idx="38">
                  <c:v>20.121755062427837</c:v>
                </c:pt>
                <c:pt idx="39">
                  <c:v>20.208536063728388</c:v>
                </c:pt>
                <c:pt idx="40">
                  <c:v>20.344214436772745</c:v>
                </c:pt>
                <c:pt idx="41">
                  <c:v>20.55962798622204</c:v>
                </c:pt>
                <c:pt idx="42">
                  <c:v>20.902049214055296</c:v>
                </c:pt>
                <c:pt idx="43">
                  <c:v>21.442285725788679</c:v>
                </c:pt>
                <c:pt idx="44">
                  <c:v>22.281442677194718</c:v>
                </c:pt>
                <c:pt idx="45">
                  <c:v>23.553723619261291</c:v>
                </c:pt>
                <c:pt idx="46">
                  <c:v>25.425947584153619</c:v>
                </c:pt>
                <c:pt idx="47">
                  <c:v>28.122492051625159</c:v>
                </c:pt>
                <c:pt idx="48">
                  <c:v>32.065280988172162</c:v>
                </c:pt>
                <c:pt idx="49">
                  <c:v>38.31748273660196</c:v>
                </c:pt>
                <c:pt idx="50">
                  <c:v>49.999999998544808</c:v>
                </c:pt>
              </c:numCache>
            </c:numRef>
          </c:xVal>
          <c:yVal>
            <c:numRef>
              <c:f>Distribution!$AD$12:$AD$114</c:f>
              <c:numCache>
                <c:formatCode>0.000</c:formatCode>
                <c:ptCount val="103"/>
                <c:pt idx="0">
                  <c:v>0.38873497499275006</c:v>
                </c:pt>
                <c:pt idx="1">
                  <c:v>0.51056713897921513</c:v>
                </c:pt>
                <c:pt idx="2">
                  <c:v>0.63069725161266155</c:v>
                </c:pt>
                <c:pt idx="3">
                  <c:v>0.73612245630318052</c:v>
                </c:pt>
                <c:pt idx="4">
                  <c:v>0.81973275917376109</c:v>
                </c:pt>
                <c:pt idx="5">
                  <c:v>0.88093426952170029</c:v>
                </c:pt>
                <c:pt idx="6">
                  <c:v>0.92316037684045493</c:v>
                </c:pt>
                <c:pt idx="7">
                  <c:v>0.95109402330653581</c:v>
                </c:pt>
                <c:pt idx="8">
                  <c:v>0.96900818265045785</c:v>
                </c:pt>
                <c:pt idx="9">
                  <c:v>0.98017595102598487</c:v>
                </c:pt>
                <c:pt idx="10">
                  <c:v>0.98685916795232298</c:v>
                </c:pt>
                <c:pt idx="11">
                  <c:v>0.99049523065284573</c:v>
                </c:pt>
                <c:pt idx="12">
                  <c:v>0.99189296877225785</c:v>
                </c:pt>
                <c:pt idx="13">
                  <c:v>0.99136823982337163</c:v>
                </c:pt>
                <c:pt idx="14">
                  <c:v>0.98880161602191963</c:v>
                </c:pt>
                <c:pt idx="15">
                  <c:v>0.98361575756872865</c:v>
                </c:pt>
                <c:pt idx="16">
                  <c:v>0.97467258647560751</c:v>
                </c:pt>
                <c:pt idx="17">
                  <c:v>0.96009737553321006</c:v>
                </c:pt>
                <c:pt idx="18">
                  <c:v>0.9370686219475185</c:v>
                </c:pt>
                <c:pt idx="19">
                  <c:v>0.90170030928099598</c:v>
                </c:pt>
                <c:pt idx="20">
                  <c:v>0.849316980459907</c:v>
                </c:pt>
                <c:pt idx="21">
                  <c:v>0.77562556440250341</c:v>
                </c:pt>
                <c:pt idx="22">
                  <c:v>0.67916762912464923</c:v>
                </c:pt>
                <c:pt idx="23">
                  <c:v>0.56430949894804516</c:v>
                </c:pt>
                <c:pt idx="24">
                  <c:v>0.44211967055794249</c:v>
                </c:pt>
                <c:pt idx="25">
                  <c:v>0.32675395703634608</c:v>
                </c:pt>
                <c:pt idx="26">
                  <c:v>0.22936241719988304</c:v>
                </c:pt>
                <c:pt idx="27">
                  <c:v>0.15451684172834532</c:v>
                </c:pt>
                <c:pt idx="28">
                  <c:v>0.10099452418123012</c:v>
                </c:pt>
                <c:pt idx="29">
                  <c:v>6.4641535756007895E-2</c:v>
                </c:pt>
                <c:pt idx="30">
                  <c:v>4.0799697610833505E-2</c:v>
                </c:pt>
                <c:pt idx="31">
                  <c:v>2.5518617329137926E-2</c:v>
                </c:pt>
                <c:pt idx="32">
                  <c:v>1.5867860946857992E-2</c:v>
                </c:pt>
                <c:pt idx="33">
                  <c:v>9.8295029905638067E-3</c:v>
                </c:pt>
                <c:pt idx="34">
                  <c:v>6.0733725934689255E-3</c:v>
                </c:pt>
                <c:pt idx="35">
                  <c:v>3.7453692936804763E-3</c:v>
                </c:pt>
                <c:pt idx="36">
                  <c:v>2.3057582692506133E-3</c:v>
                </c:pt>
                <c:pt idx="37">
                  <c:v>1.4167759865438161E-3</c:v>
                </c:pt>
                <c:pt idx="38">
                  <c:v>8.6831624065514159E-4</c:v>
                </c:pt>
                <c:pt idx="39">
                  <c:v>5.3016783164428036E-4</c:v>
                </c:pt>
                <c:pt idx="40">
                  <c:v>3.2182490036170675E-4</c:v>
                </c:pt>
                <c:pt idx="41">
                  <c:v>1.9359452499020393E-4</c:v>
                </c:pt>
                <c:pt idx="42">
                  <c:v>1.1484447693830227E-4</c:v>
                </c:pt>
                <c:pt idx="43">
                  <c:v>6.6715420152146162E-5</c:v>
                </c:pt>
                <c:pt idx="44">
                  <c:v>3.7602068199399629E-5</c:v>
                </c:pt>
                <c:pt idx="45">
                  <c:v>2.0340759503612788E-5</c:v>
                </c:pt>
                <c:pt idx="46">
                  <c:v>1.0453248537868725E-5</c:v>
                </c:pt>
                <c:pt idx="47">
                  <c:v>5.0709221973723141E-6</c:v>
                </c:pt>
                <c:pt idx="48">
                  <c:v>2.3221183188794624E-6</c:v>
                </c:pt>
                <c:pt idx="49">
                  <c:v>1.0103031293908806E-6</c:v>
                </c:pt>
                <c:pt idx="50">
                  <c:v>4.2202776704676403E-7</c:v>
                </c:pt>
              </c:numCache>
            </c:numRef>
          </c:yVal>
          <c:smooth val="1"/>
          <c:extLst>
            <c:ext xmlns:c16="http://schemas.microsoft.com/office/drawing/2014/chart" uri="{C3380CC4-5D6E-409C-BE32-E72D297353CC}">
              <c16:uniqueId val="{00000002-0319-4762-9CCB-AF1015638FB7}"/>
            </c:ext>
          </c:extLst>
        </c:ser>
        <c:ser>
          <c:idx val="3"/>
          <c:order val="3"/>
          <c:tx>
            <c:v>alfa 3</c:v>
          </c:tx>
          <c:spPr>
            <a:ln w="25400">
              <a:solidFill>
                <a:srgbClr val="993300"/>
              </a:solidFill>
              <a:prstDash val="solid"/>
            </a:ln>
          </c:spPr>
          <c:marker>
            <c:symbol val="square"/>
            <c:size val="3"/>
            <c:spPr>
              <a:noFill/>
              <a:ln>
                <a:solidFill>
                  <a:srgbClr val="000000"/>
                </a:solidFill>
                <a:prstDash val="solid"/>
              </a:ln>
            </c:spPr>
          </c:marker>
          <c:xVal>
            <c:numRef>
              <c:f>Distribution!$Y$12:$Y$114</c:f>
              <c:numCache>
                <c:formatCode>0.000</c:formatCode>
                <c:ptCount val="103"/>
                <c:pt idx="0">
                  <c:v>0</c:v>
                </c:pt>
                <c:pt idx="1">
                  <c:v>2.3004448812571354</c:v>
                </c:pt>
                <c:pt idx="2">
                  <c:v>4.3254298929241486</c:v>
                </c:pt>
                <c:pt idx="3">
                  <c:v>5.9982889695675112</c:v>
                </c:pt>
                <c:pt idx="4">
                  <c:v>7.2857926934375428</c:v>
                </c:pt>
                <c:pt idx="5">
                  <c:v>8.2150732792797498</c:v>
                </c:pt>
                <c:pt idx="6">
                  <c:v>8.852646873856429</c:v>
                </c:pt>
                <c:pt idx="7">
                  <c:v>9.2745251997257583</c:v>
                </c:pt>
                <c:pt idx="8">
                  <c:v>9.5472193221212365</c:v>
                </c:pt>
                <c:pt idx="9">
                  <c:v>9.7213898246991448</c:v>
                </c:pt>
                <c:pt idx="10">
                  <c:v>9.8327682426315732</c:v>
                </c:pt>
                <c:pt idx="11">
                  <c:v>9.9056407503667288</c:v>
                </c:pt>
                <c:pt idx="12">
                  <c:v>9.956512633652892</c:v>
                </c:pt>
                <c:pt idx="13">
                  <c:v>9.9971799951163121</c:v>
                </c:pt>
                <c:pt idx="14">
                  <c:v>10.037190483126324</c:v>
                </c:pt>
                <c:pt idx="15">
                  <c:v>10.085949620406609</c:v>
                </c:pt>
                <c:pt idx="16">
                  <c:v>10.154803957266267</c:v>
                </c:pt>
                <c:pt idx="17">
                  <c:v>10.259427917480934</c:v>
                </c:pt>
                <c:pt idx="18">
                  <c:v>10.422738817578647</c:v>
                </c:pt>
                <c:pt idx="19">
                  <c:v>10.678157336951699</c:v>
                </c:pt>
                <c:pt idx="20">
                  <c:v>11.071775054733735</c:v>
                </c:pt>
                <c:pt idx="21">
                  <c:v>11.659035268530715</c:v>
                </c:pt>
                <c:pt idx="22">
                  <c:v>12.487507292826194</c:v>
                </c:pt>
                <c:pt idx="23">
                  <c:v>13.560292513284367</c:v>
                </c:pt>
                <c:pt idx="24">
                  <c:v>14.799194350780454</c:v>
                </c:pt>
                <c:pt idx="25">
                  <c:v>16.054576211899985</c:v>
                </c:pt>
                <c:pt idx="26">
                  <c:v>17.173922529036645</c:v>
                </c:pt>
                <c:pt idx="27">
                  <c:v>18.068469061108772</c:v>
                </c:pt>
                <c:pt idx="28">
                  <c:v>18.725484058086295</c:v>
                </c:pt>
                <c:pt idx="29">
                  <c:v>19.179874857945833</c:v>
                </c:pt>
                <c:pt idx="30">
                  <c:v>19.48181740444852</c:v>
                </c:pt>
                <c:pt idx="31">
                  <c:v>19.677734184369911</c:v>
                </c:pt>
                <c:pt idx="32">
                  <c:v>19.803712518478278</c:v>
                </c:pt>
                <c:pt idx="33">
                  <c:v>19.885540132236201</c:v>
                </c:pt>
                <c:pt idx="34">
                  <c:v>19.941073826339561</c:v>
                </c:pt>
                <c:pt idx="35">
                  <c:v>19.982924718351569</c:v>
                </c:pt>
                <c:pt idx="36">
                  <c:v>20.020832466252614</c:v>
                </c:pt>
                <c:pt idx="37">
                  <c:v>20.063731157279108</c:v>
                </c:pt>
                <c:pt idx="38">
                  <c:v>20.121755062427837</c:v>
                </c:pt>
                <c:pt idx="39">
                  <c:v>20.208536063728388</c:v>
                </c:pt>
                <c:pt idx="40">
                  <c:v>20.344214436772745</c:v>
                </c:pt>
                <c:pt idx="41">
                  <c:v>20.55962798622204</c:v>
                </c:pt>
                <c:pt idx="42">
                  <c:v>20.902049214055296</c:v>
                </c:pt>
                <c:pt idx="43">
                  <c:v>21.442285725788679</c:v>
                </c:pt>
                <c:pt idx="44">
                  <c:v>22.281442677194718</c:v>
                </c:pt>
                <c:pt idx="45">
                  <c:v>23.553723619261291</c:v>
                </c:pt>
                <c:pt idx="46">
                  <c:v>25.425947584153619</c:v>
                </c:pt>
                <c:pt idx="47">
                  <c:v>28.122492051625159</c:v>
                </c:pt>
                <c:pt idx="48">
                  <c:v>32.065280988172162</c:v>
                </c:pt>
                <c:pt idx="49">
                  <c:v>38.31748273660196</c:v>
                </c:pt>
                <c:pt idx="50">
                  <c:v>49.999999998544808</c:v>
                </c:pt>
              </c:numCache>
            </c:numRef>
          </c:xVal>
          <c:yVal>
            <c:numRef>
              <c:f>Distribution!$AE$12:$AE$114</c:f>
              <c:numCache>
                <c:formatCode>0.000</c:formatCode>
                <c:ptCount val="103"/>
                <c:pt idx="0">
                  <c:v>0.61126094444543411</c:v>
                </c:pt>
                <c:pt idx="1">
                  <c:v>0.48942406958574403</c:v>
                </c:pt>
                <c:pt idx="2">
                  <c:v>0.36928496888409029</c:v>
                </c:pt>
                <c:pt idx="3">
                  <c:v>0.2638436442295653</c:v>
                </c:pt>
                <c:pt idx="4">
                  <c:v>0.18020569261248634</c:v>
                </c:pt>
                <c:pt idx="5">
                  <c:v>0.11895805109822248</c:v>
                </c:pt>
                <c:pt idx="6">
                  <c:v>7.6656118598281836E-2</c:v>
                </c:pt>
                <c:pt idx="7">
                  <c:v>4.8598748406947924E-2</c:v>
                </c:pt>
                <c:pt idx="8">
                  <c:v>3.0483387497929074E-2</c:v>
                </c:pt>
                <c:pt idx="9">
                  <c:v>1.8988932771194126E-2</c:v>
                </c:pt>
                <c:pt idx="10">
                  <c:v>1.1775741423398369E-2</c:v>
                </c:pt>
                <c:pt idx="11">
                  <c:v>7.2805325685000354E-3</c:v>
                </c:pt>
                <c:pt idx="12">
                  <c:v>4.4912651737733398E-3</c:v>
                </c:pt>
                <c:pt idx="13">
                  <c:v>2.7651919905664008E-3</c:v>
                </c:pt>
                <c:pt idx="14">
                  <c:v>1.6988520542728144E-3</c:v>
                </c:pt>
                <c:pt idx="15">
                  <c:v>1.0408008449173151E-3</c:v>
                </c:pt>
                <c:pt idx="16">
                  <c:v>6.3502965012762432E-4</c:v>
                </c:pt>
                <c:pt idx="17">
                  <c:v>3.8501666622801618E-4</c:v>
                </c:pt>
                <c:pt idx="18">
                  <c:v>2.3116043367431068E-4</c:v>
                </c:pt>
                <c:pt idx="19">
                  <c:v>1.3671517391404436E-4</c:v>
                </c:pt>
                <c:pt idx="20">
                  <c:v>7.9057595850825493E-5</c:v>
                </c:pt>
                <c:pt idx="21">
                  <c:v>4.4264704150428966E-5</c:v>
                </c:pt>
                <c:pt idx="22">
                  <c:v>2.3732854073145566E-5</c:v>
                </c:pt>
                <c:pt idx="23">
                  <c:v>1.2064586141501544E-5</c:v>
                </c:pt>
                <c:pt idx="24">
                  <c:v>5.783486022211367E-6</c:v>
                </c:pt>
                <c:pt idx="25">
                  <c:v>2.6177049757527026E-6</c:v>
                </c:pt>
                <c:pt idx="26">
                  <c:v>1.1268172078437581E-6</c:v>
                </c:pt>
                <c:pt idx="27">
                  <c:v>4.6614116130020139E-7</c:v>
                </c:pt>
                <c:pt idx="28">
                  <c:v>1.8729382622054976E-7</c:v>
                </c:pt>
                <c:pt idx="29">
                  <c:v>7.3750850225657765E-8</c:v>
                </c:pt>
                <c:pt idx="30">
                  <c:v>2.865350651527517E-8</c:v>
                </c:pt>
                <c:pt idx="31">
                  <c:v>1.103563660294274E-8</c:v>
                </c:pt>
                <c:pt idx="32">
                  <c:v>4.2264472709273067E-9</c:v>
                </c:pt>
                <c:pt idx="33">
                  <c:v>1.6127422781590192E-9</c:v>
                </c:pt>
                <c:pt idx="34">
                  <c:v>6.1386627061715563E-10</c:v>
                </c:pt>
                <c:pt idx="35">
                  <c:v>2.3321960601169937E-10</c:v>
                </c:pt>
                <c:pt idx="36">
                  <c:v>8.8452999689201531E-11</c:v>
                </c:pt>
                <c:pt idx="37">
                  <c:v>3.3482379668866955E-11</c:v>
                </c:pt>
                <c:pt idx="38">
                  <c:v>1.2640985321765592E-11</c:v>
                </c:pt>
                <c:pt idx="39">
                  <c:v>4.7539371746000665E-12</c:v>
                </c:pt>
                <c:pt idx="40">
                  <c:v>1.7771077666103948E-12</c:v>
                </c:pt>
                <c:pt idx="41">
                  <c:v>6.5813050629886932E-13</c:v>
                </c:pt>
                <c:pt idx="42">
                  <c:v>2.4024912777926512E-13</c:v>
                </c:pt>
                <c:pt idx="43">
                  <c:v>8.5830800419083384E-14</c:v>
                </c:pt>
                <c:pt idx="44">
                  <c:v>2.9727513941282283E-14</c:v>
                </c:pt>
                <c:pt idx="45">
                  <c:v>9.8740271701039566E-15</c:v>
                </c:pt>
                <c:pt idx="46">
                  <c:v>3.1139205735951612E-15</c:v>
                </c:pt>
                <c:pt idx="47">
                  <c:v>9.2693458330532997E-16</c:v>
                </c:pt>
                <c:pt idx="48">
                  <c:v>2.6062153015593655E-16</c:v>
                </c:pt>
                <c:pt idx="49">
                  <c:v>6.969846481368896E-17</c:v>
                </c:pt>
                <c:pt idx="50">
                  <c:v>1.7921625677892773E-17</c:v>
                </c:pt>
              </c:numCache>
            </c:numRef>
          </c:yVal>
          <c:smooth val="1"/>
          <c:extLst>
            <c:ext xmlns:c16="http://schemas.microsoft.com/office/drawing/2014/chart" uri="{C3380CC4-5D6E-409C-BE32-E72D297353CC}">
              <c16:uniqueId val="{00000003-0319-4762-9CCB-AF1015638FB7}"/>
            </c:ext>
          </c:extLst>
        </c:ser>
        <c:ser>
          <c:idx val="4"/>
          <c:order val="4"/>
          <c:tx>
            <c:v>alfa 4</c:v>
          </c:tx>
          <c:spPr>
            <a:ln w="25400">
              <a:solidFill>
                <a:srgbClr val="0000FF"/>
              </a:solidFill>
              <a:prstDash val="solid"/>
            </a:ln>
          </c:spPr>
          <c:marker>
            <c:symbol val="square"/>
            <c:size val="3"/>
            <c:spPr>
              <a:noFill/>
              <a:ln>
                <a:solidFill>
                  <a:srgbClr val="000000"/>
                </a:solidFill>
                <a:prstDash val="solid"/>
              </a:ln>
            </c:spPr>
          </c:marker>
          <c:xVal>
            <c:numRef>
              <c:f>Distribution!$Y$12:$Y$114</c:f>
              <c:numCache>
                <c:formatCode>0.000</c:formatCode>
                <c:ptCount val="103"/>
                <c:pt idx="0">
                  <c:v>0</c:v>
                </c:pt>
                <c:pt idx="1">
                  <c:v>2.3004448812571354</c:v>
                </c:pt>
                <c:pt idx="2">
                  <c:v>4.3254298929241486</c:v>
                </c:pt>
                <c:pt idx="3">
                  <c:v>5.9982889695675112</c:v>
                </c:pt>
                <c:pt idx="4">
                  <c:v>7.2857926934375428</c:v>
                </c:pt>
                <c:pt idx="5">
                  <c:v>8.2150732792797498</c:v>
                </c:pt>
                <c:pt idx="6">
                  <c:v>8.852646873856429</c:v>
                </c:pt>
                <c:pt idx="7">
                  <c:v>9.2745251997257583</c:v>
                </c:pt>
                <c:pt idx="8">
                  <c:v>9.5472193221212365</c:v>
                </c:pt>
                <c:pt idx="9">
                  <c:v>9.7213898246991448</c:v>
                </c:pt>
                <c:pt idx="10">
                  <c:v>9.8327682426315732</c:v>
                </c:pt>
                <c:pt idx="11">
                  <c:v>9.9056407503667288</c:v>
                </c:pt>
                <c:pt idx="12">
                  <c:v>9.956512633652892</c:v>
                </c:pt>
                <c:pt idx="13">
                  <c:v>9.9971799951163121</c:v>
                </c:pt>
                <c:pt idx="14">
                  <c:v>10.037190483126324</c:v>
                </c:pt>
                <c:pt idx="15">
                  <c:v>10.085949620406609</c:v>
                </c:pt>
                <c:pt idx="16">
                  <c:v>10.154803957266267</c:v>
                </c:pt>
                <c:pt idx="17">
                  <c:v>10.259427917480934</c:v>
                </c:pt>
                <c:pt idx="18">
                  <c:v>10.422738817578647</c:v>
                </c:pt>
                <c:pt idx="19">
                  <c:v>10.678157336951699</c:v>
                </c:pt>
                <c:pt idx="20">
                  <c:v>11.071775054733735</c:v>
                </c:pt>
                <c:pt idx="21">
                  <c:v>11.659035268530715</c:v>
                </c:pt>
                <c:pt idx="22">
                  <c:v>12.487507292826194</c:v>
                </c:pt>
                <c:pt idx="23">
                  <c:v>13.560292513284367</c:v>
                </c:pt>
                <c:pt idx="24">
                  <c:v>14.799194350780454</c:v>
                </c:pt>
                <c:pt idx="25">
                  <c:v>16.054576211899985</c:v>
                </c:pt>
                <c:pt idx="26">
                  <c:v>17.173922529036645</c:v>
                </c:pt>
                <c:pt idx="27">
                  <c:v>18.068469061108772</c:v>
                </c:pt>
                <c:pt idx="28">
                  <c:v>18.725484058086295</c:v>
                </c:pt>
                <c:pt idx="29">
                  <c:v>19.179874857945833</c:v>
                </c:pt>
                <c:pt idx="30">
                  <c:v>19.48181740444852</c:v>
                </c:pt>
                <c:pt idx="31">
                  <c:v>19.677734184369911</c:v>
                </c:pt>
                <c:pt idx="32">
                  <c:v>19.803712518478278</c:v>
                </c:pt>
                <c:pt idx="33">
                  <c:v>19.885540132236201</c:v>
                </c:pt>
                <c:pt idx="34">
                  <c:v>19.941073826339561</c:v>
                </c:pt>
                <c:pt idx="35">
                  <c:v>19.982924718351569</c:v>
                </c:pt>
                <c:pt idx="36">
                  <c:v>20.020832466252614</c:v>
                </c:pt>
                <c:pt idx="37">
                  <c:v>20.063731157279108</c:v>
                </c:pt>
                <c:pt idx="38">
                  <c:v>20.121755062427837</c:v>
                </c:pt>
                <c:pt idx="39">
                  <c:v>20.208536063728388</c:v>
                </c:pt>
                <c:pt idx="40">
                  <c:v>20.344214436772745</c:v>
                </c:pt>
                <c:pt idx="41">
                  <c:v>20.55962798622204</c:v>
                </c:pt>
                <c:pt idx="42">
                  <c:v>20.902049214055296</c:v>
                </c:pt>
                <c:pt idx="43">
                  <c:v>21.442285725788679</c:v>
                </c:pt>
                <c:pt idx="44">
                  <c:v>22.281442677194718</c:v>
                </c:pt>
                <c:pt idx="45">
                  <c:v>23.553723619261291</c:v>
                </c:pt>
                <c:pt idx="46">
                  <c:v>25.425947584153619</c:v>
                </c:pt>
                <c:pt idx="47">
                  <c:v>28.122492051625159</c:v>
                </c:pt>
                <c:pt idx="48">
                  <c:v>32.065280988172162</c:v>
                </c:pt>
                <c:pt idx="49">
                  <c:v>38.31748273660196</c:v>
                </c:pt>
                <c:pt idx="50">
                  <c:v>49.999999998544808</c:v>
                </c:pt>
              </c:numCache>
            </c:numRef>
          </c:xVal>
          <c:yVal>
            <c:numRef>
              <c:f>Distribution!$AF$12:$AF$114</c:f>
              <c:numCache>
                <c:formatCode>0.000</c:formatCode>
                <c:ptCount val="103"/>
              </c:numCache>
            </c:numRef>
          </c:yVal>
          <c:smooth val="1"/>
          <c:extLst>
            <c:ext xmlns:c16="http://schemas.microsoft.com/office/drawing/2014/chart" uri="{C3380CC4-5D6E-409C-BE32-E72D297353CC}">
              <c16:uniqueId val="{00000004-0319-4762-9CCB-AF1015638FB7}"/>
            </c:ext>
          </c:extLst>
        </c:ser>
        <c:ser>
          <c:idx val="5"/>
          <c:order val="5"/>
          <c:tx>
            <c:v>alfa 5</c:v>
          </c:tx>
          <c:spPr>
            <a:ln w="25400">
              <a:solidFill>
                <a:srgbClr val="FF00FF"/>
              </a:solidFill>
              <a:prstDash val="solid"/>
            </a:ln>
          </c:spPr>
          <c:marker>
            <c:symbol val="square"/>
            <c:size val="3"/>
            <c:spPr>
              <a:noFill/>
              <a:ln>
                <a:solidFill>
                  <a:srgbClr val="000000"/>
                </a:solidFill>
                <a:prstDash val="solid"/>
              </a:ln>
            </c:spPr>
          </c:marker>
          <c:xVal>
            <c:numRef>
              <c:f>Distribution!$Y$12:$Y$114</c:f>
              <c:numCache>
                <c:formatCode>0.000</c:formatCode>
                <c:ptCount val="103"/>
                <c:pt idx="0">
                  <c:v>0</c:v>
                </c:pt>
                <c:pt idx="1">
                  <c:v>2.3004448812571354</c:v>
                </c:pt>
                <c:pt idx="2">
                  <c:v>4.3254298929241486</c:v>
                </c:pt>
                <c:pt idx="3">
                  <c:v>5.9982889695675112</c:v>
                </c:pt>
                <c:pt idx="4">
                  <c:v>7.2857926934375428</c:v>
                </c:pt>
                <c:pt idx="5">
                  <c:v>8.2150732792797498</c:v>
                </c:pt>
                <c:pt idx="6">
                  <c:v>8.852646873856429</c:v>
                </c:pt>
                <c:pt idx="7">
                  <c:v>9.2745251997257583</c:v>
                </c:pt>
                <c:pt idx="8">
                  <c:v>9.5472193221212365</c:v>
                </c:pt>
                <c:pt idx="9">
                  <c:v>9.7213898246991448</c:v>
                </c:pt>
                <c:pt idx="10">
                  <c:v>9.8327682426315732</c:v>
                </c:pt>
                <c:pt idx="11">
                  <c:v>9.9056407503667288</c:v>
                </c:pt>
                <c:pt idx="12">
                  <c:v>9.956512633652892</c:v>
                </c:pt>
                <c:pt idx="13">
                  <c:v>9.9971799951163121</c:v>
                </c:pt>
                <c:pt idx="14">
                  <c:v>10.037190483126324</c:v>
                </c:pt>
                <c:pt idx="15">
                  <c:v>10.085949620406609</c:v>
                </c:pt>
                <c:pt idx="16">
                  <c:v>10.154803957266267</c:v>
                </c:pt>
                <c:pt idx="17">
                  <c:v>10.259427917480934</c:v>
                </c:pt>
                <c:pt idx="18">
                  <c:v>10.422738817578647</c:v>
                </c:pt>
                <c:pt idx="19">
                  <c:v>10.678157336951699</c:v>
                </c:pt>
                <c:pt idx="20">
                  <c:v>11.071775054733735</c:v>
                </c:pt>
                <c:pt idx="21">
                  <c:v>11.659035268530715</c:v>
                </c:pt>
                <c:pt idx="22">
                  <c:v>12.487507292826194</c:v>
                </c:pt>
                <c:pt idx="23">
                  <c:v>13.560292513284367</c:v>
                </c:pt>
                <c:pt idx="24">
                  <c:v>14.799194350780454</c:v>
                </c:pt>
                <c:pt idx="25">
                  <c:v>16.054576211899985</c:v>
                </c:pt>
                <c:pt idx="26">
                  <c:v>17.173922529036645</c:v>
                </c:pt>
                <c:pt idx="27">
                  <c:v>18.068469061108772</c:v>
                </c:pt>
                <c:pt idx="28">
                  <c:v>18.725484058086295</c:v>
                </c:pt>
                <c:pt idx="29">
                  <c:v>19.179874857945833</c:v>
                </c:pt>
                <c:pt idx="30">
                  <c:v>19.48181740444852</c:v>
                </c:pt>
                <c:pt idx="31">
                  <c:v>19.677734184369911</c:v>
                </c:pt>
                <c:pt idx="32">
                  <c:v>19.803712518478278</c:v>
                </c:pt>
                <c:pt idx="33">
                  <c:v>19.885540132236201</c:v>
                </c:pt>
                <c:pt idx="34">
                  <c:v>19.941073826339561</c:v>
                </c:pt>
                <c:pt idx="35">
                  <c:v>19.982924718351569</c:v>
                </c:pt>
                <c:pt idx="36">
                  <c:v>20.020832466252614</c:v>
                </c:pt>
                <c:pt idx="37">
                  <c:v>20.063731157279108</c:v>
                </c:pt>
                <c:pt idx="38">
                  <c:v>20.121755062427837</c:v>
                </c:pt>
                <c:pt idx="39">
                  <c:v>20.208536063728388</c:v>
                </c:pt>
                <c:pt idx="40">
                  <c:v>20.344214436772745</c:v>
                </c:pt>
                <c:pt idx="41">
                  <c:v>20.55962798622204</c:v>
                </c:pt>
                <c:pt idx="42">
                  <c:v>20.902049214055296</c:v>
                </c:pt>
                <c:pt idx="43">
                  <c:v>21.442285725788679</c:v>
                </c:pt>
                <c:pt idx="44">
                  <c:v>22.281442677194718</c:v>
                </c:pt>
                <c:pt idx="45">
                  <c:v>23.553723619261291</c:v>
                </c:pt>
                <c:pt idx="46">
                  <c:v>25.425947584153619</c:v>
                </c:pt>
                <c:pt idx="47">
                  <c:v>28.122492051625159</c:v>
                </c:pt>
                <c:pt idx="48">
                  <c:v>32.065280988172162</c:v>
                </c:pt>
                <c:pt idx="49">
                  <c:v>38.31748273660196</c:v>
                </c:pt>
                <c:pt idx="50">
                  <c:v>49.999999998544808</c:v>
                </c:pt>
              </c:numCache>
            </c:numRef>
          </c:xVal>
          <c:yVal>
            <c:numRef>
              <c:f>Distribution!$AG$12:$AG$114</c:f>
              <c:numCache>
                <c:formatCode>0.000</c:formatCode>
                <c:ptCount val="103"/>
              </c:numCache>
            </c:numRef>
          </c:yVal>
          <c:smooth val="1"/>
          <c:extLst>
            <c:ext xmlns:c16="http://schemas.microsoft.com/office/drawing/2014/chart" uri="{C3380CC4-5D6E-409C-BE32-E72D297353CC}">
              <c16:uniqueId val="{00000005-0319-4762-9CCB-AF1015638FB7}"/>
            </c:ext>
          </c:extLst>
        </c:ser>
        <c:ser>
          <c:idx val="6"/>
          <c:order val="6"/>
          <c:tx>
            <c:v>alfa 6</c:v>
          </c:tx>
          <c:spPr>
            <a:ln w="25400">
              <a:solidFill>
                <a:srgbClr val="008080"/>
              </a:solidFill>
              <a:prstDash val="solid"/>
            </a:ln>
          </c:spPr>
          <c:marker>
            <c:symbol val="circle"/>
            <c:size val="3"/>
            <c:spPr>
              <a:noFill/>
              <a:ln>
                <a:solidFill>
                  <a:srgbClr val="000000"/>
                </a:solidFill>
                <a:prstDash val="solid"/>
              </a:ln>
            </c:spPr>
          </c:marker>
          <c:xVal>
            <c:numRef>
              <c:f>Distribution!$Y$12:$Y$114</c:f>
              <c:numCache>
                <c:formatCode>0.000</c:formatCode>
                <c:ptCount val="103"/>
                <c:pt idx="0">
                  <c:v>0</c:v>
                </c:pt>
                <c:pt idx="1">
                  <c:v>2.3004448812571354</c:v>
                </c:pt>
                <c:pt idx="2">
                  <c:v>4.3254298929241486</c:v>
                </c:pt>
                <c:pt idx="3">
                  <c:v>5.9982889695675112</c:v>
                </c:pt>
                <c:pt idx="4">
                  <c:v>7.2857926934375428</c:v>
                </c:pt>
                <c:pt idx="5">
                  <c:v>8.2150732792797498</c:v>
                </c:pt>
                <c:pt idx="6">
                  <c:v>8.852646873856429</c:v>
                </c:pt>
                <c:pt idx="7">
                  <c:v>9.2745251997257583</c:v>
                </c:pt>
                <c:pt idx="8">
                  <c:v>9.5472193221212365</c:v>
                </c:pt>
                <c:pt idx="9">
                  <c:v>9.7213898246991448</c:v>
                </c:pt>
                <c:pt idx="10">
                  <c:v>9.8327682426315732</c:v>
                </c:pt>
                <c:pt idx="11">
                  <c:v>9.9056407503667288</c:v>
                </c:pt>
                <c:pt idx="12">
                  <c:v>9.956512633652892</c:v>
                </c:pt>
                <c:pt idx="13">
                  <c:v>9.9971799951163121</c:v>
                </c:pt>
                <c:pt idx="14">
                  <c:v>10.037190483126324</c:v>
                </c:pt>
                <c:pt idx="15">
                  <c:v>10.085949620406609</c:v>
                </c:pt>
                <c:pt idx="16">
                  <c:v>10.154803957266267</c:v>
                </c:pt>
                <c:pt idx="17">
                  <c:v>10.259427917480934</c:v>
                </c:pt>
                <c:pt idx="18">
                  <c:v>10.422738817578647</c:v>
                </c:pt>
                <c:pt idx="19">
                  <c:v>10.678157336951699</c:v>
                </c:pt>
                <c:pt idx="20">
                  <c:v>11.071775054733735</c:v>
                </c:pt>
                <c:pt idx="21">
                  <c:v>11.659035268530715</c:v>
                </c:pt>
                <c:pt idx="22">
                  <c:v>12.487507292826194</c:v>
                </c:pt>
                <c:pt idx="23">
                  <c:v>13.560292513284367</c:v>
                </c:pt>
                <c:pt idx="24">
                  <c:v>14.799194350780454</c:v>
                </c:pt>
                <c:pt idx="25">
                  <c:v>16.054576211899985</c:v>
                </c:pt>
                <c:pt idx="26">
                  <c:v>17.173922529036645</c:v>
                </c:pt>
                <c:pt idx="27">
                  <c:v>18.068469061108772</c:v>
                </c:pt>
                <c:pt idx="28">
                  <c:v>18.725484058086295</c:v>
                </c:pt>
                <c:pt idx="29">
                  <c:v>19.179874857945833</c:v>
                </c:pt>
                <c:pt idx="30">
                  <c:v>19.48181740444852</c:v>
                </c:pt>
                <c:pt idx="31">
                  <c:v>19.677734184369911</c:v>
                </c:pt>
                <c:pt idx="32">
                  <c:v>19.803712518478278</c:v>
                </c:pt>
                <c:pt idx="33">
                  <c:v>19.885540132236201</c:v>
                </c:pt>
                <c:pt idx="34">
                  <c:v>19.941073826339561</c:v>
                </c:pt>
                <c:pt idx="35">
                  <c:v>19.982924718351569</c:v>
                </c:pt>
                <c:pt idx="36">
                  <c:v>20.020832466252614</c:v>
                </c:pt>
                <c:pt idx="37">
                  <c:v>20.063731157279108</c:v>
                </c:pt>
                <c:pt idx="38">
                  <c:v>20.121755062427837</c:v>
                </c:pt>
                <c:pt idx="39">
                  <c:v>20.208536063728388</c:v>
                </c:pt>
                <c:pt idx="40">
                  <c:v>20.344214436772745</c:v>
                </c:pt>
                <c:pt idx="41">
                  <c:v>20.55962798622204</c:v>
                </c:pt>
                <c:pt idx="42">
                  <c:v>20.902049214055296</c:v>
                </c:pt>
                <c:pt idx="43">
                  <c:v>21.442285725788679</c:v>
                </c:pt>
                <c:pt idx="44">
                  <c:v>22.281442677194718</c:v>
                </c:pt>
                <c:pt idx="45">
                  <c:v>23.553723619261291</c:v>
                </c:pt>
                <c:pt idx="46">
                  <c:v>25.425947584153619</c:v>
                </c:pt>
                <c:pt idx="47">
                  <c:v>28.122492051625159</c:v>
                </c:pt>
                <c:pt idx="48">
                  <c:v>32.065280988172162</c:v>
                </c:pt>
                <c:pt idx="49">
                  <c:v>38.31748273660196</c:v>
                </c:pt>
                <c:pt idx="50">
                  <c:v>49.999999998544808</c:v>
                </c:pt>
              </c:numCache>
            </c:numRef>
          </c:xVal>
          <c:yVal>
            <c:numRef>
              <c:f>Distribution!$AH$12:$AH$13</c:f>
              <c:numCache>
                <c:formatCode>0.000</c:formatCode>
                <c:ptCount val="2"/>
              </c:numCache>
            </c:numRef>
          </c:yVal>
          <c:smooth val="1"/>
          <c:extLst>
            <c:ext xmlns:c16="http://schemas.microsoft.com/office/drawing/2014/chart" uri="{C3380CC4-5D6E-409C-BE32-E72D297353CC}">
              <c16:uniqueId val="{00000006-0319-4762-9CCB-AF1015638FB7}"/>
            </c:ext>
          </c:extLst>
        </c:ser>
        <c:ser>
          <c:idx val="7"/>
          <c:order val="7"/>
          <c:tx>
            <c:v>pH/14</c:v>
          </c:tx>
          <c:spPr>
            <a:ln w="12700">
              <a:solidFill>
                <a:srgbClr val="002060"/>
              </a:solidFill>
              <a:prstDash val="sysDash"/>
            </a:ln>
          </c:spPr>
          <c:marker>
            <c:symbol val="circle"/>
            <c:size val="5"/>
            <c:spPr>
              <a:noFill/>
              <a:ln>
                <a:solidFill>
                  <a:srgbClr val="0000FF"/>
                </a:solidFill>
                <a:prstDash val="solid"/>
              </a:ln>
            </c:spPr>
          </c:marker>
          <c:xVal>
            <c:numRef>
              <c:f>Distribution!$Y$12:$Y$114</c:f>
              <c:numCache>
                <c:formatCode>0.000</c:formatCode>
                <c:ptCount val="103"/>
                <c:pt idx="0">
                  <c:v>0</c:v>
                </c:pt>
                <c:pt idx="1">
                  <c:v>2.3004448812571354</c:v>
                </c:pt>
                <c:pt idx="2">
                  <c:v>4.3254298929241486</c:v>
                </c:pt>
                <c:pt idx="3">
                  <c:v>5.9982889695675112</c:v>
                </c:pt>
                <c:pt idx="4">
                  <c:v>7.2857926934375428</c:v>
                </c:pt>
                <c:pt idx="5">
                  <c:v>8.2150732792797498</c:v>
                </c:pt>
                <c:pt idx="6">
                  <c:v>8.852646873856429</c:v>
                </c:pt>
                <c:pt idx="7">
                  <c:v>9.2745251997257583</c:v>
                </c:pt>
                <c:pt idx="8">
                  <c:v>9.5472193221212365</c:v>
                </c:pt>
                <c:pt idx="9">
                  <c:v>9.7213898246991448</c:v>
                </c:pt>
                <c:pt idx="10">
                  <c:v>9.8327682426315732</c:v>
                </c:pt>
                <c:pt idx="11">
                  <c:v>9.9056407503667288</c:v>
                </c:pt>
                <c:pt idx="12">
                  <c:v>9.956512633652892</c:v>
                </c:pt>
                <c:pt idx="13">
                  <c:v>9.9971799951163121</c:v>
                </c:pt>
                <c:pt idx="14">
                  <c:v>10.037190483126324</c:v>
                </c:pt>
                <c:pt idx="15">
                  <c:v>10.085949620406609</c:v>
                </c:pt>
                <c:pt idx="16">
                  <c:v>10.154803957266267</c:v>
                </c:pt>
                <c:pt idx="17">
                  <c:v>10.259427917480934</c:v>
                </c:pt>
                <c:pt idx="18">
                  <c:v>10.422738817578647</c:v>
                </c:pt>
                <c:pt idx="19">
                  <c:v>10.678157336951699</c:v>
                </c:pt>
                <c:pt idx="20">
                  <c:v>11.071775054733735</c:v>
                </c:pt>
                <c:pt idx="21">
                  <c:v>11.659035268530715</c:v>
                </c:pt>
                <c:pt idx="22">
                  <c:v>12.487507292826194</c:v>
                </c:pt>
                <c:pt idx="23">
                  <c:v>13.560292513284367</c:v>
                </c:pt>
                <c:pt idx="24">
                  <c:v>14.799194350780454</c:v>
                </c:pt>
                <c:pt idx="25">
                  <c:v>16.054576211899985</c:v>
                </c:pt>
                <c:pt idx="26">
                  <c:v>17.173922529036645</c:v>
                </c:pt>
                <c:pt idx="27">
                  <c:v>18.068469061108772</c:v>
                </c:pt>
                <c:pt idx="28">
                  <c:v>18.725484058086295</c:v>
                </c:pt>
                <c:pt idx="29">
                  <c:v>19.179874857945833</c:v>
                </c:pt>
                <c:pt idx="30">
                  <c:v>19.48181740444852</c:v>
                </c:pt>
                <c:pt idx="31">
                  <c:v>19.677734184369911</c:v>
                </c:pt>
                <c:pt idx="32">
                  <c:v>19.803712518478278</c:v>
                </c:pt>
                <c:pt idx="33">
                  <c:v>19.885540132236201</c:v>
                </c:pt>
                <c:pt idx="34">
                  <c:v>19.941073826339561</c:v>
                </c:pt>
                <c:pt idx="35">
                  <c:v>19.982924718351569</c:v>
                </c:pt>
                <c:pt idx="36">
                  <c:v>20.020832466252614</c:v>
                </c:pt>
                <c:pt idx="37">
                  <c:v>20.063731157279108</c:v>
                </c:pt>
                <c:pt idx="38">
                  <c:v>20.121755062427837</c:v>
                </c:pt>
                <c:pt idx="39">
                  <c:v>20.208536063728388</c:v>
                </c:pt>
                <c:pt idx="40">
                  <c:v>20.344214436772745</c:v>
                </c:pt>
                <c:pt idx="41">
                  <c:v>20.55962798622204</c:v>
                </c:pt>
                <c:pt idx="42">
                  <c:v>20.902049214055296</c:v>
                </c:pt>
                <c:pt idx="43">
                  <c:v>21.442285725788679</c:v>
                </c:pt>
                <c:pt idx="44">
                  <c:v>22.281442677194718</c:v>
                </c:pt>
                <c:pt idx="45">
                  <c:v>23.553723619261291</c:v>
                </c:pt>
                <c:pt idx="46">
                  <c:v>25.425947584153619</c:v>
                </c:pt>
                <c:pt idx="47">
                  <c:v>28.122492051625159</c:v>
                </c:pt>
                <c:pt idx="48">
                  <c:v>32.065280988172162</c:v>
                </c:pt>
                <c:pt idx="49">
                  <c:v>38.31748273660196</c:v>
                </c:pt>
                <c:pt idx="50">
                  <c:v>49.999999998544808</c:v>
                </c:pt>
              </c:numCache>
            </c:numRef>
          </c:xVal>
          <c:yVal>
            <c:numRef>
              <c:f>Distribution!$AI$12:$AI$114</c:f>
              <c:numCache>
                <c:formatCode>0.000</c:formatCode>
                <c:ptCount val="103"/>
                <c:pt idx="0">
                  <c:v>0.12979337714801967</c:v>
                </c:pt>
                <c:pt idx="1">
                  <c:v>0.14514627480451572</c:v>
                </c:pt>
                <c:pt idx="2">
                  <c:v>0.16043854424553489</c:v>
                </c:pt>
                <c:pt idx="3">
                  <c:v>0.17566312439396278</c:v>
                </c:pt>
                <c:pt idx="4">
                  <c:v>0.19082743549903847</c:v>
                </c:pt>
                <c:pt idx="5">
                  <c:v>0.20594499830188659</c:v>
                </c:pt>
                <c:pt idx="6">
                  <c:v>0.22102933157802834</c:v>
                </c:pt>
                <c:pt idx="7">
                  <c:v>0.23609133425485659</c:v>
                </c:pt>
                <c:pt idx="8">
                  <c:v>0.25113889495630731</c:v>
                </c:pt>
                <c:pt idx="9">
                  <c:v>0.26617741411281631</c:v>
                </c:pt>
                <c:pt idx="10">
                  <c:v>0.2812105165112545</c:v>
                </c:pt>
                <c:pt idx="11">
                  <c:v>0.29624068224924727</c:v>
                </c:pt>
                <c:pt idx="12">
                  <c:v>0.31126974471183189</c:v>
                </c:pt>
                <c:pt idx="13">
                  <c:v>0.32629928735093194</c:v>
                </c:pt>
                <c:pt idx="14">
                  <c:v>0.34133099425749858</c:v>
                </c:pt>
                <c:pt idx="15">
                  <c:v>0.35636701094175699</c:v>
                </c:pt>
                <c:pt idx="16">
                  <c:v>0.37141036140702449</c:v>
                </c:pt>
                <c:pt idx="17">
                  <c:v>0.38646543321818616</c:v>
                </c:pt>
                <c:pt idx="18">
                  <c:v>0.40153844334436917</c:v>
                </c:pt>
                <c:pt idx="19">
                  <c:v>0.41663755793814122</c:v>
                </c:pt>
                <c:pt idx="20">
                  <c:v>0.43177189396723226</c:v>
                </c:pt>
                <c:pt idx="21">
                  <c:v>0.44694820433781979</c:v>
                </c:pt>
                <c:pt idx="22">
                  <c:v>0.46216480864371745</c:v>
                </c:pt>
                <c:pt idx="23">
                  <c:v>0.4774060888475754</c:v>
                </c:pt>
                <c:pt idx="24">
                  <c:v>0.49264503279996646</c:v>
                </c:pt>
                <c:pt idx="25">
                  <c:v>0.50785574777856868</c:v>
                </c:pt>
                <c:pt idx="26">
                  <c:v>0.52302493557811991</c:v>
                </c:pt>
                <c:pt idx="27">
                  <c:v>0.53815276290682601</c:v>
                </c:pt>
                <c:pt idx="28">
                  <c:v>0.55324676266056172</c:v>
                </c:pt>
                <c:pt idx="29">
                  <c:v>0.56831606758945608</c:v>
                </c:pt>
                <c:pt idx="30">
                  <c:v>0.58336853421971002</c:v>
                </c:pt>
                <c:pt idx="31">
                  <c:v>0.59841000429720059</c:v>
                </c:pt>
                <c:pt idx="32">
                  <c:v>0.61344451733377936</c:v>
                </c:pt>
                <c:pt idx="33">
                  <c:v>0.62847477855281308</c:v>
                </c:pt>
                <c:pt idx="34">
                  <c:v>0.64350260469458298</c:v>
                </c:pt>
                <c:pt idx="35">
                  <c:v>0.65852927857344501</c:v>
                </c:pt>
                <c:pt idx="36">
                  <c:v>0.67355582292582883</c:v>
                </c:pt>
                <c:pt idx="37">
                  <c:v>0.68858322730501187</c:v>
                </c:pt>
                <c:pt idx="38">
                  <c:v>0.7036126649065505</c:v>
                </c:pt>
                <c:pt idx="39">
                  <c:v>0.71864573191105752</c:v>
                </c:pt>
                <c:pt idx="40">
                  <c:v>0.73368472787982941</c:v>
                </c:pt>
                <c:pt idx="41">
                  <c:v>0.74873295432865394</c:v>
                </c:pt>
                <c:pt idx="42">
                  <c:v>0.76379490044306997</c:v>
                </c:pt>
                <c:pt idx="43">
                  <c:v>0.77887595532825815</c:v>
                </c:pt>
                <c:pt idx="44">
                  <c:v>0.79398096093378767</c:v>
                </c:pt>
                <c:pt idx="45">
                  <c:v>0.80911093991756911</c:v>
                </c:pt>
                <c:pt idx="46">
                  <c:v>0.82425886123181413</c:v>
                </c:pt>
                <c:pt idx="47">
                  <c:v>0.83940844095182088</c:v>
                </c:pt>
                <c:pt idx="48">
                  <c:v>0.85453959757494946</c:v>
                </c:pt>
                <c:pt idx="49">
                  <c:v>0.86963634268441381</c:v>
                </c:pt>
                <c:pt idx="50">
                  <c:v>0.88468885254610818</c:v>
                </c:pt>
              </c:numCache>
            </c:numRef>
          </c:yVal>
          <c:smooth val="1"/>
          <c:extLst>
            <c:ext xmlns:c16="http://schemas.microsoft.com/office/drawing/2014/chart" uri="{C3380CC4-5D6E-409C-BE32-E72D297353CC}">
              <c16:uniqueId val="{00000007-0319-4762-9CCB-AF1015638FB7}"/>
            </c:ext>
          </c:extLst>
        </c:ser>
        <c:dLbls>
          <c:showLegendKey val="0"/>
          <c:showVal val="0"/>
          <c:showCatName val="0"/>
          <c:showSerName val="0"/>
          <c:showPercent val="0"/>
          <c:showBubbleSize val="0"/>
        </c:dLbls>
        <c:axId val="277061568"/>
        <c:axId val="277064288"/>
      </c:scatterChart>
      <c:valAx>
        <c:axId val="277061568"/>
        <c:scaling>
          <c:orientation val="minMax"/>
        </c:scaling>
        <c:delete val="0"/>
        <c:axPos val="b"/>
        <c:majorGridlines/>
        <c:title>
          <c:tx>
            <c:rich>
              <a:bodyPr/>
              <a:lstStyle/>
              <a:p>
                <a:pPr>
                  <a:defRPr sz="1200" b="1" i="0" u="none" strike="noStrike" baseline="0">
                    <a:solidFill>
                      <a:srgbClr val="000000"/>
                    </a:solidFill>
                    <a:latin typeface="Arial"/>
                    <a:ea typeface="Arial"/>
                    <a:cs typeface="Arial"/>
                  </a:defRPr>
                </a:pPr>
                <a:r>
                  <a:rPr lang="pt-BR"/>
                  <a:t>Volume (mL)</a:t>
                </a:r>
              </a:p>
            </c:rich>
          </c:tx>
          <c:layout>
            <c:manualLayout>
              <c:xMode val="edge"/>
              <c:yMode val="edge"/>
              <c:x val="0.47892982456140382"/>
              <c:y val="0.93197889603902329"/>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nl-NL"/>
          </a:p>
        </c:txPr>
        <c:crossAx val="277064288"/>
        <c:crosses val="autoZero"/>
        <c:crossBetween val="midCat"/>
      </c:valAx>
      <c:valAx>
        <c:axId val="277064288"/>
        <c:scaling>
          <c:orientation val="minMax"/>
          <c:max val="1.03"/>
          <c:min val="0"/>
        </c:scaling>
        <c:delete val="0"/>
        <c:axPos val="l"/>
        <c:majorGridlines>
          <c:spPr>
            <a:ln w="3175">
              <a:solidFill>
                <a:srgbClr val="000000"/>
              </a:solidFill>
              <a:prstDash val="solid"/>
            </a:ln>
          </c:spPr>
        </c:majorGridlines>
        <c:title>
          <c:tx>
            <c:rich>
              <a:bodyPr/>
              <a:lstStyle/>
              <a:p>
                <a:pPr>
                  <a:defRPr sz="1100" b="0" i="0" u="none" strike="noStrike" baseline="0">
                    <a:solidFill>
                      <a:srgbClr val="000000"/>
                    </a:solidFill>
                    <a:latin typeface="Calibri"/>
                    <a:ea typeface="Calibri"/>
                    <a:cs typeface="Calibri"/>
                  </a:defRPr>
                </a:pPr>
                <a:r>
                  <a:rPr lang="pt-BR" sz="1725" b="0" i="0" strike="noStrike">
                    <a:solidFill>
                      <a:srgbClr val="000000"/>
                    </a:solidFill>
                    <a:latin typeface="Symbol"/>
                  </a:rPr>
                  <a:t>a</a:t>
                </a:r>
                <a:r>
                  <a:rPr lang="pt-BR" sz="1725" b="1" i="0" strike="noStrike" baseline="-25000">
                    <a:solidFill>
                      <a:srgbClr val="000000"/>
                    </a:solidFill>
                    <a:latin typeface="Arial"/>
                    <a:cs typeface="Arial"/>
                  </a:rPr>
                  <a:t>i</a:t>
                </a:r>
              </a:p>
            </c:rich>
          </c:tx>
          <c:layout>
            <c:manualLayout>
              <c:xMode val="edge"/>
              <c:yMode val="edge"/>
              <c:x val="6.5020030390939062E-3"/>
              <c:y val="0.46310537324967177"/>
            </c:manualLayout>
          </c:layout>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nl-NL"/>
          </a:p>
        </c:txPr>
        <c:crossAx val="277061568"/>
        <c:crosses val="autoZero"/>
        <c:crossBetween val="midCat"/>
      </c:valAx>
      <c:spPr>
        <a:noFill/>
        <a:ln w="12700">
          <a:solidFill>
            <a:schemeClr val="tx1"/>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0.98425196899999956" l="0.78740157499999996" r="0.78740157499999996" t="0.98425196899999956" header="0.49212598500001165" footer="0.4921259850000116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pt-BR" sz="1200"/>
              <a:t>Average protonation (h</a:t>
            </a:r>
            <a:r>
              <a:rPr lang="pt-BR" sz="1400" baseline="-25000"/>
              <a:t>m</a:t>
            </a:r>
            <a:r>
              <a:rPr lang="pt-BR" sz="1200"/>
              <a:t>) of the base along a titration</a:t>
            </a:r>
          </a:p>
        </c:rich>
      </c:tx>
      <c:layout>
        <c:manualLayout>
          <c:xMode val="edge"/>
          <c:yMode val="edge"/>
          <c:x val="9.0469631243875179E-2"/>
          <c:y val="8.8688304205877568E-3"/>
        </c:manualLayout>
      </c:layout>
      <c:overlay val="0"/>
      <c:spPr>
        <a:noFill/>
        <a:ln w="25400">
          <a:noFill/>
        </a:ln>
      </c:spPr>
    </c:title>
    <c:autoTitleDeleted val="0"/>
    <c:plotArea>
      <c:layout>
        <c:manualLayout>
          <c:layoutTarget val="inner"/>
          <c:xMode val="edge"/>
          <c:yMode val="edge"/>
          <c:x val="9.5209477722708422E-2"/>
          <c:y val="8.2321721799913636E-2"/>
          <c:w val="0.84638248774552849"/>
          <c:h val="0.77529771617703558"/>
        </c:manualLayout>
      </c:layout>
      <c:scatterChart>
        <c:scatterStyle val="smoothMarker"/>
        <c:varyColors val="0"/>
        <c:ser>
          <c:idx val="0"/>
          <c:order val="0"/>
          <c:tx>
            <c:v>h médio</c:v>
          </c:tx>
          <c:spPr>
            <a:ln w="38100">
              <a:solidFill>
                <a:srgbClr val="09007E"/>
              </a:solidFill>
              <a:prstDash val="solid"/>
            </a:ln>
          </c:spPr>
          <c:marker>
            <c:symbol val="circle"/>
            <c:size val="5"/>
            <c:spPr>
              <a:solidFill>
                <a:srgbClr val="F4EE00"/>
              </a:solidFill>
              <a:ln>
                <a:solidFill>
                  <a:srgbClr val="FF0000"/>
                </a:solidFill>
                <a:prstDash val="solid"/>
              </a:ln>
            </c:spPr>
          </c:marker>
          <c:xVal>
            <c:numRef>
              <c:f>Distribution!$Y$12:$Y$114</c:f>
              <c:numCache>
                <c:formatCode>0.000</c:formatCode>
                <c:ptCount val="103"/>
                <c:pt idx="0">
                  <c:v>0</c:v>
                </c:pt>
                <c:pt idx="1">
                  <c:v>2.3004448812571354</c:v>
                </c:pt>
                <c:pt idx="2">
                  <c:v>4.3254298929241486</c:v>
                </c:pt>
                <c:pt idx="3">
                  <c:v>5.9982889695675112</c:v>
                </c:pt>
                <c:pt idx="4">
                  <c:v>7.2857926934375428</c:v>
                </c:pt>
                <c:pt idx="5">
                  <c:v>8.2150732792797498</c:v>
                </c:pt>
                <c:pt idx="6">
                  <c:v>8.852646873856429</c:v>
                </c:pt>
                <c:pt idx="7">
                  <c:v>9.2745251997257583</c:v>
                </c:pt>
                <c:pt idx="8">
                  <c:v>9.5472193221212365</c:v>
                </c:pt>
                <c:pt idx="9">
                  <c:v>9.7213898246991448</c:v>
                </c:pt>
                <c:pt idx="10">
                  <c:v>9.8327682426315732</c:v>
                </c:pt>
                <c:pt idx="11">
                  <c:v>9.9056407503667288</c:v>
                </c:pt>
                <c:pt idx="12">
                  <c:v>9.956512633652892</c:v>
                </c:pt>
                <c:pt idx="13">
                  <c:v>9.9971799951163121</c:v>
                </c:pt>
                <c:pt idx="14">
                  <c:v>10.037190483126324</c:v>
                </c:pt>
                <c:pt idx="15">
                  <c:v>10.085949620406609</c:v>
                </c:pt>
                <c:pt idx="16">
                  <c:v>10.154803957266267</c:v>
                </c:pt>
                <c:pt idx="17">
                  <c:v>10.259427917480934</c:v>
                </c:pt>
                <c:pt idx="18">
                  <c:v>10.422738817578647</c:v>
                </c:pt>
                <c:pt idx="19">
                  <c:v>10.678157336951699</c:v>
                </c:pt>
                <c:pt idx="20">
                  <c:v>11.071775054733735</c:v>
                </c:pt>
                <c:pt idx="21">
                  <c:v>11.659035268530715</c:v>
                </c:pt>
                <c:pt idx="22">
                  <c:v>12.487507292826194</c:v>
                </c:pt>
                <c:pt idx="23">
                  <c:v>13.560292513284367</c:v>
                </c:pt>
                <c:pt idx="24">
                  <c:v>14.799194350780454</c:v>
                </c:pt>
                <c:pt idx="25">
                  <c:v>16.054576211899985</c:v>
                </c:pt>
                <c:pt idx="26">
                  <c:v>17.173922529036645</c:v>
                </c:pt>
                <c:pt idx="27">
                  <c:v>18.068469061108772</c:v>
                </c:pt>
                <c:pt idx="28">
                  <c:v>18.725484058086295</c:v>
                </c:pt>
                <c:pt idx="29">
                  <c:v>19.179874857945833</c:v>
                </c:pt>
                <c:pt idx="30">
                  <c:v>19.48181740444852</c:v>
                </c:pt>
                <c:pt idx="31">
                  <c:v>19.677734184369911</c:v>
                </c:pt>
                <c:pt idx="32">
                  <c:v>19.803712518478278</c:v>
                </c:pt>
                <c:pt idx="33">
                  <c:v>19.885540132236201</c:v>
                </c:pt>
                <c:pt idx="34">
                  <c:v>19.941073826339561</c:v>
                </c:pt>
                <c:pt idx="35">
                  <c:v>19.982924718351569</c:v>
                </c:pt>
                <c:pt idx="36">
                  <c:v>20.020832466252614</c:v>
                </c:pt>
                <c:pt idx="37">
                  <c:v>20.063731157279108</c:v>
                </c:pt>
                <c:pt idx="38">
                  <c:v>20.121755062427837</c:v>
                </c:pt>
                <c:pt idx="39">
                  <c:v>20.208536063728388</c:v>
                </c:pt>
                <c:pt idx="40">
                  <c:v>20.344214436772745</c:v>
                </c:pt>
                <c:pt idx="41">
                  <c:v>20.55962798622204</c:v>
                </c:pt>
                <c:pt idx="42">
                  <c:v>20.902049214055296</c:v>
                </c:pt>
                <c:pt idx="43">
                  <c:v>21.442285725788679</c:v>
                </c:pt>
                <c:pt idx="44">
                  <c:v>22.281442677194718</c:v>
                </c:pt>
                <c:pt idx="45">
                  <c:v>23.553723619261291</c:v>
                </c:pt>
                <c:pt idx="46">
                  <c:v>25.425947584153619</c:v>
                </c:pt>
                <c:pt idx="47">
                  <c:v>28.122492051625159</c:v>
                </c:pt>
                <c:pt idx="48">
                  <c:v>32.065280988172162</c:v>
                </c:pt>
                <c:pt idx="49">
                  <c:v>38.31748273660196</c:v>
                </c:pt>
                <c:pt idx="50">
                  <c:v>49.999999998544808</c:v>
                </c:pt>
              </c:numCache>
            </c:numRef>
          </c:xVal>
          <c:yVal>
            <c:numRef>
              <c:f>Distribution!$AA$12:$AA$114</c:f>
              <c:numCache>
                <c:formatCode>0.000</c:formatCode>
                <c:ptCount val="103"/>
                <c:pt idx="0">
                  <c:v>2.611256863883618</c:v>
                </c:pt>
                <c:pt idx="1">
                  <c:v>2.4894152781507013</c:v>
                </c:pt>
                <c:pt idx="2">
                  <c:v>2.3692671893808357</c:v>
                </c:pt>
                <c:pt idx="3">
                  <c:v>2.2638097447622902</c:v>
                </c:pt>
                <c:pt idx="4">
                  <c:v>2.1801441443986733</c:v>
                </c:pt>
                <c:pt idx="5">
                  <c:v>2.118850371717973</c:v>
                </c:pt>
                <c:pt idx="6">
                  <c:v>2.0764726140365402</c:v>
                </c:pt>
                <c:pt idx="7">
                  <c:v>2.0482915201191303</c:v>
                </c:pt>
                <c:pt idx="8">
                  <c:v>2.0299749576428181</c:v>
                </c:pt>
                <c:pt idx="9">
                  <c:v>2.0181538165590442</c:v>
                </c:pt>
                <c:pt idx="10">
                  <c:v>2.0104106507743622</c:v>
                </c:pt>
                <c:pt idx="11">
                  <c:v>2.0050562957243598</c:v>
                </c:pt>
                <c:pt idx="12">
                  <c:v>2.0008754989469919</c:v>
                </c:pt>
                <c:pt idx="13">
                  <c:v>1.9968986233493355</c:v>
                </c:pt>
                <c:pt idx="14">
                  <c:v>1.9921993189339051</c:v>
                </c:pt>
                <c:pt idx="15">
                  <c:v>1.9856973561205173</c:v>
                </c:pt>
                <c:pt idx="16">
                  <c:v>1.9759426375741156</c:v>
                </c:pt>
                <c:pt idx="17">
                  <c:v>1.9608673875398863</c:v>
                </c:pt>
                <c:pt idx="18">
                  <c:v>1.9375308878094686</c:v>
                </c:pt>
                <c:pt idx="19">
                  <c:v>1.9019735995181097</c:v>
                </c:pt>
                <c:pt idx="20">
                  <c:v>1.8494747455127238</c:v>
                </c:pt>
                <c:pt idx="21">
                  <c:v>1.7757132431442808</c:v>
                </c:pt>
                <c:pt idx="22">
                  <c:v>1.6792131080557846</c:v>
                </c:pt>
                <c:pt idx="23">
                  <c:v>1.5643292180516335</c:v>
                </c:pt>
                <c:pt idx="24">
                  <c:v>1.4421220084531423</c:v>
                </c:pt>
                <c:pt idx="25">
                  <c:v>1.3267410063578309</c:v>
                </c:pt>
                <c:pt idx="26">
                  <c:v>1.2293307256665629</c:v>
                </c:pt>
                <c:pt idx="27">
                  <c:v>1.1544571268197175</c:v>
                </c:pt>
                <c:pt idx="28">
                  <c:v>1.1008900013775746</c:v>
                </c:pt>
                <c:pt idx="29">
                  <c:v>1.0644642973705616</c:v>
                </c:pt>
                <c:pt idx="30">
                  <c:v>1.0405042712995929</c:v>
                </c:pt>
                <c:pt idx="31">
                  <c:v>1.0250312290295356</c:v>
                </c:pt>
                <c:pt idx="32">
                  <c:v>1.0150689142924705</c:v>
                </c:pt>
                <c:pt idx="33">
                  <c:v>1.0085251900875707</c:v>
                </c:pt>
                <c:pt idx="34">
                  <c:v>1.0039498342282533</c:v>
                </c:pt>
                <c:pt idx="35">
                  <c:v>1.0002949498465075</c:v>
                </c:pt>
                <c:pt idx="36">
                  <c:v>0.99670902887488744</c:v>
                </c:pt>
                <c:pt idx="37">
                  <c:v>0.99235550633772174</c:v>
                </c:pt>
                <c:pt idx="38">
                  <c:v>0.98623340655917535</c:v>
                </c:pt>
                <c:pt idx="39">
                  <c:v>0.97697688906088376</c:v>
                </c:pt>
                <c:pt idx="40">
                  <c:v>0.96262111482621326</c:v>
                </c:pt>
                <c:pt idx="41">
                  <c:v>0.94035611414584397</c:v>
                </c:pt>
                <c:pt idx="42">
                  <c:v>0.90637486967590586</c:v>
                </c:pt>
                <c:pt idx="43">
                  <c:v>0.85608395997254494</c:v>
                </c:pt>
                <c:pt idx="44">
                  <c:v>0.78513773598320757</c:v>
                </c:pt>
                <c:pt idx="45">
                  <c:v>0.69167954517122454</c:v>
                </c:pt>
                <c:pt idx="46">
                  <c:v>0.57922870197524923</c:v>
                </c:pt>
                <c:pt idx="47">
                  <c:v>0.4579033326585949</c:v>
                </c:pt>
                <c:pt idx="48">
                  <c:v>0.34151020155616346</c:v>
                </c:pt>
                <c:pt idx="49">
                  <c:v>0.24172590275729619</c:v>
                </c:pt>
                <c:pt idx="50">
                  <c:v>0.16403867816600226</c:v>
                </c:pt>
              </c:numCache>
            </c:numRef>
          </c:yVal>
          <c:smooth val="1"/>
          <c:extLst>
            <c:ext xmlns:c16="http://schemas.microsoft.com/office/drawing/2014/chart" uri="{C3380CC4-5D6E-409C-BE32-E72D297353CC}">
              <c16:uniqueId val="{00000000-233D-47C5-B057-674FBCDD6453}"/>
            </c:ext>
          </c:extLst>
        </c:ser>
        <c:ser>
          <c:idx val="1"/>
          <c:order val="1"/>
          <c:tx>
            <c:v>n*pH/14</c:v>
          </c:tx>
          <c:spPr>
            <a:ln w="15875">
              <a:solidFill>
                <a:srgbClr val="1C52BE"/>
              </a:solidFill>
              <a:prstDash val="sysDash"/>
            </a:ln>
          </c:spPr>
          <c:marker>
            <c:symbol val="circle"/>
            <c:size val="4"/>
            <c:spPr>
              <a:noFill/>
              <a:ln>
                <a:solidFill>
                  <a:srgbClr val="0000FF"/>
                </a:solidFill>
                <a:prstDash val="solid"/>
              </a:ln>
            </c:spPr>
          </c:marker>
          <c:xVal>
            <c:numRef>
              <c:f>Distribution!$Y$12:$Y$114</c:f>
              <c:numCache>
                <c:formatCode>0.000</c:formatCode>
                <c:ptCount val="103"/>
                <c:pt idx="0">
                  <c:v>0</c:v>
                </c:pt>
                <c:pt idx="1">
                  <c:v>2.3004448812571354</c:v>
                </c:pt>
                <c:pt idx="2">
                  <c:v>4.3254298929241486</c:v>
                </c:pt>
                <c:pt idx="3">
                  <c:v>5.9982889695675112</c:v>
                </c:pt>
                <c:pt idx="4">
                  <c:v>7.2857926934375428</c:v>
                </c:pt>
                <c:pt idx="5">
                  <c:v>8.2150732792797498</c:v>
                </c:pt>
                <c:pt idx="6">
                  <c:v>8.852646873856429</c:v>
                </c:pt>
                <c:pt idx="7">
                  <c:v>9.2745251997257583</c:v>
                </c:pt>
                <c:pt idx="8">
                  <c:v>9.5472193221212365</c:v>
                </c:pt>
                <c:pt idx="9">
                  <c:v>9.7213898246991448</c:v>
                </c:pt>
                <c:pt idx="10">
                  <c:v>9.8327682426315732</c:v>
                </c:pt>
                <c:pt idx="11">
                  <c:v>9.9056407503667288</c:v>
                </c:pt>
                <c:pt idx="12">
                  <c:v>9.956512633652892</c:v>
                </c:pt>
                <c:pt idx="13">
                  <c:v>9.9971799951163121</c:v>
                </c:pt>
                <c:pt idx="14">
                  <c:v>10.037190483126324</c:v>
                </c:pt>
                <c:pt idx="15">
                  <c:v>10.085949620406609</c:v>
                </c:pt>
                <c:pt idx="16">
                  <c:v>10.154803957266267</c:v>
                </c:pt>
                <c:pt idx="17">
                  <c:v>10.259427917480934</c:v>
                </c:pt>
                <c:pt idx="18">
                  <c:v>10.422738817578647</c:v>
                </c:pt>
                <c:pt idx="19">
                  <c:v>10.678157336951699</c:v>
                </c:pt>
                <c:pt idx="20">
                  <c:v>11.071775054733735</c:v>
                </c:pt>
                <c:pt idx="21">
                  <c:v>11.659035268530715</c:v>
                </c:pt>
                <c:pt idx="22">
                  <c:v>12.487507292826194</c:v>
                </c:pt>
                <c:pt idx="23">
                  <c:v>13.560292513284367</c:v>
                </c:pt>
                <c:pt idx="24">
                  <c:v>14.799194350780454</c:v>
                </c:pt>
                <c:pt idx="25">
                  <c:v>16.054576211899985</c:v>
                </c:pt>
                <c:pt idx="26">
                  <c:v>17.173922529036645</c:v>
                </c:pt>
                <c:pt idx="27">
                  <c:v>18.068469061108772</c:v>
                </c:pt>
                <c:pt idx="28">
                  <c:v>18.725484058086295</c:v>
                </c:pt>
                <c:pt idx="29">
                  <c:v>19.179874857945833</c:v>
                </c:pt>
                <c:pt idx="30">
                  <c:v>19.48181740444852</c:v>
                </c:pt>
                <c:pt idx="31">
                  <c:v>19.677734184369911</c:v>
                </c:pt>
                <c:pt idx="32">
                  <c:v>19.803712518478278</c:v>
                </c:pt>
                <c:pt idx="33">
                  <c:v>19.885540132236201</c:v>
                </c:pt>
                <c:pt idx="34">
                  <c:v>19.941073826339561</c:v>
                </c:pt>
                <c:pt idx="35">
                  <c:v>19.982924718351569</c:v>
                </c:pt>
                <c:pt idx="36">
                  <c:v>20.020832466252614</c:v>
                </c:pt>
                <c:pt idx="37">
                  <c:v>20.063731157279108</c:v>
                </c:pt>
                <c:pt idx="38">
                  <c:v>20.121755062427837</c:v>
                </c:pt>
                <c:pt idx="39">
                  <c:v>20.208536063728388</c:v>
                </c:pt>
                <c:pt idx="40">
                  <c:v>20.344214436772745</c:v>
                </c:pt>
                <c:pt idx="41">
                  <c:v>20.55962798622204</c:v>
                </c:pt>
                <c:pt idx="42">
                  <c:v>20.902049214055296</c:v>
                </c:pt>
                <c:pt idx="43">
                  <c:v>21.442285725788679</c:v>
                </c:pt>
                <c:pt idx="44">
                  <c:v>22.281442677194718</c:v>
                </c:pt>
                <c:pt idx="45">
                  <c:v>23.553723619261291</c:v>
                </c:pt>
                <c:pt idx="46">
                  <c:v>25.425947584153619</c:v>
                </c:pt>
                <c:pt idx="47">
                  <c:v>28.122492051625159</c:v>
                </c:pt>
                <c:pt idx="48">
                  <c:v>32.065280988172162</c:v>
                </c:pt>
                <c:pt idx="49">
                  <c:v>38.31748273660196</c:v>
                </c:pt>
                <c:pt idx="50">
                  <c:v>49.999999998544808</c:v>
                </c:pt>
              </c:numCache>
            </c:numRef>
          </c:xVal>
          <c:yVal>
            <c:numRef>
              <c:f>Distribution!$AJ$12:$AJ$114</c:f>
              <c:numCache>
                <c:formatCode>0.000</c:formatCode>
                <c:ptCount val="103"/>
                <c:pt idx="0">
                  <c:v>0.38938013144405897</c:v>
                </c:pt>
                <c:pt idx="1">
                  <c:v>0.43543882441354714</c:v>
                </c:pt>
                <c:pt idx="2">
                  <c:v>0.48131563273660466</c:v>
                </c:pt>
                <c:pt idx="3">
                  <c:v>0.52698937318188832</c:v>
                </c:pt>
                <c:pt idx="4">
                  <c:v>0.5724823064971154</c:v>
                </c:pt>
                <c:pt idx="5">
                  <c:v>0.61783499490565974</c:v>
                </c:pt>
                <c:pt idx="6">
                  <c:v>0.66308799473408508</c:v>
                </c:pt>
                <c:pt idx="7">
                  <c:v>0.70827400276456987</c:v>
                </c:pt>
                <c:pt idx="8">
                  <c:v>0.75341668486892199</c:v>
                </c:pt>
                <c:pt idx="9">
                  <c:v>0.79853224233844888</c:v>
                </c:pt>
                <c:pt idx="10">
                  <c:v>0.84363154953376351</c:v>
                </c:pt>
                <c:pt idx="11">
                  <c:v>0.8887220467477418</c:v>
                </c:pt>
                <c:pt idx="12">
                  <c:v>0.93380923413549566</c:v>
                </c:pt>
                <c:pt idx="13">
                  <c:v>0.97889786205279583</c:v>
                </c:pt>
                <c:pt idx="14">
                  <c:v>1.0239929827724956</c:v>
                </c:pt>
                <c:pt idx="15">
                  <c:v>1.069101032825271</c:v>
                </c:pt>
                <c:pt idx="16">
                  <c:v>1.1142310842210734</c:v>
                </c:pt>
                <c:pt idx="17">
                  <c:v>1.1593962996545584</c:v>
                </c:pt>
                <c:pt idx="18">
                  <c:v>1.2046153300331075</c:v>
                </c:pt>
                <c:pt idx="19">
                  <c:v>1.2499126738144237</c:v>
                </c:pt>
                <c:pt idx="20">
                  <c:v>1.2953156819016967</c:v>
                </c:pt>
                <c:pt idx="21">
                  <c:v>1.3408446130134593</c:v>
                </c:pt>
                <c:pt idx="22">
                  <c:v>1.3864944259311525</c:v>
                </c:pt>
                <c:pt idx="23">
                  <c:v>1.4322182665427263</c:v>
                </c:pt>
                <c:pt idx="24">
                  <c:v>1.4779350983998996</c:v>
                </c:pt>
                <c:pt idx="25">
                  <c:v>1.5235672433357057</c:v>
                </c:pt>
                <c:pt idx="26">
                  <c:v>1.5690748067343598</c:v>
                </c:pt>
                <c:pt idx="27">
                  <c:v>1.6144582887204781</c:v>
                </c:pt>
                <c:pt idx="28">
                  <c:v>1.6597402879816854</c:v>
                </c:pt>
                <c:pt idx="29">
                  <c:v>1.7049482027683684</c:v>
                </c:pt>
                <c:pt idx="30">
                  <c:v>1.7501056026591297</c:v>
                </c:pt>
                <c:pt idx="31">
                  <c:v>1.7952300128916019</c:v>
                </c:pt>
                <c:pt idx="32">
                  <c:v>1.840333552001338</c:v>
                </c:pt>
                <c:pt idx="33">
                  <c:v>1.8854243356584395</c:v>
                </c:pt>
                <c:pt idx="34">
                  <c:v>1.9305078140837488</c:v>
                </c:pt>
                <c:pt idx="35">
                  <c:v>1.9755878357203349</c:v>
                </c:pt>
                <c:pt idx="36">
                  <c:v>2.0206674687774862</c:v>
                </c:pt>
                <c:pt idx="37">
                  <c:v>2.0657496819150358</c:v>
                </c:pt>
                <c:pt idx="38">
                  <c:v>2.1108379947196516</c:v>
                </c:pt>
                <c:pt idx="39">
                  <c:v>2.1559371957331726</c:v>
                </c:pt>
                <c:pt idx="40">
                  <c:v>2.2010541836394881</c:v>
                </c:pt>
                <c:pt idx="41">
                  <c:v>2.2461988629859619</c:v>
                </c:pt>
                <c:pt idx="42">
                  <c:v>2.2913847013292101</c:v>
                </c:pt>
                <c:pt idx="43">
                  <c:v>2.3366278659847741</c:v>
                </c:pt>
                <c:pt idx="44">
                  <c:v>2.3819428828013627</c:v>
                </c:pt>
                <c:pt idx="45">
                  <c:v>2.4273328197527073</c:v>
                </c:pt>
                <c:pt idx="46">
                  <c:v>2.4727765836954423</c:v>
                </c:pt>
                <c:pt idx="47">
                  <c:v>2.518225322855463</c:v>
                </c:pt>
                <c:pt idx="48">
                  <c:v>2.5636187927248484</c:v>
                </c:pt>
                <c:pt idx="49">
                  <c:v>2.6089090280532412</c:v>
                </c:pt>
                <c:pt idx="50">
                  <c:v>2.6540665576383242</c:v>
                </c:pt>
              </c:numCache>
            </c:numRef>
          </c:yVal>
          <c:smooth val="1"/>
          <c:extLst>
            <c:ext xmlns:c16="http://schemas.microsoft.com/office/drawing/2014/chart" uri="{C3380CC4-5D6E-409C-BE32-E72D297353CC}">
              <c16:uniqueId val="{00000001-233D-47C5-B057-674FBCDD6453}"/>
            </c:ext>
          </c:extLst>
        </c:ser>
        <c:dLbls>
          <c:showLegendKey val="0"/>
          <c:showVal val="0"/>
          <c:showCatName val="0"/>
          <c:showSerName val="0"/>
          <c:showPercent val="0"/>
          <c:showBubbleSize val="0"/>
        </c:dLbls>
        <c:axId val="277065376"/>
        <c:axId val="277065920"/>
      </c:scatterChart>
      <c:valAx>
        <c:axId val="277065376"/>
        <c:scaling>
          <c:orientation val="minMax"/>
        </c:scaling>
        <c:delete val="0"/>
        <c:axPos val="b"/>
        <c:majorGridlines/>
        <c:title>
          <c:tx>
            <c:rich>
              <a:bodyPr/>
              <a:lstStyle/>
              <a:p>
                <a:pPr>
                  <a:defRPr sz="1200" b="1" i="0" u="none" strike="noStrike" baseline="0">
                    <a:solidFill>
                      <a:srgbClr val="000000"/>
                    </a:solidFill>
                    <a:latin typeface="Arial"/>
                    <a:ea typeface="Arial"/>
                    <a:cs typeface="Arial"/>
                  </a:defRPr>
                </a:pPr>
                <a:r>
                  <a:rPr lang="pt-BR"/>
                  <a:t>Volume (mL)</a:t>
                </a:r>
              </a:p>
            </c:rich>
          </c:tx>
          <c:layout>
            <c:manualLayout>
              <c:xMode val="edge"/>
              <c:yMode val="edge"/>
              <c:x val="0.44629948671559194"/>
              <c:y val="0.94280852698290751"/>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nl-NL"/>
          </a:p>
        </c:txPr>
        <c:crossAx val="277065920"/>
        <c:crosses val="autoZero"/>
        <c:crossBetween val="midCat"/>
      </c:valAx>
      <c:valAx>
        <c:axId val="277065920"/>
        <c:scaling>
          <c:orientation val="minMax"/>
        </c:scaling>
        <c:delete val="0"/>
        <c:axPos val="l"/>
        <c:majorGridlines>
          <c:spPr>
            <a:ln w="3175">
              <a:solidFill>
                <a:srgbClr val="000000"/>
              </a:solidFill>
              <a:prstDash val="solid"/>
            </a:ln>
          </c:spPr>
        </c:majorGridlines>
        <c:title>
          <c:tx>
            <c:rich>
              <a:bodyPr/>
              <a:lstStyle/>
              <a:p>
                <a:pPr>
                  <a:defRPr sz="1050" b="1" i="0" u="none" strike="noStrike" baseline="0">
                    <a:solidFill>
                      <a:srgbClr val="000000"/>
                    </a:solidFill>
                    <a:latin typeface="Arial"/>
                    <a:ea typeface="Arial"/>
                    <a:cs typeface="Arial"/>
                  </a:defRPr>
                </a:pPr>
                <a:r>
                  <a:rPr lang="pt-BR"/>
                  <a:t>average protonation</a:t>
                </a:r>
              </a:p>
            </c:rich>
          </c:tx>
          <c:layout>
            <c:manualLayout>
              <c:xMode val="edge"/>
              <c:yMode val="edge"/>
              <c:x val="8.7977906155986708E-3"/>
              <c:y val="0.38141860316242243"/>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nl-NL"/>
          </a:p>
        </c:txPr>
        <c:crossAx val="277065376"/>
        <c:crosses val="autoZero"/>
        <c:crossBetween val="midCat"/>
      </c:valAx>
      <c:spPr>
        <a:noFill/>
        <a:ln w="12700">
          <a:solidFill>
            <a:schemeClr val="tx1"/>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0.98425196899999956" l="0.78740157499999996" r="0.78740157499999996" t="0.98425196899999956" header="0.49212598500001165" footer="0.4921259850000116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pt-BR" sz="1200"/>
              <a:t>Distribution of HiB species</a:t>
            </a:r>
          </a:p>
        </c:rich>
      </c:tx>
      <c:layout>
        <c:manualLayout>
          <c:xMode val="edge"/>
          <c:yMode val="edge"/>
          <c:x val="0.11432329782306618"/>
          <c:y val="1.3192612137203158E-2"/>
        </c:manualLayout>
      </c:layout>
      <c:overlay val="0"/>
      <c:spPr>
        <a:noFill/>
        <a:ln w="25400">
          <a:noFill/>
        </a:ln>
      </c:spPr>
    </c:title>
    <c:autoTitleDeleted val="0"/>
    <c:plotArea>
      <c:layout>
        <c:manualLayout>
          <c:layoutTarget val="inner"/>
          <c:xMode val="edge"/>
          <c:yMode val="edge"/>
          <c:x val="0.11671477952397709"/>
          <c:y val="8.7719512941320438E-2"/>
          <c:w val="0.85158561356384443"/>
          <c:h val="0.7568940830937062"/>
        </c:manualLayout>
      </c:layout>
      <c:scatterChart>
        <c:scatterStyle val="smoothMarker"/>
        <c:varyColors val="0"/>
        <c:ser>
          <c:idx val="1"/>
          <c:order val="0"/>
          <c:tx>
            <c:v>Alpha B</c:v>
          </c:tx>
          <c:spPr>
            <a:ln w="25400">
              <a:solidFill>
                <a:srgbClr val="FF0000"/>
              </a:solidFill>
              <a:prstDash val="solid"/>
            </a:ln>
          </c:spPr>
          <c:marker>
            <c:symbol val="none"/>
          </c:marker>
          <c:xVal>
            <c:numRef>
              <c:f>Distribution!$O$12:$O$82</c:f>
              <c:numCache>
                <c:formatCode>0.000</c:formatCode>
                <c:ptCount val="71"/>
                <c:pt idx="0">
                  <c:v>0</c:v>
                </c:pt>
                <c:pt idx="1">
                  <c:v>0.2</c:v>
                </c:pt>
                <c:pt idx="2">
                  <c:v>0.4</c:v>
                </c:pt>
                <c:pt idx="3">
                  <c:v>0.60000000000000009</c:v>
                </c:pt>
                <c:pt idx="4">
                  <c:v>0.8</c:v>
                </c:pt>
                <c:pt idx="5">
                  <c:v>1</c:v>
                </c:pt>
                <c:pt idx="6">
                  <c:v>1.2</c:v>
                </c:pt>
                <c:pt idx="7">
                  <c:v>1.4</c:v>
                </c:pt>
                <c:pt idx="8">
                  <c:v>1.5999999999999999</c:v>
                </c:pt>
                <c:pt idx="9">
                  <c:v>1.7999999999999998</c:v>
                </c:pt>
                <c:pt idx="10">
                  <c:v>1.9999999999999998</c:v>
                </c:pt>
                <c:pt idx="11">
                  <c:v>2.1999999999999997</c:v>
                </c:pt>
                <c:pt idx="12">
                  <c:v>2.4</c:v>
                </c:pt>
                <c:pt idx="13">
                  <c:v>2.6</c:v>
                </c:pt>
                <c:pt idx="14">
                  <c:v>2.8000000000000003</c:v>
                </c:pt>
                <c:pt idx="15">
                  <c:v>3.0000000000000004</c:v>
                </c:pt>
                <c:pt idx="16">
                  <c:v>3.2000000000000006</c:v>
                </c:pt>
                <c:pt idx="17">
                  <c:v>3.4000000000000008</c:v>
                </c:pt>
                <c:pt idx="18">
                  <c:v>3.600000000000001</c:v>
                </c:pt>
                <c:pt idx="19">
                  <c:v>3.8000000000000012</c:v>
                </c:pt>
                <c:pt idx="20">
                  <c:v>4.0000000000000009</c:v>
                </c:pt>
                <c:pt idx="21">
                  <c:v>4.2000000000000011</c:v>
                </c:pt>
                <c:pt idx="22">
                  <c:v>4.4000000000000012</c:v>
                </c:pt>
                <c:pt idx="23">
                  <c:v>4.6000000000000014</c:v>
                </c:pt>
                <c:pt idx="24">
                  <c:v>4.8000000000000016</c:v>
                </c:pt>
                <c:pt idx="25">
                  <c:v>5.0000000000000018</c:v>
                </c:pt>
                <c:pt idx="26">
                  <c:v>5.200000000000002</c:v>
                </c:pt>
                <c:pt idx="27">
                  <c:v>5.4000000000000021</c:v>
                </c:pt>
                <c:pt idx="28">
                  <c:v>5.6000000000000023</c:v>
                </c:pt>
                <c:pt idx="29">
                  <c:v>5.8000000000000025</c:v>
                </c:pt>
                <c:pt idx="30">
                  <c:v>6.0000000000000027</c:v>
                </c:pt>
                <c:pt idx="31">
                  <c:v>6.2000000000000028</c:v>
                </c:pt>
                <c:pt idx="32">
                  <c:v>6.400000000000003</c:v>
                </c:pt>
                <c:pt idx="33">
                  <c:v>6.6000000000000032</c:v>
                </c:pt>
                <c:pt idx="34">
                  <c:v>6.8000000000000034</c:v>
                </c:pt>
                <c:pt idx="35">
                  <c:v>7.0000000000000036</c:v>
                </c:pt>
                <c:pt idx="36">
                  <c:v>7.2000000000000037</c:v>
                </c:pt>
                <c:pt idx="37">
                  <c:v>7.4000000000000039</c:v>
                </c:pt>
                <c:pt idx="38">
                  <c:v>7.6000000000000041</c:v>
                </c:pt>
                <c:pt idx="39">
                  <c:v>7.8000000000000043</c:v>
                </c:pt>
                <c:pt idx="40">
                  <c:v>8.0000000000000036</c:v>
                </c:pt>
                <c:pt idx="41">
                  <c:v>8.2000000000000028</c:v>
                </c:pt>
                <c:pt idx="42">
                  <c:v>8.4000000000000021</c:v>
                </c:pt>
                <c:pt idx="43">
                  <c:v>8.6000000000000014</c:v>
                </c:pt>
                <c:pt idx="44">
                  <c:v>8.8000000000000007</c:v>
                </c:pt>
                <c:pt idx="45">
                  <c:v>9</c:v>
                </c:pt>
                <c:pt idx="46">
                  <c:v>9.1999999999999993</c:v>
                </c:pt>
                <c:pt idx="47">
                  <c:v>9.3999999999999986</c:v>
                </c:pt>
                <c:pt idx="48">
                  <c:v>9.5999999999999979</c:v>
                </c:pt>
                <c:pt idx="49">
                  <c:v>9.7999999999999972</c:v>
                </c:pt>
                <c:pt idx="50">
                  <c:v>9.9999999999999964</c:v>
                </c:pt>
                <c:pt idx="51">
                  <c:v>10.199999999999996</c:v>
                </c:pt>
                <c:pt idx="52">
                  <c:v>10.399999999999995</c:v>
                </c:pt>
                <c:pt idx="53">
                  <c:v>10.599999999999994</c:v>
                </c:pt>
                <c:pt idx="54">
                  <c:v>10.799999999999994</c:v>
                </c:pt>
                <c:pt idx="55">
                  <c:v>10.999999999999993</c:v>
                </c:pt>
                <c:pt idx="56">
                  <c:v>11.199999999999992</c:v>
                </c:pt>
                <c:pt idx="57">
                  <c:v>11.399999999999991</c:v>
                </c:pt>
                <c:pt idx="58">
                  <c:v>11.599999999999991</c:v>
                </c:pt>
                <c:pt idx="59">
                  <c:v>11.79999999999999</c:v>
                </c:pt>
                <c:pt idx="60">
                  <c:v>11.999999999999989</c:v>
                </c:pt>
                <c:pt idx="61">
                  <c:v>12.199999999999989</c:v>
                </c:pt>
                <c:pt idx="62">
                  <c:v>12.399999999999988</c:v>
                </c:pt>
                <c:pt idx="63">
                  <c:v>12.599999999999987</c:v>
                </c:pt>
                <c:pt idx="64">
                  <c:v>12.799999999999986</c:v>
                </c:pt>
                <c:pt idx="65">
                  <c:v>12.999999999999986</c:v>
                </c:pt>
                <c:pt idx="66">
                  <c:v>13.199999999999985</c:v>
                </c:pt>
                <c:pt idx="67">
                  <c:v>13.399999999999984</c:v>
                </c:pt>
                <c:pt idx="68">
                  <c:v>13.599999999999984</c:v>
                </c:pt>
                <c:pt idx="69">
                  <c:v>13.799999999999983</c:v>
                </c:pt>
                <c:pt idx="70">
                  <c:v>13.999999999999982</c:v>
                </c:pt>
              </c:numCache>
            </c:numRef>
          </c:xVal>
          <c:yVal>
            <c:numRef>
              <c:f>Distribution!$AN$12:$AN$82</c:f>
              <c:numCache>
                <c:formatCode>0.000</c:formatCode>
                <c:ptCount val="71"/>
                <c:pt idx="1">
                  <c:v>-19.894612977614532</c:v>
                </c:pt>
                <c:pt idx="2">
                  <c:v>-19.298441982258883</c:v>
                </c:pt>
                <c:pt idx="3">
                  <c:v>-18.704440098102967</c:v>
                </c:pt>
                <c:pt idx="4">
                  <c:v>-18.113777916547225</c:v>
                </c:pt>
                <c:pt idx="5">
                  <c:v>-17.528176064508664</c:v>
                </c:pt>
                <c:pt idx="6">
                  <c:v>-16.950058941464864</c:v>
                </c:pt>
                <c:pt idx="7">
                  <c:v>-16.382627775393203</c:v>
                </c:pt>
                <c:pt idx="8">
                  <c:v>-15.82970980944271</c:v>
                </c:pt>
                <c:pt idx="9">
                  <c:v>-15.295226626035157</c:v>
                </c:pt>
                <c:pt idx="10">
                  <c:v>-14.78227422720456</c:v>
                </c:pt>
                <c:pt idx="11">
                  <c:v>-14.29214287339865</c:v>
                </c:pt>
                <c:pt idx="12">
                  <c:v>-13.823845339694474</c:v>
                </c:pt>
                <c:pt idx="13">
                  <c:v>-13.374481910227319</c:v>
                </c:pt>
                <c:pt idx="14">
                  <c:v>-12.94018561785745</c:v>
                </c:pt>
                <c:pt idx="15">
                  <c:v>-12.517078727721731</c:v>
                </c:pt>
                <c:pt idx="16">
                  <c:v>-12.101863948666605</c:v>
                </c:pt>
                <c:pt idx="17">
                  <c:v>-11.692020432387464</c:v>
                </c:pt>
                <c:pt idx="18">
                  <c:v>-11.285753530829691</c:v>
                </c:pt>
                <c:pt idx="19">
                  <c:v>-10.881848956283839</c:v>
                </c:pt>
                <c:pt idx="20">
                  <c:v>-10.479520580779928</c:v>
                </c:pt>
                <c:pt idx="21">
                  <c:v>-10.078288375075124</c:v>
                </c:pt>
                <c:pt idx="22">
                  <c:v>-9.6778946552165799</c:v>
                </c:pt>
                <c:pt idx="23">
                  <c:v>-9.2782562144309519</c:v>
                </c:pt>
                <c:pt idx="24">
                  <c:v>-8.8794484304250254</c:v>
                </c:pt>
                <c:pt idx="25">
                  <c:v>-8.4817196719167924</c:v>
                </c:pt>
                <c:pt idx="26">
                  <c:v>-8.0855375317612506</c:v>
                </c:pt>
                <c:pt idx="27">
                  <c:v>-7.6916707443640977</c:v>
                </c:pt>
                <c:pt idx="28">
                  <c:v>-7.3013094355072443</c:v>
                </c:pt>
                <c:pt idx="29">
                  <c:v>-6.9162163837522224</c:v>
                </c:pt>
                <c:pt idx="30">
                  <c:v>-6.538874721485219</c:v>
                </c:pt>
                <c:pt idx="31">
                  <c:v>-6.1725459007133079</c:v>
                </c:pt>
                <c:pt idx="32">
                  <c:v>-5.8210896685294404</c:v>
                </c:pt>
                <c:pt idx="33">
                  <c:v>-5.4883937533043365</c:v>
                </c:pt>
                <c:pt idx="34">
                  <c:v>-5.1774294362878512</c:v>
                </c:pt>
                <c:pt idx="35">
                  <c:v>-4.8892924969913283</c:v>
                </c:pt>
                <c:pt idx="36">
                  <c:v>-4.6227995818862198</c:v>
                </c:pt>
                <c:pt idx="37">
                  <c:v>-4.3749227695923043</c:v>
                </c:pt>
                <c:pt idx="38">
                  <c:v>-4.1417587647522502</c:v>
                </c:pt>
                <c:pt idx="39">
                  <c:v>-3.9194627843574894</c:v>
                </c:pt>
                <c:pt idx="40">
                  <c:v>-3.7048017103667541</c:v>
                </c:pt>
                <c:pt idx="41">
                  <c:v>-3.495321152334447</c:v>
                </c:pt>
                <c:pt idx="42">
                  <c:v>-3.2892810616749264</c:v>
                </c:pt>
                <c:pt idx="43">
                  <c:v>-3.0855060312585278</c:v>
                </c:pt>
                <c:pt idx="44">
                  <c:v>-2.8832338568899885</c:v>
                </c:pt>
                <c:pt idx="45">
                  <c:v>-2.6819952038961108</c:v>
                </c:pt>
                <c:pt idx="46">
                  <c:v>-2.4815307313130344</c:v>
                </c:pt>
                <c:pt idx="47">
                  <c:v>-2.2817424024934394</c:v>
                </c:pt>
                <c:pt idx="48">
                  <c:v>-2.0826745402400393</c:v>
                </c:pt>
                <c:pt idx="49">
                  <c:v>-1.8845224284776299</c:v>
                </c:pt>
                <c:pt idx="50">
                  <c:v>-1.6876694901403708</c:v>
                </c:pt>
                <c:pt idx="51">
                  <c:v>-1.4927568766807424</c:v>
                </c:pt>
                <c:pt idx="52">
                  <c:v>-1.300789819622554</c:v>
                </c:pt>
                <c:pt idx="53">
                  <c:v>-1.1132794298115063</c:v>
                </c:pt>
                <c:pt idx="54">
                  <c:v>-0.93239954459588847</c:v>
                </c:pt>
                <c:pt idx="55">
                  <c:v>-0.76109675979754365</c:v>
                </c:pt>
                <c:pt idx="56">
                  <c:v>-0.60302952779763541</c:v>
                </c:pt>
                <c:pt idx="57">
                  <c:v>-0.46217147007674664</c:v>
                </c:pt>
                <c:pt idx="58">
                  <c:v>-0.34199907358082127</c:v>
                </c:pt>
                <c:pt idx="59">
                  <c:v>-0.24447302062099985</c:v>
                </c:pt>
                <c:pt idx="60">
                  <c:v>-0.16934255185734423</c:v>
                </c:pt>
                <c:pt idx="61">
                  <c:v>-0.11423879895077882</c:v>
                </c:pt>
                <c:pt idx="62">
                  <c:v>-7.5490455871099399E-2</c:v>
                </c:pt>
                <c:pt idx="63">
                  <c:v>-4.9134306535204619E-2</c:v>
                </c:pt>
                <c:pt idx="64">
                  <c:v>-3.1642169026476409E-2</c:v>
                </c:pt>
                <c:pt idx="65">
                  <c:v>-2.0231507345812524E-2</c:v>
                </c:pt>
                <c:pt idx="66">
                  <c:v>-1.2874490184090075E-2</c:v>
                </c:pt>
                <c:pt idx="67">
                  <c:v>-8.1675716698748572E-3</c:v>
                </c:pt>
                <c:pt idx="68">
                  <c:v>-5.1712427246569902E-3</c:v>
                </c:pt>
                <c:pt idx="69">
                  <c:v>-3.2699948418039239E-3</c:v>
                </c:pt>
                <c:pt idx="70">
                  <c:v>-2.0660918446678538E-3</c:v>
                </c:pt>
              </c:numCache>
            </c:numRef>
          </c:yVal>
          <c:smooth val="1"/>
          <c:extLst>
            <c:ext xmlns:c16="http://schemas.microsoft.com/office/drawing/2014/chart" uri="{C3380CC4-5D6E-409C-BE32-E72D297353CC}">
              <c16:uniqueId val="{00000000-7D4D-4D06-8AAB-F5EFEFFD9EA3}"/>
            </c:ext>
          </c:extLst>
        </c:ser>
        <c:ser>
          <c:idx val="0"/>
          <c:order val="1"/>
          <c:tx>
            <c:v>Alpha HB</c:v>
          </c:tx>
          <c:spPr>
            <a:ln w="25400">
              <a:solidFill>
                <a:srgbClr val="000000"/>
              </a:solidFill>
              <a:prstDash val="solid"/>
            </a:ln>
          </c:spPr>
          <c:marker>
            <c:symbol val="square"/>
            <c:size val="6"/>
            <c:spPr>
              <a:noFill/>
              <a:ln w="9525">
                <a:noFill/>
              </a:ln>
            </c:spPr>
          </c:marker>
          <c:xVal>
            <c:numRef>
              <c:f>Distribution!$O$12:$O$82</c:f>
              <c:numCache>
                <c:formatCode>0.000</c:formatCode>
                <c:ptCount val="71"/>
                <c:pt idx="0">
                  <c:v>0</c:v>
                </c:pt>
                <c:pt idx="1">
                  <c:v>0.2</c:v>
                </c:pt>
                <c:pt idx="2">
                  <c:v>0.4</c:v>
                </c:pt>
                <c:pt idx="3">
                  <c:v>0.60000000000000009</c:v>
                </c:pt>
                <c:pt idx="4">
                  <c:v>0.8</c:v>
                </c:pt>
                <c:pt idx="5">
                  <c:v>1</c:v>
                </c:pt>
                <c:pt idx="6">
                  <c:v>1.2</c:v>
                </c:pt>
                <c:pt idx="7">
                  <c:v>1.4</c:v>
                </c:pt>
                <c:pt idx="8">
                  <c:v>1.5999999999999999</c:v>
                </c:pt>
                <c:pt idx="9">
                  <c:v>1.7999999999999998</c:v>
                </c:pt>
                <c:pt idx="10">
                  <c:v>1.9999999999999998</c:v>
                </c:pt>
                <c:pt idx="11">
                  <c:v>2.1999999999999997</c:v>
                </c:pt>
                <c:pt idx="12">
                  <c:v>2.4</c:v>
                </c:pt>
                <c:pt idx="13">
                  <c:v>2.6</c:v>
                </c:pt>
                <c:pt idx="14">
                  <c:v>2.8000000000000003</c:v>
                </c:pt>
                <c:pt idx="15">
                  <c:v>3.0000000000000004</c:v>
                </c:pt>
                <c:pt idx="16">
                  <c:v>3.2000000000000006</c:v>
                </c:pt>
                <c:pt idx="17">
                  <c:v>3.4000000000000008</c:v>
                </c:pt>
                <c:pt idx="18">
                  <c:v>3.600000000000001</c:v>
                </c:pt>
                <c:pt idx="19">
                  <c:v>3.8000000000000012</c:v>
                </c:pt>
                <c:pt idx="20">
                  <c:v>4.0000000000000009</c:v>
                </c:pt>
                <c:pt idx="21">
                  <c:v>4.2000000000000011</c:v>
                </c:pt>
                <c:pt idx="22">
                  <c:v>4.4000000000000012</c:v>
                </c:pt>
                <c:pt idx="23">
                  <c:v>4.6000000000000014</c:v>
                </c:pt>
                <c:pt idx="24">
                  <c:v>4.8000000000000016</c:v>
                </c:pt>
                <c:pt idx="25">
                  <c:v>5.0000000000000018</c:v>
                </c:pt>
                <c:pt idx="26">
                  <c:v>5.200000000000002</c:v>
                </c:pt>
                <c:pt idx="27">
                  <c:v>5.4000000000000021</c:v>
                </c:pt>
                <c:pt idx="28">
                  <c:v>5.6000000000000023</c:v>
                </c:pt>
                <c:pt idx="29">
                  <c:v>5.8000000000000025</c:v>
                </c:pt>
                <c:pt idx="30">
                  <c:v>6.0000000000000027</c:v>
                </c:pt>
                <c:pt idx="31">
                  <c:v>6.2000000000000028</c:v>
                </c:pt>
                <c:pt idx="32">
                  <c:v>6.400000000000003</c:v>
                </c:pt>
                <c:pt idx="33">
                  <c:v>6.6000000000000032</c:v>
                </c:pt>
                <c:pt idx="34">
                  <c:v>6.8000000000000034</c:v>
                </c:pt>
                <c:pt idx="35">
                  <c:v>7.0000000000000036</c:v>
                </c:pt>
                <c:pt idx="36">
                  <c:v>7.2000000000000037</c:v>
                </c:pt>
                <c:pt idx="37">
                  <c:v>7.4000000000000039</c:v>
                </c:pt>
                <c:pt idx="38">
                  <c:v>7.6000000000000041</c:v>
                </c:pt>
                <c:pt idx="39">
                  <c:v>7.8000000000000043</c:v>
                </c:pt>
                <c:pt idx="40">
                  <c:v>8.0000000000000036</c:v>
                </c:pt>
                <c:pt idx="41">
                  <c:v>8.2000000000000028</c:v>
                </c:pt>
                <c:pt idx="42">
                  <c:v>8.4000000000000021</c:v>
                </c:pt>
                <c:pt idx="43">
                  <c:v>8.6000000000000014</c:v>
                </c:pt>
                <c:pt idx="44">
                  <c:v>8.8000000000000007</c:v>
                </c:pt>
                <c:pt idx="45">
                  <c:v>9</c:v>
                </c:pt>
                <c:pt idx="46">
                  <c:v>9.1999999999999993</c:v>
                </c:pt>
                <c:pt idx="47">
                  <c:v>9.3999999999999986</c:v>
                </c:pt>
                <c:pt idx="48">
                  <c:v>9.5999999999999979</c:v>
                </c:pt>
                <c:pt idx="49">
                  <c:v>9.7999999999999972</c:v>
                </c:pt>
                <c:pt idx="50">
                  <c:v>9.9999999999999964</c:v>
                </c:pt>
                <c:pt idx="51">
                  <c:v>10.199999999999996</c:v>
                </c:pt>
                <c:pt idx="52">
                  <c:v>10.399999999999995</c:v>
                </c:pt>
                <c:pt idx="53">
                  <c:v>10.599999999999994</c:v>
                </c:pt>
                <c:pt idx="54">
                  <c:v>10.799999999999994</c:v>
                </c:pt>
                <c:pt idx="55">
                  <c:v>10.999999999999993</c:v>
                </c:pt>
                <c:pt idx="56">
                  <c:v>11.199999999999992</c:v>
                </c:pt>
                <c:pt idx="57">
                  <c:v>11.399999999999991</c:v>
                </c:pt>
                <c:pt idx="58">
                  <c:v>11.599999999999991</c:v>
                </c:pt>
                <c:pt idx="59">
                  <c:v>11.79999999999999</c:v>
                </c:pt>
                <c:pt idx="60">
                  <c:v>11.999999999999989</c:v>
                </c:pt>
                <c:pt idx="61">
                  <c:v>12.199999999999989</c:v>
                </c:pt>
                <c:pt idx="62">
                  <c:v>12.399999999999988</c:v>
                </c:pt>
                <c:pt idx="63">
                  <c:v>12.599999999999987</c:v>
                </c:pt>
                <c:pt idx="64">
                  <c:v>12.799999999999986</c:v>
                </c:pt>
                <c:pt idx="65">
                  <c:v>12.999999999999986</c:v>
                </c:pt>
                <c:pt idx="66">
                  <c:v>13.199999999999985</c:v>
                </c:pt>
                <c:pt idx="67">
                  <c:v>13.399999999999984</c:v>
                </c:pt>
                <c:pt idx="68">
                  <c:v>13.599999999999984</c:v>
                </c:pt>
                <c:pt idx="69">
                  <c:v>13.799999999999983</c:v>
                </c:pt>
                <c:pt idx="70">
                  <c:v>13.999999999999982</c:v>
                </c:pt>
              </c:numCache>
            </c:numRef>
          </c:xVal>
          <c:yVal>
            <c:numRef>
              <c:f>Distribution!$AO$12:$AO$82</c:f>
              <c:numCache>
                <c:formatCode>0.000</c:formatCode>
                <c:ptCount val="71"/>
                <c:pt idx="0">
                  <c:v>-8.8138522023224386</c:v>
                </c:pt>
                <c:pt idx="1">
                  <c:v>-8.4162857298696032</c:v>
                </c:pt>
                <c:pt idx="2">
                  <c:v>-8.0201134397162512</c:v>
                </c:pt>
                <c:pt idx="3">
                  <c:v>-7.6261102607626325</c:v>
                </c:pt>
                <c:pt idx="4">
                  <c:v>-7.2354467844091888</c:v>
                </c:pt>
                <c:pt idx="5">
                  <c:v>-6.8498436375729197</c:v>
                </c:pt>
                <c:pt idx="6">
                  <c:v>-6.471725219731419</c:v>
                </c:pt>
                <c:pt idx="7">
                  <c:v>-6.1042927588620568</c:v>
                </c:pt>
                <c:pt idx="8">
                  <c:v>-5.7513734981138604</c:v>
                </c:pt>
                <c:pt idx="9">
                  <c:v>-5.4168890199086066</c:v>
                </c:pt>
                <c:pt idx="10">
                  <c:v>-5.1039353262803031</c:v>
                </c:pt>
                <c:pt idx="11">
                  <c:v>-4.8138026776766916</c:v>
                </c:pt>
                <c:pt idx="12">
                  <c:v>-4.5455038491748105</c:v>
                </c:pt>
                <c:pt idx="13">
                  <c:v>-4.2961391249099536</c:v>
                </c:pt>
                <c:pt idx="14">
                  <c:v>-4.0618415377423824</c:v>
                </c:pt>
                <c:pt idx="15">
                  <c:v>-3.8387333528089611</c:v>
                </c:pt>
                <c:pt idx="16">
                  <c:v>-3.6235172789561321</c:v>
                </c:pt>
                <c:pt idx="17">
                  <c:v>-3.4136724678792878</c:v>
                </c:pt>
                <c:pt idx="18">
                  <c:v>-3.2074042715238127</c:v>
                </c:pt>
                <c:pt idx="19">
                  <c:v>-3.0034984021802575</c:v>
                </c:pt>
                <c:pt idx="20">
                  <c:v>-2.8011687318786431</c:v>
                </c:pt>
                <c:pt idx="21">
                  <c:v>-2.5999352313761359</c:v>
                </c:pt>
                <c:pt idx="22">
                  <c:v>-2.3995402167198892</c:v>
                </c:pt>
                <c:pt idx="23">
                  <c:v>-2.1999004811365599</c:v>
                </c:pt>
                <c:pt idx="24">
                  <c:v>-2.0010914023329303</c:v>
                </c:pt>
                <c:pt idx="25">
                  <c:v>-1.8033613490269937</c:v>
                </c:pt>
                <c:pt idx="26">
                  <c:v>-1.6071779140737474</c:v>
                </c:pt>
                <c:pt idx="27">
                  <c:v>-1.4133098318788941</c:v>
                </c:pt>
                <c:pt idx="28">
                  <c:v>-1.2229472282243379</c:v>
                </c:pt>
                <c:pt idx="29">
                  <c:v>-1.0378528816716126</c:v>
                </c:pt>
                <c:pt idx="30">
                  <c:v>-0.86050992460690634</c:v>
                </c:pt>
                <c:pt idx="31">
                  <c:v>-0.6941798090372916</c:v>
                </c:pt>
                <c:pt idx="32">
                  <c:v>-0.54272228205572171</c:v>
                </c:pt>
                <c:pt idx="33">
                  <c:v>-0.41002507203291566</c:v>
                </c:pt>
                <c:pt idx="34">
                  <c:v>-0.29905946021872737</c:v>
                </c:pt>
                <c:pt idx="35">
                  <c:v>-0.2109212261245012</c:v>
                </c:pt>
                <c:pt idx="36">
                  <c:v>-0.14442701622169068</c:v>
                </c:pt>
                <c:pt idx="37">
                  <c:v>-9.6548909130071858E-2</c:v>
                </c:pt>
                <c:pt idx="38">
                  <c:v>-6.3383609492315043E-2</c:v>
                </c:pt>
                <c:pt idx="39">
                  <c:v>-4.1086334299851784E-2</c:v>
                </c:pt>
                <c:pt idx="40">
                  <c:v>-2.6423965511412583E-2</c:v>
                </c:pt>
                <c:pt idx="41">
                  <c:v>-1.6942112681401805E-2</c:v>
                </c:pt>
                <c:pt idx="42">
                  <c:v>-1.0900727224177623E-2</c:v>
                </c:pt>
                <c:pt idx="43">
                  <c:v>-7.124402010075013E-3</c:v>
                </c:pt>
                <c:pt idx="44">
                  <c:v>-4.8509328438319805E-3</c:v>
                </c:pt>
                <c:pt idx="45">
                  <c:v>-3.6109850522506553E-3</c:v>
                </c:pt>
                <c:pt idx="46">
                  <c:v>-3.145217671470624E-3</c:v>
                </c:pt>
                <c:pt idx="47">
                  <c:v>-3.3555940541721663E-3</c:v>
                </c:pt>
                <c:pt idx="48">
                  <c:v>-4.2864370030682676E-3</c:v>
                </c:pt>
                <c:pt idx="49">
                  <c:v>-6.1330304429552361E-3</c:v>
                </c:pt>
                <c:pt idx="50">
                  <c:v>-9.2787973079922082E-3</c:v>
                </c:pt>
                <c:pt idx="51">
                  <c:v>-1.4364889050660377E-2</c:v>
                </c:pt>
                <c:pt idx="52">
                  <c:v>-2.239653719476823E-2</c:v>
                </c:pt>
                <c:pt idx="53">
                  <c:v>-3.4884852586016701E-2</c:v>
                </c:pt>
                <c:pt idx="54">
                  <c:v>-5.4003672572695303E-2</c:v>
                </c:pt>
                <c:pt idx="55">
                  <c:v>-8.2699592976646752E-2</c:v>
                </c:pt>
                <c:pt idx="56">
                  <c:v>-0.12463106617903484</c:v>
                </c:pt>
                <c:pt idx="57">
                  <c:v>-0.18377171366044243</c:v>
                </c:pt>
                <c:pt idx="58">
                  <c:v>-0.2635980223668134</c:v>
                </c:pt>
                <c:pt idx="59">
                  <c:v>-0.36607067460928822</c:v>
                </c:pt>
                <c:pt idx="60">
                  <c:v>-0.49093891104792892</c:v>
                </c:pt>
                <c:pt idx="61">
                  <c:v>-0.63583386334365988</c:v>
                </c:pt>
                <c:pt idx="62">
                  <c:v>-0.79708422546627666</c:v>
                </c:pt>
                <c:pt idx="63">
                  <c:v>-0.9707267813326782</c:v>
                </c:pt>
                <c:pt idx="64">
                  <c:v>-1.1532333490262465</c:v>
                </c:pt>
                <c:pt idx="65">
                  <c:v>-1.3418213925478788</c:v>
                </c:pt>
                <c:pt idx="66">
                  <c:v>-1.5344630805884529</c:v>
                </c:pt>
                <c:pt idx="67">
                  <c:v>-1.7297548672765339</c:v>
                </c:pt>
                <c:pt idx="68">
                  <c:v>-1.9267572435336122</c:v>
                </c:pt>
                <c:pt idx="69">
                  <c:v>-2.1248547008530556</c:v>
                </c:pt>
                <c:pt idx="70">
                  <c:v>-2.3236495030582156</c:v>
                </c:pt>
              </c:numCache>
            </c:numRef>
          </c:yVal>
          <c:smooth val="1"/>
          <c:extLst>
            <c:ext xmlns:c16="http://schemas.microsoft.com/office/drawing/2014/chart" uri="{C3380CC4-5D6E-409C-BE32-E72D297353CC}">
              <c16:uniqueId val="{00000001-7D4D-4D06-8AAB-F5EFEFFD9EA3}"/>
            </c:ext>
          </c:extLst>
        </c:ser>
        <c:ser>
          <c:idx val="2"/>
          <c:order val="2"/>
          <c:tx>
            <c:v>Alpha H2B</c:v>
          </c:tx>
          <c:spPr>
            <a:ln w="25400">
              <a:solidFill>
                <a:srgbClr val="008000"/>
              </a:solidFill>
              <a:prstDash val="solid"/>
            </a:ln>
          </c:spPr>
          <c:marker>
            <c:symbol val="none"/>
          </c:marker>
          <c:xVal>
            <c:numRef>
              <c:f>Distribution!$O$12:$O$82</c:f>
              <c:numCache>
                <c:formatCode>0.000</c:formatCode>
                <c:ptCount val="71"/>
                <c:pt idx="0">
                  <c:v>0</c:v>
                </c:pt>
                <c:pt idx="1">
                  <c:v>0.2</c:v>
                </c:pt>
                <c:pt idx="2">
                  <c:v>0.4</c:v>
                </c:pt>
                <c:pt idx="3">
                  <c:v>0.60000000000000009</c:v>
                </c:pt>
                <c:pt idx="4">
                  <c:v>0.8</c:v>
                </c:pt>
                <c:pt idx="5">
                  <c:v>1</c:v>
                </c:pt>
                <c:pt idx="6">
                  <c:v>1.2</c:v>
                </c:pt>
                <c:pt idx="7">
                  <c:v>1.4</c:v>
                </c:pt>
                <c:pt idx="8">
                  <c:v>1.5999999999999999</c:v>
                </c:pt>
                <c:pt idx="9">
                  <c:v>1.7999999999999998</c:v>
                </c:pt>
                <c:pt idx="10">
                  <c:v>1.9999999999999998</c:v>
                </c:pt>
                <c:pt idx="11">
                  <c:v>2.1999999999999997</c:v>
                </c:pt>
                <c:pt idx="12">
                  <c:v>2.4</c:v>
                </c:pt>
                <c:pt idx="13">
                  <c:v>2.6</c:v>
                </c:pt>
                <c:pt idx="14">
                  <c:v>2.8000000000000003</c:v>
                </c:pt>
                <c:pt idx="15">
                  <c:v>3.0000000000000004</c:v>
                </c:pt>
                <c:pt idx="16">
                  <c:v>3.2000000000000006</c:v>
                </c:pt>
                <c:pt idx="17">
                  <c:v>3.4000000000000008</c:v>
                </c:pt>
                <c:pt idx="18">
                  <c:v>3.600000000000001</c:v>
                </c:pt>
                <c:pt idx="19">
                  <c:v>3.8000000000000012</c:v>
                </c:pt>
                <c:pt idx="20">
                  <c:v>4.0000000000000009</c:v>
                </c:pt>
                <c:pt idx="21">
                  <c:v>4.2000000000000011</c:v>
                </c:pt>
                <c:pt idx="22">
                  <c:v>4.4000000000000012</c:v>
                </c:pt>
                <c:pt idx="23">
                  <c:v>4.6000000000000014</c:v>
                </c:pt>
                <c:pt idx="24">
                  <c:v>4.8000000000000016</c:v>
                </c:pt>
                <c:pt idx="25">
                  <c:v>5.0000000000000018</c:v>
                </c:pt>
                <c:pt idx="26">
                  <c:v>5.200000000000002</c:v>
                </c:pt>
                <c:pt idx="27">
                  <c:v>5.4000000000000021</c:v>
                </c:pt>
                <c:pt idx="28">
                  <c:v>5.6000000000000023</c:v>
                </c:pt>
                <c:pt idx="29">
                  <c:v>5.8000000000000025</c:v>
                </c:pt>
                <c:pt idx="30">
                  <c:v>6.0000000000000027</c:v>
                </c:pt>
                <c:pt idx="31">
                  <c:v>6.2000000000000028</c:v>
                </c:pt>
                <c:pt idx="32">
                  <c:v>6.400000000000003</c:v>
                </c:pt>
                <c:pt idx="33">
                  <c:v>6.6000000000000032</c:v>
                </c:pt>
                <c:pt idx="34">
                  <c:v>6.8000000000000034</c:v>
                </c:pt>
                <c:pt idx="35">
                  <c:v>7.0000000000000036</c:v>
                </c:pt>
                <c:pt idx="36">
                  <c:v>7.2000000000000037</c:v>
                </c:pt>
                <c:pt idx="37">
                  <c:v>7.4000000000000039</c:v>
                </c:pt>
                <c:pt idx="38">
                  <c:v>7.6000000000000041</c:v>
                </c:pt>
                <c:pt idx="39">
                  <c:v>7.8000000000000043</c:v>
                </c:pt>
                <c:pt idx="40">
                  <c:v>8.0000000000000036</c:v>
                </c:pt>
                <c:pt idx="41">
                  <c:v>8.2000000000000028</c:v>
                </c:pt>
                <c:pt idx="42">
                  <c:v>8.4000000000000021</c:v>
                </c:pt>
                <c:pt idx="43">
                  <c:v>8.6000000000000014</c:v>
                </c:pt>
                <c:pt idx="44">
                  <c:v>8.8000000000000007</c:v>
                </c:pt>
                <c:pt idx="45">
                  <c:v>9</c:v>
                </c:pt>
                <c:pt idx="46">
                  <c:v>9.1999999999999993</c:v>
                </c:pt>
                <c:pt idx="47">
                  <c:v>9.3999999999999986</c:v>
                </c:pt>
                <c:pt idx="48">
                  <c:v>9.5999999999999979</c:v>
                </c:pt>
                <c:pt idx="49">
                  <c:v>9.7999999999999972</c:v>
                </c:pt>
                <c:pt idx="50">
                  <c:v>9.9999999999999964</c:v>
                </c:pt>
                <c:pt idx="51">
                  <c:v>10.199999999999996</c:v>
                </c:pt>
                <c:pt idx="52">
                  <c:v>10.399999999999995</c:v>
                </c:pt>
                <c:pt idx="53">
                  <c:v>10.599999999999994</c:v>
                </c:pt>
                <c:pt idx="54">
                  <c:v>10.799999999999994</c:v>
                </c:pt>
                <c:pt idx="55">
                  <c:v>10.999999999999993</c:v>
                </c:pt>
                <c:pt idx="56">
                  <c:v>11.199999999999992</c:v>
                </c:pt>
                <c:pt idx="57">
                  <c:v>11.399999999999991</c:v>
                </c:pt>
                <c:pt idx="58">
                  <c:v>11.599999999999991</c:v>
                </c:pt>
                <c:pt idx="59">
                  <c:v>11.79999999999999</c:v>
                </c:pt>
                <c:pt idx="60">
                  <c:v>11.999999999999989</c:v>
                </c:pt>
                <c:pt idx="61">
                  <c:v>12.199999999999989</c:v>
                </c:pt>
                <c:pt idx="62">
                  <c:v>12.399999999999988</c:v>
                </c:pt>
                <c:pt idx="63">
                  <c:v>12.599999999999987</c:v>
                </c:pt>
                <c:pt idx="64">
                  <c:v>12.799999999999986</c:v>
                </c:pt>
                <c:pt idx="65">
                  <c:v>12.999999999999986</c:v>
                </c:pt>
                <c:pt idx="66">
                  <c:v>13.199999999999985</c:v>
                </c:pt>
                <c:pt idx="67">
                  <c:v>13.399999999999984</c:v>
                </c:pt>
                <c:pt idx="68">
                  <c:v>13.599999999999984</c:v>
                </c:pt>
                <c:pt idx="69">
                  <c:v>13.799999999999983</c:v>
                </c:pt>
                <c:pt idx="70">
                  <c:v>13.999999999999982</c:v>
                </c:pt>
              </c:numCache>
            </c:numRef>
          </c:xVal>
          <c:yVal>
            <c:numRef>
              <c:f>Distribution!$AP$12:$AP$82</c:f>
              <c:numCache>
                <c:formatCode>0.000</c:formatCode>
                <c:ptCount val="71"/>
                <c:pt idx="0">
                  <c:v>-2.0178552645425247</c:v>
                </c:pt>
                <c:pt idx="1">
                  <c:v>-1.8202874972919869</c:v>
                </c:pt>
                <c:pt idx="2">
                  <c:v>-1.6241139123409329</c:v>
                </c:pt>
                <c:pt idx="3">
                  <c:v>-1.4301094385896107</c:v>
                </c:pt>
                <c:pt idx="4">
                  <c:v>-1.2394446674384647</c:v>
                </c:pt>
                <c:pt idx="5">
                  <c:v>-1.053840225804493</c:v>
                </c:pt>
                <c:pt idx="6">
                  <c:v>-0.87572051316528832</c:v>
                </c:pt>
                <c:pt idx="7">
                  <c:v>-0.70828675749822378</c:v>
                </c:pt>
                <c:pt idx="8">
                  <c:v>-0.55536620195232411</c:v>
                </c:pt>
                <c:pt idx="9">
                  <c:v>-0.42088042894936656</c:v>
                </c:pt>
                <c:pt idx="10">
                  <c:v>-0.30792544052336041</c:v>
                </c:pt>
                <c:pt idx="11">
                  <c:v>-0.21779149712204668</c:v>
                </c:pt>
                <c:pt idx="12">
                  <c:v>-0.14949137382246278</c:v>
                </c:pt>
                <c:pt idx="13">
                  <c:v>-0.10012535475990293</c:v>
                </c:pt>
                <c:pt idx="14">
                  <c:v>-6.5826472794628915E-2</c:v>
                </c:pt>
                <c:pt idx="15">
                  <c:v>-4.2716993063504481E-2</c:v>
                </c:pt>
                <c:pt idx="16">
                  <c:v>-2.7499624412972507E-2</c:v>
                </c:pt>
                <c:pt idx="17">
                  <c:v>-1.7653518538425471E-2</c:v>
                </c:pt>
                <c:pt idx="18">
                  <c:v>-1.1384027385247636E-2</c:v>
                </c:pt>
                <c:pt idx="19">
                  <c:v>-7.4768632439899266E-3</c:v>
                </c:pt>
                <c:pt idx="20">
                  <c:v>-5.1458981446719067E-3</c:v>
                </c:pt>
                <c:pt idx="21">
                  <c:v>-3.9111028444622897E-3</c:v>
                </c:pt>
                <c:pt idx="22">
                  <c:v>-3.5147933905125806E-3</c:v>
                </c:pt>
                <c:pt idx="23">
                  <c:v>-3.8737630094802218E-3</c:v>
                </c:pt>
                <c:pt idx="24">
                  <c:v>-5.0633894081479934E-3</c:v>
                </c:pt>
                <c:pt idx="25">
                  <c:v>-7.3320413045089208E-3</c:v>
                </c:pt>
                <c:pt idx="26">
                  <c:v>-1.1147311553559814E-2</c:v>
                </c:pt>
                <c:pt idx="27">
                  <c:v>-1.7277934561003509E-2</c:v>
                </c:pt>
                <c:pt idx="28">
                  <c:v>-2.6914036108744547E-2</c:v>
                </c:pt>
                <c:pt idx="29">
                  <c:v>-4.1818394758316536E-2</c:v>
                </c:pt>
                <c:pt idx="30">
                  <c:v>-6.4474142895907346E-2</c:v>
                </c:pt>
                <c:pt idx="31">
                  <c:v>-9.8142732528590002E-2</c:v>
                </c:pt>
                <c:pt idx="32">
                  <c:v>-0.1466839107493173</c:v>
                </c:pt>
                <c:pt idx="33">
                  <c:v>-0.21398540592880841</c:v>
                </c:pt>
                <c:pt idx="34">
                  <c:v>-0.30301849931691732</c:v>
                </c:pt>
                <c:pt idx="35">
                  <c:v>-0.41487897042498834</c:v>
                </c:pt>
                <c:pt idx="36">
                  <c:v>-0.54838346572447505</c:v>
                </c:pt>
                <c:pt idx="37">
                  <c:v>-0.7005040638351534</c:v>
                </c:pt>
                <c:pt idx="38">
                  <c:v>-0.86733746939969381</c:v>
                </c:pt>
                <c:pt idx="39">
                  <c:v>-1.0450388994095279</c:v>
                </c:pt>
                <c:pt idx="40">
                  <c:v>-1.230375235823385</c:v>
                </c:pt>
                <c:pt idx="41">
                  <c:v>-1.4208920881956704</c:v>
                </c:pt>
                <c:pt idx="42">
                  <c:v>-1.6148494079407425</c:v>
                </c:pt>
                <c:pt idx="43">
                  <c:v>-1.8110717879289362</c:v>
                </c:pt>
                <c:pt idx="44">
                  <c:v>-2.0087970239649895</c:v>
                </c:pt>
                <c:pt idx="45">
                  <c:v>-2.2075557813757043</c:v>
                </c:pt>
                <c:pt idx="46">
                  <c:v>-2.4070887191972208</c:v>
                </c:pt>
                <c:pt idx="47">
                  <c:v>-2.6072978007822187</c:v>
                </c:pt>
                <c:pt idx="48">
                  <c:v>-2.8082273489334111</c:v>
                </c:pt>
                <c:pt idx="49">
                  <c:v>-3.0100726475755946</c:v>
                </c:pt>
                <c:pt idx="50">
                  <c:v>-3.2132171196429273</c:v>
                </c:pt>
                <c:pt idx="51">
                  <c:v>-3.4183019165878923</c:v>
                </c:pt>
                <c:pt idx="52">
                  <c:v>-3.6263322699342968</c:v>
                </c:pt>
                <c:pt idx="53">
                  <c:v>-3.8388192905278409</c:v>
                </c:pt>
                <c:pt idx="54">
                  <c:v>-4.0579368157168156</c:v>
                </c:pt>
                <c:pt idx="55">
                  <c:v>-4.2866314413230633</c:v>
                </c:pt>
                <c:pt idx="56">
                  <c:v>-4.528561619727749</c:v>
                </c:pt>
                <c:pt idx="57">
                  <c:v>-4.7877009724114519</c:v>
                </c:pt>
                <c:pt idx="58">
                  <c:v>-5.0675259863201196</c:v>
                </c:pt>
                <c:pt idx="59">
                  <c:v>-5.3699973437648909</c:v>
                </c:pt>
                <c:pt idx="60">
                  <c:v>-5.6948642854058278</c:v>
                </c:pt>
                <c:pt idx="61">
                  <c:v>-6.0397579429038544</c:v>
                </c:pt>
                <c:pt idx="62">
                  <c:v>-6.4010070102287679</c:v>
                </c:pt>
                <c:pt idx="63">
                  <c:v>-6.7746482712974663</c:v>
                </c:pt>
                <c:pt idx="64">
                  <c:v>-7.1571535441933305</c:v>
                </c:pt>
                <c:pt idx="65">
                  <c:v>-7.5457402929172597</c:v>
                </c:pt>
                <c:pt idx="66">
                  <c:v>-7.93838068616013</c:v>
                </c:pt>
                <c:pt idx="67">
                  <c:v>-8.3336711780505066</c:v>
                </c:pt>
                <c:pt idx="68">
                  <c:v>-8.7306722595098822</c:v>
                </c:pt>
                <c:pt idx="69">
                  <c:v>-9.1287684220316212</c:v>
                </c:pt>
                <c:pt idx="70">
                  <c:v>-9.527561929439079</c:v>
                </c:pt>
              </c:numCache>
            </c:numRef>
          </c:yVal>
          <c:smooth val="1"/>
          <c:extLst>
            <c:ext xmlns:c16="http://schemas.microsoft.com/office/drawing/2014/chart" uri="{C3380CC4-5D6E-409C-BE32-E72D297353CC}">
              <c16:uniqueId val="{00000002-7D4D-4D06-8AAB-F5EFEFFD9EA3}"/>
            </c:ext>
          </c:extLst>
        </c:ser>
        <c:ser>
          <c:idx val="3"/>
          <c:order val="3"/>
          <c:tx>
            <c:v>Alpha H3B</c:v>
          </c:tx>
          <c:spPr>
            <a:ln w="25400">
              <a:solidFill>
                <a:srgbClr val="993300"/>
              </a:solidFill>
              <a:prstDash val="solid"/>
            </a:ln>
          </c:spPr>
          <c:marker>
            <c:symbol val="none"/>
          </c:marker>
          <c:xVal>
            <c:numRef>
              <c:f>Distribution!$O$12:$O$82</c:f>
              <c:numCache>
                <c:formatCode>0.000</c:formatCode>
                <c:ptCount val="71"/>
                <c:pt idx="0">
                  <c:v>0</c:v>
                </c:pt>
                <c:pt idx="1">
                  <c:v>0.2</c:v>
                </c:pt>
                <c:pt idx="2">
                  <c:v>0.4</c:v>
                </c:pt>
                <c:pt idx="3">
                  <c:v>0.60000000000000009</c:v>
                </c:pt>
                <c:pt idx="4">
                  <c:v>0.8</c:v>
                </c:pt>
                <c:pt idx="5">
                  <c:v>1</c:v>
                </c:pt>
                <c:pt idx="6">
                  <c:v>1.2</c:v>
                </c:pt>
                <c:pt idx="7">
                  <c:v>1.4</c:v>
                </c:pt>
                <c:pt idx="8">
                  <c:v>1.5999999999999999</c:v>
                </c:pt>
                <c:pt idx="9">
                  <c:v>1.7999999999999998</c:v>
                </c:pt>
                <c:pt idx="10">
                  <c:v>1.9999999999999998</c:v>
                </c:pt>
                <c:pt idx="11">
                  <c:v>2.1999999999999997</c:v>
                </c:pt>
                <c:pt idx="12">
                  <c:v>2.4</c:v>
                </c:pt>
                <c:pt idx="13">
                  <c:v>2.6</c:v>
                </c:pt>
                <c:pt idx="14">
                  <c:v>2.8000000000000003</c:v>
                </c:pt>
                <c:pt idx="15">
                  <c:v>3.0000000000000004</c:v>
                </c:pt>
                <c:pt idx="16">
                  <c:v>3.2000000000000006</c:v>
                </c:pt>
                <c:pt idx="17">
                  <c:v>3.4000000000000008</c:v>
                </c:pt>
                <c:pt idx="18">
                  <c:v>3.600000000000001</c:v>
                </c:pt>
                <c:pt idx="19">
                  <c:v>3.8000000000000012</c:v>
                </c:pt>
                <c:pt idx="20">
                  <c:v>4.0000000000000009</c:v>
                </c:pt>
                <c:pt idx="21">
                  <c:v>4.2000000000000011</c:v>
                </c:pt>
                <c:pt idx="22">
                  <c:v>4.4000000000000012</c:v>
                </c:pt>
                <c:pt idx="23">
                  <c:v>4.6000000000000014</c:v>
                </c:pt>
                <c:pt idx="24">
                  <c:v>4.8000000000000016</c:v>
                </c:pt>
                <c:pt idx="25">
                  <c:v>5.0000000000000018</c:v>
                </c:pt>
                <c:pt idx="26">
                  <c:v>5.200000000000002</c:v>
                </c:pt>
                <c:pt idx="27">
                  <c:v>5.4000000000000021</c:v>
                </c:pt>
                <c:pt idx="28">
                  <c:v>5.6000000000000023</c:v>
                </c:pt>
                <c:pt idx="29">
                  <c:v>5.8000000000000025</c:v>
                </c:pt>
                <c:pt idx="30">
                  <c:v>6.0000000000000027</c:v>
                </c:pt>
                <c:pt idx="31">
                  <c:v>6.2000000000000028</c:v>
                </c:pt>
                <c:pt idx="32">
                  <c:v>6.400000000000003</c:v>
                </c:pt>
                <c:pt idx="33">
                  <c:v>6.6000000000000032</c:v>
                </c:pt>
                <c:pt idx="34">
                  <c:v>6.8000000000000034</c:v>
                </c:pt>
                <c:pt idx="35">
                  <c:v>7.0000000000000036</c:v>
                </c:pt>
                <c:pt idx="36">
                  <c:v>7.2000000000000037</c:v>
                </c:pt>
                <c:pt idx="37">
                  <c:v>7.4000000000000039</c:v>
                </c:pt>
                <c:pt idx="38">
                  <c:v>7.6000000000000041</c:v>
                </c:pt>
                <c:pt idx="39">
                  <c:v>7.8000000000000043</c:v>
                </c:pt>
                <c:pt idx="40">
                  <c:v>8.0000000000000036</c:v>
                </c:pt>
                <c:pt idx="41">
                  <c:v>8.2000000000000028</c:v>
                </c:pt>
                <c:pt idx="42">
                  <c:v>8.4000000000000021</c:v>
                </c:pt>
                <c:pt idx="43">
                  <c:v>8.6000000000000014</c:v>
                </c:pt>
                <c:pt idx="44">
                  <c:v>8.8000000000000007</c:v>
                </c:pt>
                <c:pt idx="45">
                  <c:v>9</c:v>
                </c:pt>
                <c:pt idx="46">
                  <c:v>9.1999999999999993</c:v>
                </c:pt>
                <c:pt idx="47">
                  <c:v>9.3999999999999986</c:v>
                </c:pt>
                <c:pt idx="48">
                  <c:v>9.5999999999999979</c:v>
                </c:pt>
                <c:pt idx="49">
                  <c:v>9.7999999999999972</c:v>
                </c:pt>
                <c:pt idx="50">
                  <c:v>9.9999999999999964</c:v>
                </c:pt>
                <c:pt idx="51">
                  <c:v>10.199999999999996</c:v>
                </c:pt>
                <c:pt idx="52">
                  <c:v>10.399999999999995</c:v>
                </c:pt>
                <c:pt idx="53">
                  <c:v>10.599999999999994</c:v>
                </c:pt>
                <c:pt idx="54">
                  <c:v>10.799999999999994</c:v>
                </c:pt>
                <c:pt idx="55">
                  <c:v>10.999999999999993</c:v>
                </c:pt>
                <c:pt idx="56">
                  <c:v>11.199999999999992</c:v>
                </c:pt>
                <c:pt idx="57">
                  <c:v>11.399999999999991</c:v>
                </c:pt>
                <c:pt idx="58">
                  <c:v>11.599999999999991</c:v>
                </c:pt>
                <c:pt idx="59">
                  <c:v>11.79999999999999</c:v>
                </c:pt>
                <c:pt idx="60">
                  <c:v>11.999999999999989</c:v>
                </c:pt>
                <c:pt idx="61">
                  <c:v>12.199999999999989</c:v>
                </c:pt>
                <c:pt idx="62">
                  <c:v>12.399999999999988</c:v>
                </c:pt>
                <c:pt idx="63">
                  <c:v>12.599999999999987</c:v>
                </c:pt>
                <c:pt idx="64">
                  <c:v>12.799999999999986</c:v>
                </c:pt>
                <c:pt idx="65">
                  <c:v>12.999999999999986</c:v>
                </c:pt>
                <c:pt idx="66">
                  <c:v>13.199999999999985</c:v>
                </c:pt>
                <c:pt idx="67">
                  <c:v>13.399999999999984</c:v>
                </c:pt>
                <c:pt idx="68">
                  <c:v>13.599999999999984</c:v>
                </c:pt>
                <c:pt idx="69">
                  <c:v>13.799999999999983</c:v>
                </c:pt>
                <c:pt idx="70">
                  <c:v>13.999999999999982</c:v>
                </c:pt>
              </c:numCache>
            </c:numRef>
          </c:xVal>
          <c:yVal>
            <c:numRef>
              <c:f>Distribution!$AQ$12:$AQ$82</c:f>
              <c:numCache>
                <c:formatCode>0.000</c:formatCode>
                <c:ptCount val="71"/>
                <c:pt idx="0">
                  <c:v>-4.1879893287775326E-3</c:v>
                </c:pt>
                <c:pt idx="1">
                  <c:v>-6.6189272805365273E-3</c:v>
                </c:pt>
                <c:pt idx="2">
                  <c:v>-1.0444047531779504E-2</c:v>
                </c:pt>
                <c:pt idx="3">
                  <c:v>-1.643827898275466E-2</c:v>
                </c:pt>
                <c:pt idx="4">
                  <c:v>-2.5772213033905356E-2</c:v>
                </c:pt>
                <c:pt idx="5">
                  <c:v>-4.0166476602230571E-2</c:v>
                </c:pt>
                <c:pt idx="6">
                  <c:v>-6.2045469165323122E-2</c:v>
                </c:pt>
                <c:pt idx="7">
                  <c:v>-9.4610418700555615E-2</c:v>
                </c:pt>
                <c:pt idx="8">
                  <c:v>-0.14168856835695287</c:v>
                </c:pt>
                <c:pt idx="9">
                  <c:v>-0.20720150055629227</c:v>
                </c:pt>
                <c:pt idx="10">
                  <c:v>-0.2942452173325833</c:v>
                </c:pt>
                <c:pt idx="11">
                  <c:v>-0.40410997913356639</c:v>
                </c:pt>
                <c:pt idx="12">
                  <c:v>-0.53580856103627961</c:v>
                </c:pt>
                <c:pt idx="13">
                  <c:v>-0.68644124717601718</c:v>
                </c:pt>
                <c:pt idx="14">
                  <c:v>-0.8521410704130401</c:v>
                </c:pt>
                <c:pt idx="15">
                  <c:v>-1.029030295884213</c:v>
                </c:pt>
                <c:pt idx="16">
                  <c:v>-1.2138116324359784</c:v>
                </c:pt>
                <c:pt idx="17">
                  <c:v>-1.4039642317637284</c:v>
                </c:pt>
                <c:pt idx="18">
                  <c:v>-1.5976934458128478</c:v>
                </c:pt>
                <c:pt idx="19">
                  <c:v>-1.7937849868738873</c:v>
                </c:pt>
                <c:pt idx="20">
                  <c:v>-1.991452726976866</c:v>
                </c:pt>
                <c:pt idx="21">
                  <c:v>-2.190216636878954</c:v>
                </c:pt>
                <c:pt idx="22">
                  <c:v>-2.389819032627301</c:v>
                </c:pt>
                <c:pt idx="23">
                  <c:v>-2.590176707448566</c:v>
                </c:pt>
                <c:pt idx="24">
                  <c:v>-2.791365039049531</c:v>
                </c:pt>
                <c:pt idx="25">
                  <c:v>-2.9936323961481892</c:v>
                </c:pt>
                <c:pt idx="26">
                  <c:v>-3.1974463715995367</c:v>
                </c:pt>
                <c:pt idx="27">
                  <c:v>-3.4035756998092781</c:v>
                </c:pt>
                <c:pt idx="28">
                  <c:v>-3.6132105065593167</c:v>
                </c:pt>
                <c:pt idx="29">
                  <c:v>-3.8281135704111855</c:v>
                </c:pt>
                <c:pt idx="30">
                  <c:v>-4.0507680237510737</c:v>
                </c:pt>
                <c:pt idx="31">
                  <c:v>-4.2844353185860529</c:v>
                </c:pt>
                <c:pt idx="32">
                  <c:v>-4.5329752020090783</c:v>
                </c:pt>
                <c:pt idx="33">
                  <c:v>-4.8002754023908665</c:v>
                </c:pt>
                <c:pt idx="34">
                  <c:v>-5.0893072009812723</c:v>
                </c:pt>
                <c:pt idx="35">
                  <c:v>-5.4011663772916405</c:v>
                </c:pt>
                <c:pt idx="36">
                  <c:v>-5.7346695777934249</c:v>
                </c:pt>
                <c:pt idx="37">
                  <c:v>-6.0867888811064006</c:v>
                </c:pt>
                <c:pt idx="38">
                  <c:v>-6.4536209918732377</c:v>
                </c:pt>
                <c:pt idx="39">
                  <c:v>-6.8313211270853689</c:v>
                </c:pt>
                <c:pt idx="40">
                  <c:v>-7.2166561687015216</c:v>
                </c:pt>
                <c:pt idx="41">
                  <c:v>-7.6071717262761043</c:v>
                </c:pt>
                <c:pt idx="42">
                  <c:v>-8.0011277512234731</c:v>
                </c:pt>
                <c:pt idx="43">
                  <c:v>-8.3973488364139612</c:v>
                </c:pt>
                <c:pt idx="44">
                  <c:v>-8.7950727776523117</c:v>
                </c:pt>
                <c:pt idx="45">
                  <c:v>-9.1938302402653242</c:v>
                </c:pt>
                <c:pt idx="46">
                  <c:v>-9.5933618832891359</c:v>
                </c:pt>
                <c:pt idx="47">
                  <c:v>-9.9935696700764307</c:v>
                </c:pt>
                <c:pt idx="48">
                  <c:v>-10.394497923429919</c:v>
                </c:pt>
                <c:pt idx="49">
                  <c:v>-10.796341927274398</c:v>
                </c:pt>
                <c:pt idx="50">
                  <c:v>-11.199485104544028</c:v>
                </c:pt>
                <c:pt idx="51">
                  <c:v>-11.604568606691288</c:v>
                </c:pt>
                <c:pt idx="52">
                  <c:v>-12.012597665239989</c:v>
                </c:pt>
                <c:pt idx="53">
                  <c:v>-12.42508339103583</c:v>
                </c:pt>
                <c:pt idx="54">
                  <c:v>-12.844199621427103</c:v>
                </c:pt>
                <c:pt idx="55">
                  <c:v>-13.272892952235646</c:v>
                </c:pt>
                <c:pt idx="56">
                  <c:v>-13.714821835842626</c:v>
                </c:pt>
                <c:pt idx="57">
                  <c:v>-14.173959893728629</c:v>
                </c:pt>
                <c:pt idx="58">
                  <c:v>-14.653783612839591</c:v>
                </c:pt>
                <c:pt idx="59">
                  <c:v>-15.15625367548666</c:v>
                </c:pt>
                <c:pt idx="60">
                  <c:v>-15.68111932232989</c:v>
                </c:pt>
                <c:pt idx="61">
                  <c:v>-16.226011685030212</c:v>
                </c:pt>
                <c:pt idx="62">
                  <c:v>-16.787259457557422</c:v>
                </c:pt>
                <c:pt idx="63">
                  <c:v>-17.360899423828421</c:v>
                </c:pt>
                <c:pt idx="64">
                  <c:v>-17.943403401926577</c:v>
                </c:pt>
                <c:pt idx="65">
                  <c:v>-18.531988855852806</c:v>
                </c:pt>
                <c:pt idx="66">
                  <c:v>-19.124627954297971</c:v>
                </c:pt>
                <c:pt idx="67">
                  <c:v>-19.719917151390646</c:v>
                </c:pt>
              </c:numCache>
            </c:numRef>
          </c:yVal>
          <c:smooth val="1"/>
          <c:extLst>
            <c:ext xmlns:c16="http://schemas.microsoft.com/office/drawing/2014/chart" uri="{C3380CC4-5D6E-409C-BE32-E72D297353CC}">
              <c16:uniqueId val="{00000003-7D4D-4D06-8AAB-F5EFEFFD9EA3}"/>
            </c:ext>
          </c:extLst>
        </c:ser>
        <c:ser>
          <c:idx val="4"/>
          <c:order val="4"/>
          <c:tx>
            <c:v>Alpha H4B</c:v>
          </c:tx>
          <c:spPr>
            <a:ln w="25400">
              <a:solidFill>
                <a:srgbClr val="0000FF"/>
              </a:solidFill>
              <a:prstDash val="solid"/>
            </a:ln>
          </c:spPr>
          <c:marker>
            <c:symbol val="none"/>
          </c:marker>
          <c:xVal>
            <c:numRef>
              <c:f>Distribution!$O$12:$O$82</c:f>
              <c:numCache>
                <c:formatCode>0.000</c:formatCode>
                <c:ptCount val="71"/>
                <c:pt idx="0">
                  <c:v>0</c:v>
                </c:pt>
                <c:pt idx="1">
                  <c:v>0.2</c:v>
                </c:pt>
                <c:pt idx="2">
                  <c:v>0.4</c:v>
                </c:pt>
                <c:pt idx="3">
                  <c:v>0.60000000000000009</c:v>
                </c:pt>
                <c:pt idx="4">
                  <c:v>0.8</c:v>
                </c:pt>
                <c:pt idx="5">
                  <c:v>1</c:v>
                </c:pt>
                <c:pt idx="6">
                  <c:v>1.2</c:v>
                </c:pt>
                <c:pt idx="7">
                  <c:v>1.4</c:v>
                </c:pt>
                <c:pt idx="8">
                  <c:v>1.5999999999999999</c:v>
                </c:pt>
                <c:pt idx="9">
                  <c:v>1.7999999999999998</c:v>
                </c:pt>
                <c:pt idx="10">
                  <c:v>1.9999999999999998</c:v>
                </c:pt>
                <c:pt idx="11">
                  <c:v>2.1999999999999997</c:v>
                </c:pt>
                <c:pt idx="12">
                  <c:v>2.4</c:v>
                </c:pt>
                <c:pt idx="13">
                  <c:v>2.6</c:v>
                </c:pt>
                <c:pt idx="14">
                  <c:v>2.8000000000000003</c:v>
                </c:pt>
                <c:pt idx="15">
                  <c:v>3.0000000000000004</c:v>
                </c:pt>
                <c:pt idx="16">
                  <c:v>3.2000000000000006</c:v>
                </c:pt>
                <c:pt idx="17">
                  <c:v>3.4000000000000008</c:v>
                </c:pt>
                <c:pt idx="18">
                  <c:v>3.600000000000001</c:v>
                </c:pt>
                <c:pt idx="19">
                  <c:v>3.8000000000000012</c:v>
                </c:pt>
                <c:pt idx="20">
                  <c:v>4.0000000000000009</c:v>
                </c:pt>
                <c:pt idx="21">
                  <c:v>4.2000000000000011</c:v>
                </c:pt>
                <c:pt idx="22">
                  <c:v>4.4000000000000012</c:v>
                </c:pt>
                <c:pt idx="23">
                  <c:v>4.6000000000000014</c:v>
                </c:pt>
                <c:pt idx="24">
                  <c:v>4.8000000000000016</c:v>
                </c:pt>
                <c:pt idx="25">
                  <c:v>5.0000000000000018</c:v>
                </c:pt>
                <c:pt idx="26">
                  <c:v>5.200000000000002</c:v>
                </c:pt>
                <c:pt idx="27">
                  <c:v>5.4000000000000021</c:v>
                </c:pt>
                <c:pt idx="28">
                  <c:v>5.6000000000000023</c:v>
                </c:pt>
                <c:pt idx="29">
                  <c:v>5.8000000000000025</c:v>
                </c:pt>
                <c:pt idx="30">
                  <c:v>6.0000000000000027</c:v>
                </c:pt>
                <c:pt idx="31">
                  <c:v>6.2000000000000028</c:v>
                </c:pt>
                <c:pt idx="32">
                  <c:v>6.400000000000003</c:v>
                </c:pt>
                <c:pt idx="33">
                  <c:v>6.6000000000000032</c:v>
                </c:pt>
                <c:pt idx="34">
                  <c:v>6.8000000000000034</c:v>
                </c:pt>
                <c:pt idx="35">
                  <c:v>7.0000000000000036</c:v>
                </c:pt>
                <c:pt idx="36">
                  <c:v>7.2000000000000037</c:v>
                </c:pt>
                <c:pt idx="37">
                  <c:v>7.4000000000000039</c:v>
                </c:pt>
                <c:pt idx="38">
                  <c:v>7.6000000000000041</c:v>
                </c:pt>
                <c:pt idx="39">
                  <c:v>7.8000000000000043</c:v>
                </c:pt>
                <c:pt idx="40">
                  <c:v>8.0000000000000036</c:v>
                </c:pt>
                <c:pt idx="41">
                  <c:v>8.2000000000000028</c:v>
                </c:pt>
                <c:pt idx="42">
                  <c:v>8.4000000000000021</c:v>
                </c:pt>
                <c:pt idx="43">
                  <c:v>8.6000000000000014</c:v>
                </c:pt>
                <c:pt idx="44">
                  <c:v>8.8000000000000007</c:v>
                </c:pt>
                <c:pt idx="45">
                  <c:v>9</c:v>
                </c:pt>
                <c:pt idx="46">
                  <c:v>9.1999999999999993</c:v>
                </c:pt>
                <c:pt idx="47">
                  <c:v>9.3999999999999986</c:v>
                </c:pt>
                <c:pt idx="48">
                  <c:v>9.5999999999999979</c:v>
                </c:pt>
                <c:pt idx="49">
                  <c:v>9.7999999999999972</c:v>
                </c:pt>
                <c:pt idx="50">
                  <c:v>9.9999999999999964</c:v>
                </c:pt>
                <c:pt idx="51">
                  <c:v>10.199999999999996</c:v>
                </c:pt>
                <c:pt idx="52">
                  <c:v>10.399999999999995</c:v>
                </c:pt>
                <c:pt idx="53">
                  <c:v>10.599999999999994</c:v>
                </c:pt>
                <c:pt idx="54">
                  <c:v>10.799999999999994</c:v>
                </c:pt>
                <c:pt idx="55">
                  <c:v>10.999999999999993</c:v>
                </c:pt>
                <c:pt idx="56">
                  <c:v>11.199999999999992</c:v>
                </c:pt>
                <c:pt idx="57">
                  <c:v>11.399999999999991</c:v>
                </c:pt>
                <c:pt idx="58">
                  <c:v>11.599999999999991</c:v>
                </c:pt>
                <c:pt idx="59">
                  <c:v>11.79999999999999</c:v>
                </c:pt>
                <c:pt idx="60">
                  <c:v>11.999999999999989</c:v>
                </c:pt>
                <c:pt idx="61">
                  <c:v>12.199999999999989</c:v>
                </c:pt>
                <c:pt idx="62">
                  <c:v>12.399999999999988</c:v>
                </c:pt>
                <c:pt idx="63">
                  <c:v>12.599999999999987</c:v>
                </c:pt>
                <c:pt idx="64">
                  <c:v>12.799999999999986</c:v>
                </c:pt>
                <c:pt idx="65">
                  <c:v>12.999999999999986</c:v>
                </c:pt>
                <c:pt idx="66">
                  <c:v>13.199999999999985</c:v>
                </c:pt>
                <c:pt idx="67">
                  <c:v>13.399999999999984</c:v>
                </c:pt>
                <c:pt idx="68">
                  <c:v>13.599999999999984</c:v>
                </c:pt>
                <c:pt idx="69">
                  <c:v>13.799999999999983</c:v>
                </c:pt>
                <c:pt idx="70">
                  <c:v>13.999999999999982</c:v>
                </c:pt>
              </c:numCache>
            </c:numRef>
          </c:xVal>
          <c:yVal>
            <c:numRef>
              <c:f>Distribution!$AR$12:$AR$82</c:f>
              <c:numCache>
                <c:formatCode>0.000</c:formatCode>
                <c:ptCount val="71"/>
              </c:numCache>
            </c:numRef>
          </c:yVal>
          <c:smooth val="1"/>
          <c:extLst>
            <c:ext xmlns:c16="http://schemas.microsoft.com/office/drawing/2014/chart" uri="{C3380CC4-5D6E-409C-BE32-E72D297353CC}">
              <c16:uniqueId val="{00000004-7D4D-4D06-8AAB-F5EFEFFD9EA3}"/>
            </c:ext>
          </c:extLst>
        </c:ser>
        <c:ser>
          <c:idx val="5"/>
          <c:order val="5"/>
          <c:tx>
            <c:v>Alpha H5B</c:v>
          </c:tx>
          <c:spPr>
            <a:ln w="25400">
              <a:solidFill>
                <a:srgbClr val="FF00FF"/>
              </a:solidFill>
              <a:prstDash val="solid"/>
            </a:ln>
          </c:spPr>
          <c:marker>
            <c:symbol val="none"/>
          </c:marker>
          <c:xVal>
            <c:numRef>
              <c:f>Distribution!$O$12:$O$82</c:f>
              <c:numCache>
                <c:formatCode>0.000</c:formatCode>
                <c:ptCount val="71"/>
                <c:pt idx="0">
                  <c:v>0</c:v>
                </c:pt>
                <c:pt idx="1">
                  <c:v>0.2</c:v>
                </c:pt>
                <c:pt idx="2">
                  <c:v>0.4</c:v>
                </c:pt>
                <c:pt idx="3">
                  <c:v>0.60000000000000009</c:v>
                </c:pt>
                <c:pt idx="4">
                  <c:v>0.8</c:v>
                </c:pt>
                <c:pt idx="5">
                  <c:v>1</c:v>
                </c:pt>
                <c:pt idx="6">
                  <c:v>1.2</c:v>
                </c:pt>
                <c:pt idx="7">
                  <c:v>1.4</c:v>
                </c:pt>
                <c:pt idx="8">
                  <c:v>1.5999999999999999</c:v>
                </c:pt>
                <c:pt idx="9">
                  <c:v>1.7999999999999998</c:v>
                </c:pt>
                <c:pt idx="10">
                  <c:v>1.9999999999999998</c:v>
                </c:pt>
                <c:pt idx="11">
                  <c:v>2.1999999999999997</c:v>
                </c:pt>
                <c:pt idx="12">
                  <c:v>2.4</c:v>
                </c:pt>
                <c:pt idx="13">
                  <c:v>2.6</c:v>
                </c:pt>
                <c:pt idx="14">
                  <c:v>2.8000000000000003</c:v>
                </c:pt>
                <c:pt idx="15">
                  <c:v>3.0000000000000004</c:v>
                </c:pt>
                <c:pt idx="16">
                  <c:v>3.2000000000000006</c:v>
                </c:pt>
                <c:pt idx="17">
                  <c:v>3.4000000000000008</c:v>
                </c:pt>
                <c:pt idx="18">
                  <c:v>3.600000000000001</c:v>
                </c:pt>
                <c:pt idx="19">
                  <c:v>3.8000000000000012</c:v>
                </c:pt>
                <c:pt idx="20">
                  <c:v>4.0000000000000009</c:v>
                </c:pt>
                <c:pt idx="21">
                  <c:v>4.2000000000000011</c:v>
                </c:pt>
                <c:pt idx="22">
                  <c:v>4.4000000000000012</c:v>
                </c:pt>
                <c:pt idx="23">
                  <c:v>4.6000000000000014</c:v>
                </c:pt>
                <c:pt idx="24">
                  <c:v>4.8000000000000016</c:v>
                </c:pt>
                <c:pt idx="25">
                  <c:v>5.0000000000000018</c:v>
                </c:pt>
                <c:pt idx="26">
                  <c:v>5.200000000000002</c:v>
                </c:pt>
                <c:pt idx="27">
                  <c:v>5.4000000000000021</c:v>
                </c:pt>
                <c:pt idx="28">
                  <c:v>5.6000000000000023</c:v>
                </c:pt>
                <c:pt idx="29">
                  <c:v>5.8000000000000025</c:v>
                </c:pt>
                <c:pt idx="30">
                  <c:v>6.0000000000000027</c:v>
                </c:pt>
                <c:pt idx="31">
                  <c:v>6.2000000000000028</c:v>
                </c:pt>
                <c:pt idx="32">
                  <c:v>6.400000000000003</c:v>
                </c:pt>
                <c:pt idx="33">
                  <c:v>6.6000000000000032</c:v>
                </c:pt>
                <c:pt idx="34">
                  <c:v>6.8000000000000034</c:v>
                </c:pt>
                <c:pt idx="35">
                  <c:v>7.0000000000000036</c:v>
                </c:pt>
                <c:pt idx="36">
                  <c:v>7.2000000000000037</c:v>
                </c:pt>
                <c:pt idx="37">
                  <c:v>7.4000000000000039</c:v>
                </c:pt>
                <c:pt idx="38">
                  <c:v>7.6000000000000041</c:v>
                </c:pt>
                <c:pt idx="39">
                  <c:v>7.8000000000000043</c:v>
                </c:pt>
                <c:pt idx="40">
                  <c:v>8.0000000000000036</c:v>
                </c:pt>
                <c:pt idx="41">
                  <c:v>8.2000000000000028</c:v>
                </c:pt>
                <c:pt idx="42">
                  <c:v>8.4000000000000021</c:v>
                </c:pt>
                <c:pt idx="43">
                  <c:v>8.6000000000000014</c:v>
                </c:pt>
                <c:pt idx="44">
                  <c:v>8.8000000000000007</c:v>
                </c:pt>
                <c:pt idx="45">
                  <c:v>9</c:v>
                </c:pt>
                <c:pt idx="46">
                  <c:v>9.1999999999999993</c:v>
                </c:pt>
                <c:pt idx="47">
                  <c:v>9.3999999999999986</c:v>
                </c:pt>
                <c:pt idx="48">
                  <c:v>9.5999999999999979</c:v>
                </c:pt>
                <c:pt idx="49">
                  <c:v>9.7999999999999972</c:v>
                </c:pt>
                <c:pt idx="50">
                  <c:v>9.9999999999999964</c:v>
                </c:pt>
                <c:pt idx="51">
                  <c:v>10.199999999999996</c:v>
                </c:pt>
                <c:pt idx="52">
                  <c:v>10.399999999999995</c:v>
                </c:pt>
                <c:pt idx="53">
                  <c:v>10.599999999999994</c:v>
                </c:pt>
                <c:pt idx="54">
                  <c:v>10.799999999999994</c:v>
                </c:pt>
                <c:pt idx="55">
                  <c:v>10.999999999999993</c:v>
                </c:pt>
                <c:pt idx="56">
                  <c:v>11.199999999999992</c:v>
                </c:pt>
                <c:pt idx="57">
                  <c:v>11.399999999999991</c:v>
                </c:pt>
                <c:pt idx="58">
                  <c:v>11.599999999999991</c:v>
                </c:pt>
                <c:pt idx="59">
                  <c:v>11.79999999999999</c:v>
                </c:pt>
                <c:pt idx="60">
                  <c:v>11.999999999999989</c:v>
                </c:pt>
                <c:pt idx="61">
                  <c:v>12.199999999999989</c:v>
                </c:pt>
                <c:pt idx="62">
                  <c:v>12.399999999999988</c:v>
                </c:pt>
                <c:pt idx="63">
                  <c:v>12.599999999999987</c:v>
                </c:pt>
                <c:pt idx="64">
                  <c:v>12.799999999999986</c:v>
                </c:pt>
                <c:pt idx="65">
                  <c:v>12.999999999999986</c:v>
                </c:pt>
                <c:pt idx="66">
                  <c:v>13.199999999999985</c:v>
                </c:pt>
                <c:pt idx="67">
                  <c:v>13.399999999999984</c:v>
                </c:pt>
                <c:pt idx="68">
                  <c:v>13.599999999999984</c:v>
                </c:pt>
                <c:pt idx="69">
                  <c:v>13.799999999999983</c:v>
                </c:pt>
                <c:pt idx="70">
                  <c:v>13.999999999999982</c:v>
                </c:pt>
              </c:numCache>
            </c:numRef>
          </c:xVal>
          <c:yVal>
            <c:numRef>
              <c:f>Distribution!$AS$12:$AS$82</c:f>
              <c:numCache>
                <c:formatCode>0.000</c:formatCode>
                <c:ptCount val="71"/>
              </c:numCache>
            </c:numRef>
          </c:yVal>
          <c:smooth val="1"/>
          <c:extLst>
            <c:ext xmlns:c16="http://schemas.microsoft.com/office/drawing/2014/chart" uri="{C3380CC4-5D6E-409C-BE32-E72D297353CC}">
              <c16:uniqueId val="{00000005-7D4D-4D06-8AAB-F5EFEFFD9EA3}"/>
            </c:ext>
          </c:extLst>
        </c:ser>
        <c:ser>
          <c:idx val="6"/>
          <c:order val="6"/>
          <c:tx>
            <c:v>Alpha H6B</c:v>
          </c:tx>
          <c:spPr>
            <a:ln w="25400">
              <a:solidFill>
                <a:srgbClr val="008080"/>
              </a:solidFill>
              <a:prstDash val="solid"/>
            </a:ln>
          </c:spPr>
          <c:marker>
            <c:symbol val="none"/>
          </c:marker>
          <c:xVal>
            <c:numRef>
              <c:f>Distribution!$O$12:$O$82</c:f>
              <c:numCache>
                <c:formatCode>0.000</c:formatCode>
                <c:ptCount val="71"/>
                <c:pt idx="0">
                  <c:v>0</c:v>
                </c:pt>
                <c:pt idx="1">
                  <c:v>0.2</c:v>
                </c:pt>
                <c:pt idx="2">
                  <c:v>0.4</c:v>
                </c:pt>
                <c:pt idx="3">
                  <c:v>0.60000000000000009</c:v>
                </c:pt>
                <c:pt idx="4">
                  <c:v>0.8</c:v>
                </c:pt>
                <c:pt idx="5">
                  <c:v>1</c:v>
                </c:pt>
                <c:pt idx="6">
                  <c:v>1.2</c:v>
                </c:pt>
                <c:pt idx="7">
                  <c:v>1.4</c:v>
                </c:pt>
                <c:pt idx="8">
                  <c:v>1.5999999999999999</c:v>
                </c:pt>
                <c:pt idx="9">
                  <c:v>1.7999999999999998</c:v>
                </c:pt>
                <c:pt idx="10">
                  <c:v>1.9999999999999998</c:v>
                </c:pt>
                <c:pt idx="11">
                  <c:v>2.1999999999999997</c:v>
                </c:pt>
                <c:pt idx="12">
                  <c:v>2.4</c:v>
                </c:pt>
                <c:pt idx="13">
                  <c:v>2.6</c:v>
                </c:pt>
                <c:pt idx="14">
                  <c:v>2.8000000000000003</c:v>
                </c:pt>
                <c:pt idx="15">
                  <c:v>3.0000000000000004</c:v>
                </c:pt>
                <c:pt idx="16">
                  <c:v>3.2000000000000006</c:v>
                </c:pt>
                <c:pt idx="17">
                  <c:v>3.4000000000000008</c:v>
                </c:pt>
                <c:pt idx="18">
                  <c:v>3.600000000000001</c:v>
                </c:pt>
                <c:pt idx="19">
                  <c:v>3.8000000000000012</c:v>
                </c:pt>
                <c:pt idx="20">
                  <c:v>4.0000000000000009</c:v>
                </c:pt>
                <c:pt idx="21">
                  <c:v>4.2000000000000011</c:v>
                </c:pt>
                <c:pt idx="22">
                  <c:v>4.4000000000000012</c:v>
                </c:pt>
                <c:pt idx="23">
                  <c:v>4.6000000000000014</c:v>
                </c:pt>
                <c:pt idx="24">
                  <c:v>4.8000000000000016</c:v>
                </c:pt>
                <c:pt idx="25">
                  <c:v>5.0000000000000018</c:v>
                </c:pt>
                <c:pt idx="26">
                  <c:v>5.200000000000002</c:v>
                </c:pt>
                <c:pt idx="27">
                  <c:v>5.4000000000000021</c:v>
                </c:pt>
                <c:pt idx="28">
                  <c:v>5.6000000000000023</c:v>
                </c:pt>
                <c:pt idx="29">
                  <c:v>5.8000000000000025</c:v>
                </c:pt>
                <c:pt idx="30">
                  <c:v>6.0000000000000027</c:v>
                </c:pt>
                <c:pt idx="31">
                  <c:v>6.2000000000000028</c:v>
                </c:pt>
                <c:pt idx="32">
                  <c:v>6.400000000000003</c:v>
                </c:pt>
                <c:pt idx="33">
                  <c:v>6.6000000000000032</c:v>
                </c:pt>
                <c:pt idx="34">
                  <c:v>6.8000000000000034</c:v>
                </c:pt>
                <c:pt idx="35">
                  <c:v>7.0000000000000036</c:v>
                </c:pt>
                <c:pt idx="36">
                  <c:v>7.2000000000000037</c:v>
                </c:pt>
                <c:pt idx="37">
                  <c:v>7.4000000000000039</c:v>
                </c:pt>
                <c:pt idx="38">
                  <c:v>7.6000000000000041</c:v>
                </c:pt>
                <c:pt idx="39">
                  <c:v>7.8000000000000043</c:v>
                </c:pt>
                <c:pt idx="40">
                  <c:v>8.0000000000000036</c:v>
                </c:pt>
                <c:pt idx="41">
                  <c:v>8.2000000000000028</c:v>
                </c:pt>
                <c:pt idx="42">
                  <c:v>8.4000000000000021</c:v>
                </c:pt>
                <c:pt idx="43">
                  <c:v>8.6000000000000014</c:v>
                </c:pt>
                <c:pt idx="44">
                  <c:v>8.8000000000000007</c:v>
                </c:pt>
                <c:pt idx="45">
                  <c:v>9</c:v>
                </c:pt>
                <c:pt idx="46">
                  <c:v>9.1999999999999993</c:v>
                </c:pt>
                <c:pt idx="47">
                  <c:v>9.3999999999999986</c:v>
                </c:pt>
                <c:pt idx="48">
                  <c:v>9.5999999999999979</c:v>
                </c:pt>
                <c:pt idx="49">
                  <c:v>9.7999999999999972</c:v>
                </c:pt>
                <c:pt idx="50">
                  <c:v>9.9999999999999964</c:v>
                </c:pt>
                <c:pt idx="51">
                  <c:v>10.199999999999996</c:v>
                </c:pt>
                <c:pt idx="52">
                  <c:v>10.399999999999995</c:v>
                </c:pt>
                <c:pt idx="53">
                  <c:v>10.599999999999994</c:v>
                </c:pt>
                <c:pt idx="54">
                  <c:v>10.799999999999994</c:v>
                </c:pt>
                <c:pt idx="55">
                  <c:v>10.999999999999993</c:v>
                </c:pt>
                <c:pt idx="56">
                  <c:v>11.199999999999992</c:v>
                </c:pt>
                <c:pt idx="57">
                  <c:v>11.399999999999991</c:v>
                </c:pt>
                <c:pt idx="58">
                  <c:v>11.599999999999991</c:v>
                </c:pt>
                <c:pt idx="59">
                  <c:v>11.79999999999999</c:v>
                </c:pt>
                <c:pt idx="60">
                  <c:v>11.999999999999989</c:v>
                </c:pt>
                <c:pt idx="61">
                  <c:v>12.199999999999989</c:v>
                </c:pt>
                <c:pt idx="62">
                  <c:v>12.399999999999988</c:v>
                </c:pt>
                <c:pt idx="63">
                  <c:v>12.599999999999987</c:v>
                </c:pt>
                <c:pt idx="64">
                  <c:v>12.799999999999986</c:v>
                </c:pt>
                <c:pt idx="65">
                  <c:v>12.999999999999986</c:v>
                </c:pt>
                <c:pt idx="66">
                  <c:v>13.199999999999985</c:v>
                </c:pt>
                <c:pt idx="67">
                  <c:v>13.399999999999984</c:v>
                </c:pt>
                <c:pt idx="68">
                  <c:v>13.599999999999984</c:v>
                </c:pt>
                <c:pt idx="69">
                  <c:v>13.799999999999983</c:v>
                </c:pt>
                <c:pt idx="70">
                  <c:v>13.999999999999982</c:v>
                </c:pt>
              </c:numCache>
            </c:numRef>
          </c:xVal>
          <c:yVal>
            <c:numRef>
              <c:f>Distribution!$AT$12:$AT$82</c:f>
              <c:numCache>
                <c:formatCode>0.000</c:formatCode>
                <c:ptCount val="71"/>
              </c:numCache>
            </c:numRef>
          </c:yVal>
          <c:smooth val="1"/>
          <c:extLst>
            <c:ext xmlns:c16="http://schemas.microsoft.com/office/drawing/2014/chart" uri="{C3380CC4-5D6E-409C-BE32-E72D297353CC}">
              <c16:uniqueId val="{00000006-7D4D-4D06-8AAB-F5EFEFFD9EA3}"/>
            </c:ext>
          </c:extLst>
        </c:ser>
        <c:dLbls>
          <c:showLegendKey val="0"/>
          <c:showVal val="0"/>
          <c:showCatName val="0"/>
          <c:showSerName val="0"/>
          <c:showPercent val="0"/>
          <c:showBubbleSize val="0"/>
        </c:dLbls>
        <c:axId val="277067008"/>
        <c:axId val="277051776"/>
      </c:scatterChart>
      <c:valAx>
        <c:axId val="277067008"/>
        <c:scaling>
          <c:orientation val="minMax"/>
          <c:max val="14"/>
        </c:scaling>
        <c:delete val="0"/>
        <c:axPos val="b"/>
        <c:majorGridlines/>
        <c:title>
          <c:tx>
            <c:rich>
              <a:bodyPr/>
              <a:lstStyle/>
              <a:p>
                <a:pPr>
                  <a:defRPr sz="1175" b="1" i="0" u="none" strike="noStrike" baseline="0">
                    <a:solidFill>
                      <a:srgbClr val="000000"/>
                    </a:solidFill>
                    <a:latin typeface="Arial"/>
                    <a:ea typeface="Arial"/>
                    <a:cs typeface="Arial"/>
                  </a:defRPr>
                </a:pPr>
                <a:r>
                  <a:rPr lang="pt-BR"/>
                  <a:t>pH</a:t>
                </a:r>
              </a:p>
            </c:rich>
          </c:tx>
          <c:layout>
            <c:manualLayout>
              <c:xMode val="edge"/>
              <c:yMode val="edge"/>
              <c:x val="0.48678160327998987"/>
              <c:y val="0.92178837803585911"/>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1175" b="0" i="0" u="none" strike="noStrike" baseline="0">
                <a:solidFill>
                  <a:srgbClr val="000000"/>
                </a:solidFill>
                <a:latin typeface="Arial"/>
                <a:ea typeface="Arial"/>
                <a:cs typeface="Arial"/>
              </a:defRPr>
            </a:pPr>
            <a:endParaRPr lang="nl-NL"/>
          </a:p>
        </c:txPr>
        <c:crossAx val="277051776"/>
        <c:crossesAt val="-10"/>
        <c:crossBetween val="midCat"/>
        <c:majorUnit val="1"/>
      </c:valAx>
      <c:valAx>
        <c:axId val="277051776"/>
        <c:scaling>
          <c:orientation val="minMax"/>
          <c:max val="0.2"/>
          <c:min val="-8"/>
        </c:scaling>
        <c:delete val="0"/>
        <c:axPos val="l"/>
        <c:majorGridlines>
          <c:spPr>
            <a:ln w="3175">
              <a:solidFill>
                <a:srgbClr val="000000"/>
              </a:solidFill>
              <a:prstDash val="solid"/>
            </a:ln>
          </c:spPr>
        </c:majorGridlines>
        <c:title>
          <c:tx>
            <c:rich>
              <a:bodyPr/>
              <a:lstStyle/>
              <a:p>
                <a:pPr>
                  <a:defRPr sz="1100" b="0" i="0" u="none" strike="noStrike" baseline="0">
                    <a:solidFill>
                      <a:srgbClr val="000000"/>
                    </a:solidFill>
                    <a:latin typeface="Calibri"/>
                    <a:ea typeface="Calibri"/>
                    <a:cs typeface="Calibri"/>
                  </a:defRPr>
                </a:pPr>
                <a:r>
                  <a:rPr lang="pt-BR" sz="1500" b="0" i="0" strike="noStrike">
                    <a:solidFill>
                      <a:srgbClr val="000000"/>
                    </a:solidFill>
                    <a:latin typeface="Arial"/>
                    <a:cs typeface="Arial"/>
                  </a:rPr>
                  <a:t>log</a:t>
                </a:r>
                <a:r>
                  <a:rPr lang="pt-BR" sz="1500" b="0" i="0" strike="noStrike">
                    <a:solidFill>
                      <a:srgbClr val="000000"/>
                    </a:solidFill>
                    <a:latin typeface="Symbol"/>
                  </a:rPr>
                  <a:t> a</a:t>
                </a:r>
                <a:r>
                  <a:rPr lang="pt-BR" sz="1500" b="1" i="0" strike="noStrike" baseline="-25000">
                    <a:solidFill>
                      <a:srgbClr val="000000"/>
                    </a:solidFill>
                    <a:latin typeface="Arial"/>
                    <a:cs typeface="Arial"/>
                  </a:rPr>
                  <a:t>i</a:t>
                </a:r>
              </a:p>
            </c:rich>
          </c:tx>
          <c:layout>
            <c:manualLayout>
              <c:xMode val="edge"/>
              <c:yMode val="edge"/>
              <c:x val="7.2045700169831904E-3"/>
              <c:y val="0.38345971925013761"/>
            </c:manualLayout>
          </c:layout>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1175" b="0" i="0" u="none" strike="noStrike" baseline="0">
                <a:solidFill>
                  <a:srgbClr val="000000"/>
                </a:solidFill>
                <a:latin typeface="Arial"/>
                <a:ea typeface="Arial"/>
                <a:cs typeface="Arial"/>
              </a:defRPr>
            </a:pPr>
            <a:endParaRPr lang="nl-NL"/>
          </a:p>
        </c:txPr>
        <c:crossAx val="277067008"/>
        <c:crosses val="autoZero"/>
        <c:crossBetween val="midCat"/>
      </c:valAx>
      <c:spPr>
        <a:noFill/>
        <a:ln w="12700">
          <a:solidFill>
            <a:schemeClr val="tx1"/>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175" b="0" i="0" u="none" strike="noStrike" baseline="0">
          <a:solidFill>
            <a:srgbClr val="000000"/>
          </a:solidFill>
          <a:latin typeface="Arial"/>
          <a:ea typeface="Arial"/>
          <a:cs typeface="Arial"/>
        </a:defRPr>
      </a:pPr>
      <a:endParaRPr lang="nl-NL"/>
    </a:p>
  </c:txPr>
  <c:printSettings>
    <c:headerFooter alignWithMargins="0"/>
    <c:pageMargins b="0.98425196899999956" l="0.78740157499999996" r="0.78740157499999996" t="0.98425196899999956" header="0.49212598500001165" footer="0.49212598500001165"/>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pt-BR" sz="1200"/>
              <a:t>Distribution of HiB species along a titration</a:t>
            </a:r>
          </a:p>
        </c:rich>
      </c:tx>
      <c:layout>
        <c:manualLayout>
          <c:xMode val="edge"/>
          <c:yMode val="edge"/>
          <c:x val="0.11298706927689085"/>
          <c:y val="1.3123359580052583E-2"/>
        </c:manualLayout>
      </c:layout>
      <c:overlay val="0"/>
      <c:spPr>
        <a:noFill/>
        <a:ln w="25400">
          <a:noFill/>
        </a:ln>
      </c:spPr>
    </c:title>
    <c:autoTitleDeleted val="0"/>
    <c:plotArea>
      <c:layout>
        <c:manualLayout>
          <c:layoutTarget val="inner"/>
          <c:xMode val="edge"/>
          <c:yMode val="edge"/>
          <c:x val="0.11038961038961038"/>
          <c:y val="9.7113109808454459E-2"/>
          <c:w val="0.84285714285714286"/>
          <c:h val="0.75590744931986475"/>
        </c:manualLayout>
      </c:layout>
      <c:scatterChart>
        <c:scatterStyle val="smoothMarker"/>
        <c:varyColors val="0"/>
        <c:ser>
          <c:idx val="1"/>
          <c:order val="0"/>
          <c:tx>
            <c:v>log alfa 1</c:v>
          </c:tx>
          <c:spPr>
            <a:ln w="25400">
              <a:solidFill>
                <a:srgbClr val="000000"/>
              </a:solidFill>
              <a:prstDash val="solid"/>
            </a:ln>
          </c:spPr>
          <c:marker>
            <c:symbol val="square"/>
            <c:size val="3"/>
            <c:spPr>
              <a:noFill/>
              <a:ln>
                <a:solidFill>
                  <a:srgbClr val="000000"/>
                </a:solidFill>
                <a:prstDash val="solid"/>
              </a:ln>
            </c:spPr>
          </c:marker>
          <c:xVal>
            <c:numRef>
              <c:f>Distribution!$Y$12:$Y$114</c:f>
              <c:numCache>
                <c:formatCode>0.000</c:formatCode>
                <c:ptCount val="103"/>
                <c:pt idx="0">
                  <c:v>0</c:v>
                </c:pt>
                <c:pt idx="1">
                  <c:v>2.3004448812571354</c:v>
                </c:pt>
                <c:pt idx="2">
                  <c:v>4.3254298929241486</c:v>
                </c:pt>
                <c:pt idx="3">
                  <c:v>5.9982889695675112</c:v>
                </c:pt>
                <c:pt idx="4">
                  <c:v>7.2857926934375428</c:v>
                </c:pt>
                <c:pt idx="5">
                  <c:v>8.2150732792797498</c:v>
                </c:pt>
                <c:pt idx="6">
                  <c:v>8.852646873856429</c:v>
                </c:pt>
                <c:pt idx="7">
                  <c:v>9.2745251997257583</c:v>
                </c:pt>
                <c:pt idx="8">
                  <c:v>9.5472193221212365</c:v>
                </c:pt>
                <c:pt idx="9">
                  <c:v>9.7213898246991448</c:v>
                </c:pt>
                <c:pt idx="10">
                  <c:v>9.8327682426315732</c:v>
                </c:pt>
                <c:pt idx="11">
                  <c:v>9.9056407503667288</c:v>
                </c:pt>
                <c:pt idx="12">
                  <c:v>9.956512633652892</c:v>
                </c:pt>
                <c:pt idx="13">
                  <c:v>9.9971799951163121</c:v>
                </c:pt>
                <c:pt idx="14">
                  <c:v>10.037190483126324</c:v>
                </c:pt>
                <c:pt idx="15">
                  <c:v>10.085949620406609</c:v>
                </c:pt>
                <c:pt idx="16">
                  <c:v>10.154803957266267</c:v>
                </c:pt>
                <c:pt idx="17">
                  <c:v>10.259427917480934</c:v>
                </c:pt>
                <c:pt idx="18">
                  <c:v>10.422738817578647</c:v>
                </c:pt>
                <c:pt idx="19">
                  <c:v>10.678157336951699</c:v>
                </c:pt>
                <c:pt idx="20">
                  <c:v>11.071775054733735</c:v>
                </c:pt>
                <c:pt idx="21">
                  <c:v>11.659035268530715</c:v>
                </c:pt>
                <c:pt idx="22">
                  <c:v>12.487507292826194</c:v>
                </c:pt>
                <c:pt idx="23">
                  <c:v>13.560292513284367</c:v>
                </c:pt>
                <c:pt idx="24">
                  <c:v>14.799194350780454</c:v>
                </c:pt>
                <c:pt idx="25">
                  <c:v>16.054576211899985</c:v>
                </c:pt>
                <c:pt idx="26">
                  <c:v>17.173922529036645</c:v>
                </c:pt>
                <c:pt idx="27">
                  <c:v>18.068469061108772</c:v>
                </c:pt>
                <c:pt idx="28">
                  <c:v>18.725484058086295</c:v>
                </c:pt>
                <c:pt idx="29">
                  <c:v>19.179874857945833</c:v>
                </c:pt>
                <c:pt idx="30">
                  <c:v>19.48181740444852</c:v>
                </c:pt>
                <c:pt idx="31">
                  <c:v>19.677734184369911</c:v>
                </c:pt>
                <c:pt idx="32">
                  <c:v>19.803712518478278</c:v>
                </c:pt>
                <c:pt idx="33">
                  <c:v>19.885540132236201</c:v>
                </c:pt>
                <c:pt idx="34">
                  <c:v>19.941073826339561</c:v>
                </c:pt>
                <c:pt idx="35">
                  <c:v>19.982924718351569</c:v>
                </c:pt>
                <c:pt idx="36">
                  <c:v>20.020832466252614</c:v>
                </c:pt>
                <c:pt idx="37">
                  <c:v>20.063731157279108</c:v>
                </c:pt>
                <c:pt idx="38">
                  <c:v>20.121755062427837</c:v>
                </c:pt>
                <c:pt idx="39">
                  <c:v>20.208536063728388</c:v>
                </c:pt>
                <c:pt idx="40">
                  <c:v>20.344214436772745</c:v>
                </c:pt>
                <c:pt idx="41">
                  <c:v>20.55962798622204</c:v>
                </c:pt>
                <c:pt idx="42">
                  <c:v>20.902049214055296</c:v>
                </c:pt>
                <c:pt idx="43">
                  <c:v>21.442285725788679</c:v>
                </c:pt>
                <c:pt idx="44">
                  <c:v>22.281442677194718</c:v>
                </c:pt>
                <c:pt idx="45">
                  <c:v>23.553723619261291</c:v>
                </c:pt>
                <c:pt idx="46">
                  <c:v>25.425947584153619</c:v>
                </c:pt>
                <c:pt idx="47">
                  <c:v>28.122492051625159</c:v>
                </c:pt>
                <c:pt idx="48">
                  <c:v>32.065280988172162</c:v>
                </c:pt>
                <c:pt idx="49">
                  <c:v>38.31748273660196</c:v>
                </c:pt>
                <c:pt idx="50">
                  <c:v>49.999999998544808</c:v>
                </c:pt>
              </c:numCache>
            </c:numRef>
          </c:xVal>
          <c:yVal>
            <c:numRef>
              <c:f>Distribution!$AY$12:$AY$114</c:f>
              <c:numCache>
                <c:formatCode>0.000</c:formatCode>
                <c:ptCount val="103"/>
                <c:pt idx="0">
                  <c:v>-5.3892451486313684</c:v>
                </c:pt>
                <c:pt idx="1">
                  <c:v>-5.0559074965161495</c:v>
                </c:pt>
                <c:pt idx="2">
                  <c:v>-4.7500496253937694</c:v>
                </c:pt>
                <c:pt idx="3">
                  <c:v>-4.4697781896648001</c:v>
                </c:pt>
                <c:pt idx="4">
                  <c:v>-4.2107572864672127</c:v>
                </c:pt>
                <c:pt idx="5">
                  <c:v>-3.9678417661649035</c:v>
                </c:pt>
                <c:pt idx="6">
                  <c:v>-3.7363289483037558</c:v>
                </c:pt>
                <c:pt idx="7">
                  <c:v>-3.5125160629989387</c:v>
                </c:pt>
                <c:pt idx="8">
                  <c:v>-3.2937476376565025</c:v>
                </c:pt>
                <c:pt idx="9">
                  <c:v>-3.0782331663822529</c:v>
                </c:pt>
                <c:pt idx="10">
                  <c:v>-2.8648199771007756</c:v>
                </c:pt>
                <c:pt idx="11">
                  <c:v>-2.6528018207594153</c:v>
                </c:pt>
                <c:pt idx="12">
                  <c:v>-2.4417838894309676</c:v>
                </c:pt>
                <c:pt idx="13">
                  <c:v>-2.2316014634763484</c:v>
                </c:pt>
                <c:pt idx="14">
                  <c:v>-2.0222847558097645</c:v>
                </c:pt>
                <c:pt idx="15">
                  <c:v>-1.8140655602310758</c:v>
                </c:pt>
                <c:pt idx="16">
                  <c:v>-1.6074267177211958</c:v>
                </c:pt>
                <c:pt idx="17">
                  <c:v>-1.4032005033221626</c:v>
                </c:pt>
                <c:pt idx="18">
                  <c:v>-1.2027235463525303</c:v>
                </c:pt>
                <c:pt idx="19">
                  <c:v>-1.0080463793769636</c:v>
                </c:pt>
                <c:pt idx="20">
                  <c:v>-0.82215928999071852</c:v>
                </c:pt>
                <c:pt idx="21">
                  <c:v>-0.64910975731738441</c:v>
                </c:pt>
                <c:pt idx="22">
                  <c:v>-0.49375343954644241</c:v>
                </c:pt>
                <c:pt idx="23">
                  <c:v>-0.36083599458778487</c:v>
                </c:pt>
                <c:pt idx="24">
                  <c:v>-0.25346899736588613</c:v>
                </c:pt>
                <c:pt idx="25">
                  <c:v>-0.17183849823160141</c:v>
                </c:pt>
                <c:pt idx="26">
                  <c:v>-0.11316884762241186</c:v>
                </c:pt>
                <c:pt idx="27">
                  <c:v>-7.2925959718322886E-2</c:v>
                </c:pt>
                <c:pt idx="28">
                  <c:v>-4.6288130929440743E-2</c:v>
                </c:pt>
                <c:pt idx="29">
                  <c:v>-2.9104134723900957E-2</c:v>
                </c:pt>
                <c:pt idx="30">
                  <c:v>-1.8224393904897704E-2</c:v>
                </c:pt>
                <c:pt idx="31">
                  <c:v>-1.1443661640212741E-2</c:v>
                </c:pt>
                <c:pt idx="32">
                  <c:v>-7.2992593302961192E-3</c:v>
                </c:pt>
                <c:pt idx="33">
                  <c:v>-4.8624449086987556E-3</c:v>
                </c:pt>
                <c:pt idx="34">
                  <c:v>-3.5745210665743331E-3</c:v>
                </c:pt>
                <c:pt idx="35">
                  <c:v>-3.136369323963641E-3</c:v>
                </c:pt>
                <c:pt idx="36">
                  <c:v>-3.4456171586660514E-3</c:v>
                </c:pt>
                <c:pt idx="37">
                  <c:v>-4.5745361571904054E-3</c:v>
                </c:pt>
                <c:pt idx="38">
                  <c:v>-6.7856586719375125E-3</c:v>
                </c:pt>
                <c:pt idx="39">
                  <c:v>-1.0587246941243305E-2</c:v>
                </c:pt>
                <c:pt idx="40">
                  <c:v>-1.6834992497947374E-2</c:v>
                </c:pt>
                <c:pt idx="41">
                  <c:v>-2.6886329660073378E-2</c:v>
                </c:pt>
                <c:pt idx="42">
                  <c:v>-4.2801937876766297E-2</c:v>
                </c:pt>
                <c:pt idx="43">
                  <c:v>-6.7550897933028736E-2</c:v>
                </c:pt>
                <c:pt idx="44">
                  <c:v>-0.1050950690388371</c:v>
                </c:pt>
                <c:pt idx="45">
                  <c:v>-0.16011957479490205</c:v>
                </c:pt>
                <c:pt idx="46">
                  <c:v>-0.23716406625441278</c:v>
                </c:pt>
                <c:pt idx="47">
                  <c:v>-0.33923361847233113</c:v>
                </c:pt>
                <c:pt idx="48">
                  <c:v>-0.46659920387391829</c:v>
                </c:pt>
                <c:pt idx="49">
                  <c:v>-0.61667644709844671</c:v>
                </c:pt>
                <c:pt idx="50">
                  <c:v>-0.78505089115286386</c:v>
                </c:pt>
              </c:numCache>
            </c:numRef>
          </c:yVal>
          <c:smooth val="1"/>
          <c:extLst>
            <c:ext xmlns:c16="http://schemas.microsoft.com/office/drawing/2014/chart" uri="{C3380CC4-5D6E-409C-BE32-E72D297353CC}">
              <c16:uniqueId val="{00000000-FD9A-4051-8A44-D31D046B1B83}"/>
            </c:ext>
          </c:extLst>
        </c:ser>
        <c:ser>
          <c:idx val="0"/>
          <c:order val="1"/>
          <c:tx>
            <c:v>log alfa 0</c:v>
          </c:tx>
          <c:spPr>
            <a:ln w="25400">
              <a:solidFill>
                <a:srgbClr val="FF0000"/>
              </a:solidFill>
              <a:prstDash val="solid"/>
            </a:ln>
          </c:spPr>
          <c:marker>
            <c:symbol val="square"/>
            <c:size val="3"/>
            <c:spPr>
              <a:noFill/>
              <a:ln w="9525">
                <a:solidFill>
                  <a:srgbClr val="0000FF"/>
                </a:solidFill>
              </a:ln>
            </c:spPr>
          </c:marker>
          <c:xVal>
            <c:numRef>
              <c:f>Distribution!$Y$12:$Y$114</c:f>
              <c:numCache>
                <c:formatCode>0.000</c:formatCode>
                <c:ptCount val="103"/>
                <c:pt idx="0">
                  <c:v>0</c:v>
                </c:pt>
                <c:pt idx="1">
                  <c:v>2.3004448812571354</c:v>
                </c:pt>
                <c:pt idx="2">
                  <c:v>4.3254298929241486</c:v>
                </c:pt>
                <c:pt idx="3">
                  <c:v>5.9982889695675112</c:v>
                </c:pt>
                <c:pt idx="4">
                  <c:v>7.2857926934375428</c:v>
                </c:pt>
                <c:pt idx="5">
                  <c:v>8.2150732792797498</c:v>
                </c:pt>
                <c:pt idx="6">
                  <c:v>8.852646873856429</c:v>
                </c:pt>
                <c:pt idx="7">
                  <c:v>9.2745251997257583</c:v>
                </c:pt>
                <c:pt idx="8">
                  <c:v>9.5472193221212365</c:v>
                </c:pt>
                <c:pt idx="9">
                  <c:v>9.7213898246991448</c:v>
                </c:pt>
                <c:pt idx="10">
                  <c:v>9.8327682426315732</c:v>
                </c:pt>
                <c:pt idx="11">
                  <c:v>9.9056407503667288</c:v>
                </c:pt>
                <c:pt idx="12">
                  <c:v>9.956512633652892</c:v>
                </c:pt>
                <c:pt idx="13">
                  <c:v>9.9971799951163121</c:v>
                </c:pt>
                <c:pt idx="14">
                  <c:v>10.037190483126324</c:v>
                </c:pt>
                <c:pt idx="15">
                  <c:v>10.085949620406609</c:v>
                </c:pt>
                <c:pt idx="16">
                  <c:v>10.154803957266267</c:v>
                </c:pt>
                <c:pt idx="17">
                  <c:v>10.259427917480934</c:v>
                </c:pt>
                <c:pt idx="18">
                  <c:v>10.422738817578647</c:v>
                </c:pt>
                <c:pt idx="19">
                  <c:v>10.678157336951699</c:v>
                </c:pt>
                <c:pt idx="20">
                  <c:v>11.071775054733735</c:v>
                </c:pt>
                <c:pt idx="21">
                  <c:v>11.659035268530715</c:v>
                </c:pt>
                <c:pt idx="22">
                  <c:v>12.487507292826194</c:v>
                </c:pt>
                <c:pt idx="23">
                  <c:v>13.560292513284367</c:v>
                </c:pt>
                <c:pt idx="24">
                  <c:v>14.799194350780454</c:v>
                </c:pt>
                <c:pt idx="25">
                  <c:v>16.054576211899985</c:v>
                </c:pt>
                <c:pt idx="26">
                  <c:v>17.173922529036645</c:v>
                </c:pt>
                <c:pt idx="27">
                  <c:v>18.068469061108772</c:v>
                </c:pt>
                <c:pt idx="28">
                  <c:v>18.725484058086295</c:v>
                </c:pt>
                <c:pt idx="29">
                  <c:v>19.179874857945833</c:v>
                </c:pt>
                <c:pt idx="30">
                  <c:v>19.48181740444852</c:v>
                </c:pt>
                <c:pt idx="31">
                  <c:v>19.677734184369911</c:v>
                </c:pt>
                <c:pt idx="32">
                  <c:v>19.803712518478278</c:v>
                </c:pt>
                <c:pt idx="33">
                  <c:v>19.885540132236201</c:v>
                </c:pt>
                <c:pt idx="34">
                  <c:v>19.941073826339561</c:v>
                </c:pt>
                <c:pt idx="35">
                  <c:v>19.982924718351569</c:v>
                </c:pt>
                <c:pt idx="36">
                  <c:v>20.020832466252614</c:v>
                </c:pt>
                <c:pt idx="37">
                  <c:v>20.063731157279108</c:v>
                </c:pt>
                <c:pt idx="38">
                  <c:v>20.121755062427837</c:v>
                </c:pt>
                <c:pt idx="39">
                  <c:v>20.208536063728388</c:v>
                </c:pt>
                <c:pt idx="40">
                  <c:v>20.344214436772745</c:v>
                </c:pt>
                <c:pt idx="41">
                  <c:v>20.55962798622204</c:v>
                </c:pt>
                <c:pt idx="42">
                  <c:v>20.902049214055296</c:v>
                </c:pt>
                <c:pt idx="43">
                  <c:v>21.442285725788679</c:v>
                </c:pt>
                <c:pt idx="44">
                  <c:v>22.281442677194718</c:v>
                </c:pt>
                <c:pt idx="45">
                  <c:v>23.553723619261291</c:v>
                </c:pt>
                <c:pt idx="46">
                  <c:v>25.425947584153619</c:v>
                </c:pt>
                <c:pt idx="47">
                  <c:v>28.122492051625159</c:v>
                </c:pt>
                <c:pt idx="48">
                  <c:v>32.065280988172162</c:v>
                </c:pt>
                <c:pt idx="49">
                  <c:v>38.31748273660196</c:v>
                </c:pt>
                <c:pt idx="50">
                  <c:v>49.999999998544808</c:v>
                </c:pt>
              </c:numCache>
            </c:numRef>
          </c:xVal>
          <c:yVal>
            <c:numRef>
              <c:f>Distribution!$AX$12:$AX$114</c:f>
              <c:numCache>
                <c:formatCode>0.000</c:formatCode>
                <c:ptCount val="103"/>
                <c:pt idx="0">
                  <c:v>-15.250475585437981</c:v>
                </c:pt>
                <c:pt idx="1">
                  <c:v>-14.702198757654582</c:v>
                </c:pt>
                <c:pt idx="2">
                  <c:v>-14.182250500385607</c:v>
                </c:pt>
                <c:pt idx="3">
                  <c:v>-13.688836322471245</c:v>
                </c:pt>
                <c:pt idx="4">
                  <c:v>-13.217516438232662</c:v>
                </c:pt>
                <c:pt idx="5">
                  <c:v>-12.762956408883468</c:v>
                </c:pt>
                <c:pt idx="6">
                  <c:v>-12.320264292337542</c:v>
                </c:pt>
                <c:pt idx="7">
                  <c:v>-11.885584734714383</c:v>
                </c:pt>
                <c:pt idx="8">
                  <c:v>-11.456151823399928</c:v>
                </c:pt>
                <c:pt idx="9">
                  <c:v>-11.030099446963357</c:v>
                </c:pt>
                <c:pt idx="10">
                  <c:v>-10.606224186641596</c:v>
                </c:pt>
                <c:pt idx="11">
                  <c:v>-10.183785072240024</c:v>
                </c:pt>
                <c:pt idx="12">
                  <c:v>-9.7623616286070796</c:v>
                </c:pt>
                <c:pt idx="13">
                  <c:v>-9.3417669679202699</c:v>
                </c:pt>
                <c:pt idx="14">
                  <c:v>-8.9220077259731223</c:v>
                </c:pt>
                <c:pt idx="15">
                  <c:v>-8.5032856596168074</c:v>
                </c:pt>
                <c:pt idx="16">
                  <c:v>-8.0860412740598768</c:v>
                </c:pt>
                <c:pt idx="17">
                  <c:v>-7.6710454188336472</c:v>
                </c:pt>
                <c:pt idx="18">
                  <c:v>-7.2595476862523745</c:v>
                </c:pt>
                <c:pt idx="19">
                  <c:v>-6.8534842834849217</c:v>
                </c:pt>
                <c:pt idx="20">
                  <c:v>-6.4557178614046489</c:v>
                </c:pt>
                <c:pt idx="21">
                  <c:v>-6.0702013590607162</c:v>
                </c:pt>
                <c:pt idx="22">
                  <c:v>-5.7018139601769082</c:v>
                </c:pt>
                <c:pt idx="23">
                  <c:v>-5.3555199737704609</c:v>
                </c:pt>
                <c:pt idx="24">
                  <c:v>-5.0348091424095607</c:v>
                </c:pt>
                <c:pt idx="25">
                  <c:v>-4.7402300122107635</c:v>
                </c:pt>
                <c:pt idx="26">
                  <c:v>-4.4691931072799216</c:v>
                </c:pt>
                <c:pt idx="27">
                  <c:v>-4.2171620078972731</c:v>
                </c:pt>
                <c:pt idx="28">
                  <c:v>-3.979209550613426</c:v>
                </c:pt>
                <c:pt idx="29">
                  <c:v>-3.7510566512224637</c:v>
                </c:pt>
                <c:pt idx="30">
                  <c:v>-3.5294437418728508</c:v>
                </c:pt>
                <c:pt idx="31">
                  <c:v>-3.31208379181956</c:v>
                </c:pt>
                <c:pt idx="32">
                  <c:v>-3.097457569663248</c:v>
                </c:pt>
                <c:pt idx="33">
                  <c:v>-2.8845984604555168</c:v>
                </c:pt>
                <c:pt idx="34">
                  <c:v>-2.6729223326882483</c:v>
                </c:pt>
                <c:pt idx="35">
                  <c:v>-2.4621121085967661</c:v>
                </c:pt>
                <c:pt idx="36">
                  <c:v>-2.2520510974415542</c:v>
                </c:pt>
                <c:pt idx="37">
                  <c:v>-2.0427977171529212</c:v>
                </c:pt>
                <c:pt idx="38">
                  <c:v>-1.834598075451819</c:v>
                </c:pt>
                <c:pt idx="39">
                  <c:v>-1.6279380881926695</c:v>
                </c:pt>
                <c:pt idx="40">
                  <c:v>-1.4236412532585876</c:v>
                </c:pt>
                <c:pt idx="41">
                  <c:v>-1.2230187840458024</c:v>
                </c:pt>
                <c:pt idx="42">
                  <c:v>-1.0280685118127981</c:v>
                </c:pt>
                <c:pt idx="43">
                  <c:v>-0.84168407036049175</c:v>
                </c:pt>
                <c:pt idx="44">
                  <c:v>-0.66775953204374605</c:v>
                </c:pt>
                <c:pt idx="45">
                  <c:v>-0.51096570334521274</c:v>
                </c:pt>
                <c:pt idx="46">
                  <c:v>-0.37594066934985393</c:v>
                </c:pt>
                <c:pt idx="47">
                  <c:v>-0.26591747858254849</c:v>
                </c:pt>
                <c:pt idx="48">
                  <c:v>-0.18144824268541482</c:v>
                </c:pt>
                <c:pt idx="49">
                  <c:v>-0.1201724226836052</c:v>
                </c:pt>
                <c:pt idx="50">
                  <c:v>-7.7813092971163955E-2</c:v>
                </c:pt>
              </c:numCache>
            </c:numRef>
          </c:yVal>
          <c:smooth val="1"/>
          <c:extLst>
            <c:ext xmlns:c16="http://schemas.microsoft.com/office/drawing/2014/chart" uri="{C3380CC4-5D6E-409C-BE32-E72D297353CC}">
              <c16:uniqueId val="{00000001-FD9A-4051-8A44-D31D046B1B83}"/>
            </c:ext>
          </c:extLst>
        </c:ser>
        <c:ser>
          <c:idx val="2"/>
          <c:order val="2"/>
          <c:tx>
            <c:v>log alfa 2</c:v>
          </c:tx>
          <c:spPr>
            <a:ln w="25400">
              <a:solidFill>
                <a:srgbClr val="008000"/>
              </a:solidFill>
              <a:prstDash val="solid"/>
            </a:ln>
          </c:spPr>
          <c:marker>
            <c:symbol val="square"/>
            <c:size val="3"/>
            <c:spPr>
              <a:noFill/>
              <a:ln>
                <a:solidFill>
                  <a:srgbClr val="008000"/>
                </a:solidFill>
                <a:prstDash val="solid"/>
              </a:ln>
            </c:spPr>
          </c:marker>
          <c:xVal>
            <c:numRef>
              <c:f>Distribution!$Y$12:$Y$114</c:f>
              <c:numCache>
                <c:formatCode>0.000</c:formatCode>
                <c:ptCount val="103"/>
                <c:pt idx="0">
                  <c:v>0</c:v>
                </c:pt>
                <c:pt idx="1">
                  <c:v>2.3004448812571354</c:v>
                </c:pt>
                <c:pt idx="2">
                  <c:v>4.3254298929241486</c:v>
                </c:pt>
                <c:pt idx="3">
                  <c:v>5.9982889695675112</c:v>
                </c:pt>
                <c:pt idx="4">
                  <c:v>7.2857926934375428</c:v>
                </c:pt>
                <c:pt idx="5">
                  <c:v>8.2150732792797498</c:v>
                </c:pt>
                <c:pt idx="6">
                  <c:v>8.852646873856429</c:v>
                </c:pt>
                <c:pt idx="7">
                  <c:v>9.2745251997257583</c:v>
                </c:pt>
                <c:pt idx="8">
                  <c:v>9.5472193221212365</c:v>
                </c:pt>
                <c:pt idx="9">
                  <c:v>9.7213898246991448</c:v>
                </c:pt>
                <c:pt idx="10">
                  <c:v>9.8327682426315732</c:v>
                </c:pt>
                <c:pt idx="11">
                  <c:v>9.9056407503667288</c:v>
                </c:pt>
                <c:pt idx="12">
                  <c:v>9.956512633652892</c:v>
                </c:pt>
                <c:pt idx="13">
                  <c:v>9.9971799951163121</c:v>
                </c:pt>
                <c:pt idx="14">
                  <c:v>10.037190483126324</c:v>
                </c:pt>
                <c:pt idx="15">
                  <c:v>10.085949620406609</c:v>
                </c:pt>
                <c:pt idx="16">
                  <c:v>10.154803957266267</c:v>
                </c:pt>
                <c:pt idx="17">
                  <c:v>10.259427917480934</c:v>
                </c:pt>
                <c:pt idx="18">
                  <c:v>10.422738817578647</c:v>
                </c:pt>
                <c:pt idx="19">
                  <c:v>10.678157336951699</c:v>
                </c:pt>
                <c:pt idx="20">
                  <c:v>11.071775054733735</c:v>
                </c:pt>
                <c:pt idx="21">
                  <c:v>11.659035268530715</c:v>
                </c:pt>
                <c:pt idx="22">
                  <c:v>12.487507292826194</c:v>
                </c:pt>
                <c:pt idx="23">
                  <c:v>13.560292513284367</c:v>
                </c:pt>
                <c:pt idx="24">
                  <c:v>14.799194350780454</c:v>
                </c:pt>
                <c:pt idx="25">
                  <c:v>16.054576211899985</c:v>
                </c:pt>
                <c:pt idx="26">
                  <c:v>17.173922529036645</c:v>
                </c:pt>
                <c:pt idx="27">
                  <c:v>18.068469061108772</c:v>
                </c:pt>
                <c:pt idx="28">
                  <c:v>18.725484058086295</c:v>
                </c:pt>
                <c:pt idx="29">
                  <c:v>19.179874857945833</c:v>
                </c:pt>
                <c:pt idx="30">
                  <c:v>19.48181740444852</c:v>
                </c:pt>
                <c:pt idx="31">
                  <c:v>19.677734184369911</c:v>
                </c:pt>
                <c:pt idx="32">
                  <c:v>19.803712518478278</c:v>
                </c:pt>
                <c:pt idx="33">
                  <c:v>19.885540132236201</c:v>
                </c:pt>
                <c:pt idx="34">
                  <c:v>19.941073826339561</c:v>
                </c:pt>
                <c:pt idx="35">
                  <c:v>19.982924718351569</c:v>
                </c:pt>
                <c:pt idx="36">
                  <c:v>20.020832466252614</c:v>
                </c:pt>
                <c:pt idx="37">
                  <c:v>20.063731157279108</c:v>
                </c:pt>
                <c:pt idx="38">
                  <c:v>20.121755062427837</c:v>
                </c:pt>
                <c:pt idx="39">
                  <c:v>20.208536063728388</c:v>
                </c:pt>
                <c:pt idx="40">
                  <c:v>20.344214436772745</c:v>
                </c:pt>
                <c:pt idx="41">
                  <c:v>20.55962798622204</c:v>
                </c:pt>
                <c:pt idx="42">
                  <c:v>20.902049214055296</c:v>
                </c:pt>
                <c:pt idx="43">
                  <c:v>21.442285725788679</c:v>
                </c:pt>
                <c:pt idx="44">
                  <c:v>22.281442677194718</c:v>
                </c:pt>
                <c:pt idx="45">
                  <c:v>23.553723619261291</c:v>
                </c:pt>
                <c:pt idx="46">
                  <c:v>25.425947584153619</c:v>
                </c:pt>
                <c:pt idx="47">
                  <c:v>28.122492051625159</c:v>
                </c:pt>
                <c:pt idx="48">
                  <c:v>32.065280988172162</c:v>
                </c:pt>
                <c:pt idx="49">
                  <c:v>38.31748273660196</c:v>
                </c:pt>
                <c:pt idx="50">
                  <c:v>49.999999998544808</c:v>
                </c:pt>
              </c:numCache>
            </c:numRef>
          </c:xVal>
          <c:yVal>
            <c:numRef>
              <c:f>Distribution!$AZ$12:$AZ$114</c:f>
              <c:numCache>
                <c:formatCode>0.000</c:formatCode>
                <c:ptCount val="103"/>
                <c:pt idx="0">
                  <c:v>-0.41034372699206983</c:v>
                </c:pt>
                <c:pt idx="1">
                  <c:v>-0.29194525054503229</c:v>
                </c:pt>
                <c:pt idx="2">
                  <c:v>-0.20017776556924646</c:v>
                </c:pt>
                <c:pt idx="3">
                  <c:v>-0.13304907202566932</c:v>
                </c:pt>
                <c:pt idx="4">
                  <c:v>-8.6327149869078676E-2</c:v>
                </c:pt>
                <c:pt idx="5">
                  <c:v>-5.5056138613651773E-2</c:v>
                </c:pt>
                <c:pt idx="6">
                  <c:v>-3.4722619437283601E-2</c:v>
                </c:pt>
                <c:pt idx="7">
                  <c:v>-2.1776406450808715E-2</c:v>
                </c:pt>
                <c:pt idx="8">
                  <c:v>-1.3672467080390742E-2</c:v>
                </c:pt>
                <c:pt idx="9">
                  <c:v>-8.6959009684621624E-3</c:v>
                </c:pt>
                <c:pt idx="10">
                  <c:v>-5.7447827272678678E-3</c:v>
                </c:pt>
                <c:pt idx="11">
                  <c:v>-4.1475844461209832E-3</c:v>
                </c:pt>
                <c:pt idx="12">
                  <c:v>-3.5351654221690561E-3</c:v>
                </c:pt>
                <c:pt idx="13">
                  <c:v>-3.7649741997409572E-3</c:v>
                </c:pt>
                <c:pt idx="14">
                  <c:v>-4.8908008137197997E-3</c:v>
                </c:pt>
                <c:pt idx="15">
                  <c:v>-7.1744760126583301E-3</c:v>
                </c:pt>
                <c:pt idx="16">
                  <c:v>-1.1141176549829938E-2</c:v>
                </c:pt>
                <c:pt idx="17">
                  <c:v>-1.7684602977992143E-2</c:v>
                </c:pt>
                <c:pt idx="18">
                  <c:v>-2.8228421619999413E-2</c:v>
                </c:pt>
                <c:pt idx="19">
                  <c:v>-4.4937490436319061E-2</c:v>
                </c:pt>
                <c:pt idx="20">
                  <c:v>-7.0929733744101789E-2</c:v>
                </c:pt>
                <c:pt idx="21">
                  <c:v>-0.11034717074136613</c:v>
                </c:pt>
                <c:pt idx="22">
                  <c:v>-0.16802193408329069</c:v>
                </c:pt>
                <c:pt idx="23">
                  <c:v>-0.24848103057242255</c:v>
                </c:pt>
                <c:pt idx="24">
                  <c:v>-0.35445786748952518</c:v>
                </c:pt>
                <c:pt idx="25">
                  <c:v>-0.4857759994197533</c:v>
                </c:pt>
                <c:pt idx="26">
                  <c:v>-0.63947360313221557</c:v>
                </c:pt>
                <c:pt idx="27">
                  <c:v>-0.81101892670668674</c:v>
                </c:pt>
                <c:pt idx="28">
                  <c:v>-0.99569572641276993</c:v>
                </c:pt>
                <c:pt idx="29">
                  <c:v>-1.1894806333926522</c:v>
                </c:pt>
                <c:pt idx="30">
                  <c:v>-1.3893340611042584</c:v>
                </c:pt>
                <c:pt idx="31">
                  <c:v>-1.5931325466281794</c:v>
                </c:pt>
                <c:pt idx="32">
                  <c:v>-1.7994699641646581</c:v>
                </c:pt>
                <c:pt idx="33">
                  <c:v>-2.0074554445291946</c:v>
                </c:pt>
                <c:pt idx="34">
                  <c:v>-2.2165557246122143</c:v>
                </c:pt>
                <c:pt idx="35">
                  <c:v>-2.4264896452184748</c:v>
                </c:pt>
                <c:pt idx="36">
                  <c:v>-2.6371691520430924</c:v>
                </c:pt>
                <c:pt idx="37">
                  <c:v>-2.8486803703287733</c:v>
                </c:pt>
                <c:pt idx="38">
                  <c:v>-3.0613022570593702</c:v>
                </c:pt>
                <c:pt idx="39">
                  <c:v>-3.2755654208571312</c:v>
                </c:pt>
                <c:pt idx="40">
                  <c:v>-3.4923577469046214</c:v>
                </c:pt>
                <c:pt idx="41">
                  <c:v>-3.7130828904416582</c:v>
                </c:pt>
                <c:pt idx="42">
                  <c:v>-3.939864379108049</c:v>
                </c:pt>
                <c:pt idx="43">
                  <c:v>-4.1757467406728797</c:v>
                </c:pt>
                <c:pt idx="44">
                  <c:v>-4.4247596212012423</c:v>
                </c:pt>
                <c:pt idx="45">
                  <c:v>-4.6916024614119047</c:v>
                </c:pt>
                <c:pt idx="46">
                  <c:v>-4.9807164783262863</c:v>
                </c:pt>
                <c:pt idx="47">
                  <c:v>-5.2948787735294278</c:v>
                </c:pt>
                <c:pt idx="48">
                  <c:v>-5.6340791802297359</c:v>
                </c:pt>
                <c:pt idx="49">
                  <c:v>-5.9955094866806018</c:v>
                </c:pt>
                <c:pt idx="50">
                  <c:v>-6.3746177045018779</c:v>
                </c:pt>
              </c:numCache>
            </c:numRef>
          </c:yVal>
          <c:smooth val="1"/>
          <c:extLst>
            <c:ext xmlns:c16="http://schemas.microsoft.com/office/drawing/2014/chart" uri="{C3380CC4-5D6E-409C-BE32-E72D297353CC}">
              <c16:uniqueId val="{00000002-FD9A-4051-8A44-D31D046B1B83}"/>
            </c:ext>
          </c:extLst>
        </c:ser>
        <c:ser>
          <c:idx val="3"/>
          <c:order val="3"/>
          <c:tx>
            <c:v>log alfa 3</c:v>
          </c:tx>
          <c:spPr>
            <a:ln w="25400">
              <a:solidFill>
                <a:srgbClr val="993300"/>
              </a:solidFill>
              <a:prstDash val="solid"/>
            </a:ln>
          </c:spPr>
          <c:marker>
            <c:symbol val="square"/>
            <c:size val="3"/>
            <c:spPr>
              <a:noFill/>
              <a:ln>
                <a:solidFill>
                  <a:srgbClr val="993300"/>
                </a:solidFill>
                <a:prstDash val="solid"/>
              </a:ln>
            </c:spPr>
          </c:marker>
          <c:xVal>
            <c:numRef>
              <c:f>Distribution!$Y$12:$Y$114</c:f>
              <c:numCache>
                <c:formatCode>0.000</c:formatCode>
                <c:ptCount val="103"/>
                <c:pt idx="0">
                  <c:v>0</c:v>
                </c:pt>
                <c:pt idx="1">
                  <c:v>2.3004448812571354</c:v>
                </c:pt>
                <c:pt idx="2">
                  <c:v>4.3254298929241486</c:v>
                </c:pt>
                <c:pt idx="3">
                  <c:v>5.9982889695675112</c:v>
                </c:pt>
                <c:pt idx="4">
                  <c:v>7.2857926934375428</c:v>
                </c:pt>
                <c:pt idx="5">
                  <c:v>8.2150732792797498</c:v>
                </c:pt>
                <c:pt idx="6">
                  <c:v>8.852646873856429</c:v>
                </c:pt>
                <c:pt idx="7">
                  <c:v>9.2745251997257583</c:v>
                </c:pt>
                <c:pt idx="8">
                  <c:v>9.5472193221212365</c:v>
                </c:pt>
                <c:pt idx="9">
                  <c:v>9.7213898246991448</c:v>
                </c:pt>
                <c:pt idx="10">
                  <c:v>9.8327682426315732</c:v>
                </c:pt>
                <c:pt idx="11">
                  <c:v>9.9056407503667288</c:v>
                </c:pt>
                <c:pt idx="12">
                  <c:v>9.956512633652892</c:v>
                </c:pt>
                <c:pt idx="13">
                  <c:v>9.9971799951163121</c:v>
                </c:pt>
                <c:pt idx="14">
                  <c:v>10.037190483126324</c:v>
                </c:pt>
                <c:pt idx="15">
                  <c:v>10.085949620406609</c:v>
                </c:pt>
                <c:pt idx="16">
                  <c:v>10.154803957266267</c:v>
                </c:pt>
                <c:pt idx="17">
                  <c:v>10.259427917480934</c:v>
                </c:pt>
                <c:pt idx="18">
                  <c:v>10.422738817578647</c:v>
                </c:pt>
                <c:pt idx="19">
                  <c:v>10.678157336951699</c:v>
                </c:pt>
                <c:pt idx="20">
                  <c:v>11.071775054733735</c:v>
                </c:pt>
                <c:pt idx="21">
                  <c:v>11.659035268530715</c:v>
                </c:pt>
                <c:pt idx="22">
                  <c:v>12.487507292826194</c:v>
                </c:pt>
                <c:pt idx="23">
                  <c:v>13.560292513284367</c:v>
                </c:pt>
                <c:pt idx="24">
                  <c:v>14.799194350780454</c:v>
                </c:pt>
                <c:pt idx="25">
                  <c:v>16.054576211899985</c:v>
                </c:pt>
                <c:pt idx="26">
                  <c:v>17.173922529036645</c:v>
                </c:pt>
                <c:pt idx="27">
                  <c:v>18.068469061108772</c:v>
                </c:pt>
                <c:pt idx="28">
                  <c:v>18.725484058086295</c:v>
                </c:pt>
                <c:pt idx="29">
                  <c:v>19.179874857945833</c:v>
                </c:pt>
                <c:pt idx="30">
                  <c:v>19.48181740444852</c:v>
                </c:pt>
                <c:pt idx="31">
                  <c:v>19.677734184369911</c:v>
                </c:pt>
                <c:pt idx="32">
                  <c:v>19.803712518478278</c:v>
                </c:pt>
                <c:pt idx="33">
                  <c:v>19.885540132236201</c:v>
                </c:pt>
                <c:pt idx="34">
                  <c:v>19.941073826339561</c:v>
                </c:pt>
                <c:pt idx="35">
                  <c:v>19.982924718351569</c:v>
                </c:pt>
                <c:pt idx="36">
                  <c:v>20.020832466252614</c:v>
                </c:pt>
                <c:pt idx="37">
                  <c:v>20.063731157279108</c:v>
                </c:pt>
                <c:pt idx="38">
                  <c:v>20.121755062427837</c:v>
                </c:pt>
                <c:pt idx="39">
                  <c:v>20.208536063728388</c:v>
                </c:pt>
                <c:pt idx="40">
                  <c:v>20.344214436772745</c:v>
                </c:pt>
                <c:pt idx="41">
                  <c:v>20.55962798622204</c:v>
                </c:pt>
                <c:pt idx="42">
                  <c:v>20.902049214055296</c:v>
                </c:pt>
                <c:pt idx="43">
                  <c:v>21.442285725788679</c:v>
                </c:pt>
                <c:pt idx="44">
                  <c:v>22.281442677194718</c:v>
                </c:pt>
                <c:pt idx="45">
                  <c:v>23.553723619261291</c:v>
                </c:pt>
                <c:pt idx="46">
                  <c:v>25.425947584153619</c:v>
                </c:pt>
                <c:pt idx="47">
                  <c:v>28.122492051625159</c:v>
                </c:pt>
                <c:pt idx="48">
                  <c:v>32.065280988172162</c:v>
                </c:pt>
                <c:pt idx="49">
                  <c:v>38.31748273660196</c:v>
                </c:pt>
                <c:pt idx="50">
                  <c:v>49.999999998544808</c:v>
                </c:pt>
              </c:numCache>
            </c:numRef>
          </c:xVal>
          <c:yVal>
            <c:numRef>
              <c:f>Distribution!$BA$12:$BA$114</c:f>
              <c:numCache>
                <c:formatCode>0.000</c:formatCode>
                <c:ptCount val="103"/>
                <c:pt idx="0">
                  <c:v>-0.21377196791893649</c:v>
                </c:pt>
                <c:pt idx="1">
                  <c:v>-0.31031266714008016</c:v>
                </c:pt>
                <c:pt idx="2">
                  <c:v>-0.4326355683108884</c:v>
                </c:pt>
                <c:pt idx="3">
                  <c:v>-0.57864961695270345</c:v>
                </c:pt>
                <c:pt idx="4">
                  <c:v>-0.74422667583710944</c:v>
                </c:pt>
                <c:pt idx="5">
                  <c:v>-0.92460017362856484</c:v>
                </c:pt>
                <c:pt idx="6">
                  <c:v>-1.1154459531369763</c:v>
                </c:pt>
                <c:pt idx="7">
                  <c:v>-1.313366412468844</c:v>
                </c:pt>
                <c:pt idx="8">
                  <c:v>-1.5159269590704441</c:v>
                </c:pt>
                <c:pt idx="9">
                  <c:v>-1.7214882981208366</c:v>
                </c:pt>
                <c:pt idx="10">
                  <c:v>-1.9289992509199254</c:v>
                </c:pt>
                <c:pt idx="11">
                  <c:v>-2.1378230106989919</c:v>
                </c:pt>
                <c:pt idx="12">
                  <c:v>-2.347616103979536</c:v>
                </c:pt>
                <c:pt idx="13">
                  <c:v>-2.5582581474892985</c:v>
                </c:pt>
                <c:pt idx="14">
                  <c:v>-2.76982650838384</c:v>
                </c:pt>
                <c:pt idx="15">
                  <c:v>-2.9826130543604061</c:v>
                </c:pt>
                <c:pt idx="16">
                  <c:v>-3.1971852979446291</c:v>
                </c:pt>
                <c:pt idx="17">
                  <c:v>-3.4144983651999867</c:v>
                </c:pt>
                <c:pt idx="18">
                  <c:v>-3.6360629594536338</c:v>
                </c:pt>
                <c:pt idx="19">
                  <c:v>-3.8641582640618397</c:v>
                </c:pt>
                <c:pt idx="20">
                  <c:v>-4.1020298400636506</c:v>
                </c:pt>
                <c:pt idx="21">
                  <c:v>-4.3539142467315131</c:v>
                </c:pt>
                <c:pt idx="22">
                  <c:v>-4.624620091186304</c:v>
                </c:pt>
                <c:pt idx="23">
                  <c:v>-4.9184557291232256</c:v>
                </c:pt>
                <c:pt idx="24">
                  <c:v>-5.237776400179329</c:v>
                </c:pt>
                <c:pt idx="25">
                  <c:v>-5.5820431631740703</c:v>
                </c:pt>
                <c:pt idx="26">
                  <c:v>-5.9481080212081849</c:v>
                </c:pt>
                <c:pt idx="27">
                  <c:v>-6.3314415562612156</c:v>
                </c:pt>
                <c:pt idx="28">
                  <c:v>-6.727432984462264</c:v>
                </c:pt>
                <c:pt idx="29">
                  <c:v>-7.1321867946275681</c:v>
                </c:pt>
                <c:pt idx="30">
                  <c:v>-7.542773390869784</c:v>
                </c:pt>
                <c:pt idx="31">
                  <c:v>-7.9571510941823114</c:v>
                </c:pt>
                <c:pt idx="32">
                  <c:v>-8.3739703315651859</c:v>
                </c:pt>
                <c:pt idx="33">
                  <c:v>-8.7923781067158551</c:v>
                </c:pt>
                <c:pt idx="34">
                  <c:v>-9.2118665907240196</c:v>
                </c:pt>
                <c:pt idx="35">
                  <c:v>-9.6321725836791519</c:v>
                </c:pt>
                <c:pt idx="36">
                  <c:v>-10.053222349493684</c:v>
                </c:pt>
                <c:pt idx="37">
                  <c:v>-10.475115867066521</c:v>
                </c:pt>
                <c:pt idx="38">
                  <c:v>-10.898148518012968</c:v>
                </c:pt>
                <c:pt idx="39">
                  <c:v>-11.322873257339184</c:v>
                </c:pt>
                <c:pt idx="40">
                  <c:v>-11.75021016387746</c:v>
                </c:pt>
                <c:pt idx="41">
                  <c:v>-12.181609113789408</c:v>
                </c:pt>
                <c:pt idx="42">
                  <c:v>-12.619256482905495</c:v>
                </c:pt>
                <c:pt idx="43">
                  <c:v>-13.066272245978896</c:v>
                </c:pt>
                <c:pt idx="44">
                  <c:v>-13.526753835929812</c:v>
                </c:pt>
                <c:pt idx="45">
                  <c:v>-14.005415010595074</c:v>
                </c:pt>
                <c:pt idx="46">
                  <c:v>-14.506598552964324</c:v>
                </c:pt>
                <c:pt idx="47">
                  <c:v>-15.032853591152689</c:v>
                </c:pt>
                <c:pt idx="48">
                  <c:v>-15.583888819151717</c:v>
                </c:pt>
                <c:pt idx="49">
                  <c:v>-16.156672188828921</c:v>
                </c:pt>
                <c:pt idx="50">
                  <c:v>-16.746514180417059</c:v>
                </c:pt>
              </c:numCache>
            </c:numRef>
          </c:yVal>
          <c:smooth val="1"/>
          <c:extLst>
            <c:ext xmlns:c16="http://schemas.microsoft.com/office/drawing/2014/chart" uri="{C3380CC4-5D6E-409C-BE32-E72D297353CC}">
              <c16:uniqueId val="{00000003-FD9A-4051-8A44-D31D046B1B83}"/>
            </c:ext>
          </c:extLst>
        </c:ser>
        <c:ser>
          <c:idx val="4"/>
          <c:order val="4"/>
          <c:tx>
            <c:v>log alfa 4</c:v>
          </c:tx>
          <c:spPr>
            <a:ln w="25400">
              <a:solidFill>
                <a:srgbClr val="0000FF"/>
              </a:solidFill>
              <a:prstDash val="solid"/>
            </a:ln>
          </c:spPr>
          <c:marker>
            <c:symbol val="square"/>
            <c:size val="3"/>
            <c:spPr>
              <a:noFill/>
              <a:ln>
                <a:solidFill>
                  <a:srgbClr val="800080"/>
                </a:solidFill>
                <a:prstDash val="solid"/>
              </a:ln>
            </c:spPr>
          </c:marker>
          <c:xVal>
            <c:numRef>
              <c:f>Distribution!$Y$12:$Y$114</c:f>
              <c:numCache>
                <c:formatCode>0.000</c:formatCode>
                <c:ptCount val="103"/>
                <c:pt idx="0">
                  <c:v>0</c:v>
                </c:pt>
                <c:pt idx="1">
                  <c:v>2.3004448812571354</c:v>
                </c:pt>
                <c:pt idx="2">
                  <c:v>4.3254298929241486</c:v>
                </c:pt>
                <c:pt idx="3">
                  <c:v>5.9982889695675112</c:v>
                </c:pt>
                <c:pt idx="4">
                  <c:v>7.2857926934375428</c:v>
                </c:pt>
                <c:pt idx="5">
                  <c:v>8.2150732792797498</c:v>
                </c:pt>
                <c:pt idx="6">
                  <c:v>8.852646873856429</c:v>
                </c:pt>
                <c:pt idx="7">
                  <c:v>9.2745251997257583</c:v>
                </c:pt>
                <c:pt idx="8">
                  <c:v>9.5472193221212365</c:v>
                </c:pt>
                <c:pt idx="9">
                  <c:v>9.7213898246991448</c:v>
                </c:pt>
                <c:pt idx="10">
                  <c:v>9.8327682426315732</c:v>
                </c:pt>
                <c:pt idx="11">
                  <c:v>9.9056407503667288</c:v>
                </c:pt>
                <c:pt idx="12">
                  <c:v>9.956512633652892</c:v>
                </c:pt>
                <c:pt idx="13">
                  <c:v>9.9971799951163121</c:v>
                </c:pt>
                <c:pt idx="14">
                  <c:v>10.037190483126324</c:v>
                </c:pt>
                <c:pt idx="15">
                  <c:v>10.085949620406609</c:v>
                </c:pt>
                <c:pt idx="16">
                  <c:v>10.154803957266267</c:v>
                </c:pt>
                <c:pt idx="17">
                  <c:v>10.259427917480934</c:v>
                </c:pt>
                <c:pt idx="18">
                  <c:v>10.422738817578647</c:v>
                </c:pt>
                <c:pt idx="19">
                  <c:v>10.678157336951699</c:v>
                </c:pt>
                <c:pt idx="20">
                  <c:v>11.071775054733735</c:v>
                </c:pt>
                <c:pt idx="21">
                  <c:v>11.659035268530715</c:v>
                </c:pt>
                <c:pt idx="22">
                  <c:v>12.487507292826194</c:v>
                </c:pt>
                <c:pt idx="23">
                  <c:v>13.560292513284367</c:v>
                </c:pt>
                <c:pt idx="24">
                  <c:v>14.799194350780454</c:v>
                </c:pt>
                <c:pt idx="25">
                  <c:v>16.054576211899985</c:v>
                </c:pt>
                <c:pt idx="26">
                  <c:v>17.173922529036645</c:v>
                </c:pt>
                <c:pt idx="27">
                  <c:v>18.068469061108772</c:v>
                </c:pt>
                <c:pt idx="28">
                  <c:v>18.725484058086295</c:v>
                </c:pt>
                <c:pt idx="29">
                  <c:v>19.179874857945833</c:v>
                </c:pt>
                <c:pt idx="30">
                  <c:v>19.48181740444852</c:v>
                </c:pt>
                <c:pt idx="31">
                  <c:v>19.677734184369911</c:v>
                </c:pt>
                <c:pt idx="32">
                  <c:v>19.803712518478278</c:v>
                </c:pt>
                <c:pt idx="33">
                  <c:v>19.885540132236201</c:v>
                </c:pt>
                <c:pt idx="34">
                  <c:v>19.941073826339561</c:v>
                </c:pt>
                <c:pt idx="35">
                  <c:v>19.982924718351569</c:v>
                </c:pt>
                <c:pt idx="36">
                  <c:v>20.020832466252614</c:v>
                </c:pt>
                <c:pt idx="37">
                  <c:v>20.063731157279108</c:v>
                </c:pt>
                <c:pt idx="38">
                  <c:v>20.121755062427837</c:v>
                </c:pt>
                <c:pt idx="39">
                  <c:v>20.208536063728388</c:v>
                </c:pt>
                <c:pt idx="40">
                  <c:v>20.344214436772745</c:v>
                </c:pt>
                <c:pt idx="41">
                  <c:v>20.55962798622204</c:v>
                </c:pt>
                <c:pt idx="42">
                  <c:v>20.902049214055296</c:v>
                </c:pt>
                <c:pt idx="43">
                  <c:v>21.442285725788679</c:v>
                </c:pt>
                <c:pt idx="44">
                  <c:v>22.281442677194718</c:v>
                </c:pt>
                <c:pt idx="45">
                  <c:v>23.553723619261291</c:v>
                </c:pt>
                <c:pt idx="46">
                  <c:v>25.425947584153619</c:v>
                </c:pt>
                <c:pt idx="47">
                  <c:v>28.122492051625159</c:v>
                </c:pt>
                <c:pt idx="48">
                  <c:v>32.065280988172162</c:v>
                </c:pt>
                <c:pt idx="49">
                  <c:v>38.31748273660196</c:v>
                </c:pt>
                <c:pt idx="50">
                  <c:v>49.999999998544808</c:v>
                </c:pt>
              </c:numCache>
            </c:numRef>
          </c:xVal>
          <c:yVal>
            <c:numRef>
              <c:f>Distribution!$BB$12:$BB$114</c:f>
              <c:numCache>
                <c:formatCode>0.000</c:formatCode>
                <c:ptCount val="103"/>
              </c:numCache>
            </c:numRef>
          </c:yVal>
          <c:smooth val="1"/>
          <c:extLst>
            <c:ext xmlns:c16="http://schemas.microsoft.com/office/drawing/2014/chart" uri="{C3380CC4-5D6E-409C-BE32-E72D297353CC}">
              <c16:uniqueId val="{00000004-FD9A-4051-8A44-D31D046B1B83}"/>
            </c:ext>
          </c:extLst>
        </c:ser>
        <c:ser>
          <c:idx val="5"/>
          <c:order val="5"/>
          <c:tx>
            <c:v>log alfa 5</c:v>
          </c:tx>
          <c:spPr>
            <a:ln w="25400">
              <a:solidFill>
                <a:srgbClr val="FF00FF"/>
              </a:solidFill>
              <a:prstDash val="solid"/>
            </a:ln>
          </c:spPr>
          <c:marker>
            <c:symbol val="square"/>
            <c:size val="3"/>
            <c:spPr>
              <a:noFill/>
              <a:ln>
                <a:solidFill>
                  <a:srgbClr val="800000"/>
                </a:solidFill>
                <a:prstDash val="solid"/>
              </a:ln>
            </c:spPr>
          </c:marker>
          <c:xVal>
            <c:numRef>
              <c:f>Distribution!$Y$12:$Y$114</c:f>
              <c:numCache>
                <c:formatCode>0.000</c:formatCode>
                <c:ptCount val="103"/>
                <c:pt idx="0">
                  <c:v>0</c:v>
                </c:pt>
                <c:pt idx="1">
                  <c:v>2.3004448812571354</c:v>
                </c:pt>
                <c:pt idx="2">
                  <c:v>4.3254298929241486</c:v>
                </c:pt>
                <c:pt idx="3">
                  <c:v>5.9982889695675112</c:v>
                </c:pt>
                <c:pt idx="4">
                  <c:v>7.2857926934375428</c:v>
                </c:pt>
                <c:pt idx="5">
                  <c:v>8.2150732792797498</c:v>
                </c:pt>
                <c:pt idx="6">
                  <c:v>8.852646873856429</c:v>
                </c:pt>
                <c:pt idx="7">
                  <c:v>9.2745251997257583</c:v>
                </c:pt>
                <c:pt idx="8">
                  <c:v>9.5472193221212365</c:v>
                </c:pt>
                <c:pt idx="9">
                  <c:v>9.7213898246991448</c:v>
                </c:pt>
                <c:pt idx="10">
                  <c:v>9.8327682426315732</c:v>
                </c:pt>
                <c:pt idx="11">
                  <c:v>9.9056407503667288</c:v>
                </c:pt>
                <c:pt idx="12">
                  <c:v>9.956512633652892</c:v>
                </c:pt>
                <c:pt idx="13">
                  <c:v>9.9971799951163121</c:v>
                </c:pt>
                <c:pt idx="14">
                  <c:v>10.037190483126324</c:v>
                </c:pt>
                <c:pt idx="15">
                  <c:v>10.085949620406609</c:v>
                </c:pt>
                <c:pt idx="16">
                  <c:v>10.154803957266267</c:v>
                </c:pt>
                <c:pt idx="17">
                  <c:v>10.259427917480934</c:v>
                </c:pt>
                <c:pt idx="18">
                  <c:v>10.422738817578647</c:v>
                </c:pt>
                <c:pt idx="19">
                  <c:v>10.678157336951699</c:v>
                </c:pt>
                <c:pt idx="20">
                  <c:v>11.071775054733735</c:v>
                </c:pt>
                <c:pt idx="21">
                  <c:v>11.659035268530715</c:v>
                </c:pt>
                <c:pt idx="22">
                  <c:v>12.487507292826194</c:v>
                </c:pt>
                <c:pt idx="23">
                  <c:v>13.560292513284367</c:v>
                </c:pt>
                <c:pt idx="24">
                  <c:v>14.799194350780454</c:v>
                </c:pt>
                <c:pt idx="25">
                  <c:v>16.054576211899985</c:v>
                </c:pt>
                <c:pt idx="26">
                  <c:v>17.173922529036645</c:v>
                </c:pt>
                <c:pt idx="27">
                  <c:v>18.068469061108772</c:v>
                </c:pt>
                <c:pt idx="28">
                  <c:v>18.725484058086295</c:v>
                </c:pt>
                <c:pt idx="29">
                  <c:v>19.179874857945833</c:v>
                </c:pt>
                <c:pt idx="30">
                  <c:v>19.48181740444852</c:v>
                </c:pt>
                <c:pt idx="31">
                  <c:v>19.677734184369911</c:v>
                </c:pt>
                <c:pt idx="32">
                  <c:v>19.803712518478278</c:v>
                </c:pt>
                <c:pt idx="33">
                  <c:v>19.885540132236201</c:v>
                </c:pt>
                <c:pt idx="34">
                  <c:v>19.941073826339561</c:v>
                </c:pt>
                <c:pt idx="35">
                  <c:v>19.982924718351569</c:v>
                </c:pt>
                <c:pt idx="36">
                  <c:v>20.020832466252614</c:v>
                </c:pt>
                <c:pt idx="37">
                  <c:v>20.063731157279108</c:v>
                </c:pt>
                <c:pt idx="38">
                  <c:v>20.121755062427837</c:v>
                </c:pt>
                <c:pt idx="39">
                  <c:v>20.208536063728388</c:v>
                </c:pt>
                <c:pt idx="40">
                  <c:v>20.344214436772745</c:v>
                </c:pt>
                <c:pt idx="41">
                  <c:v>20.55962798622204</c:v>
                </c:pt>
                <c:pt idx="42">
                  <c:v>20.902049214055296</c:v>
                </c:pt>
                <c:pt idx="43">
                  <c:v>21.442285725788679</c:v>
                </c:pt>
                <c:pt idx="44">
                  <c:v>22.281442677194718</c:v>
                </c:pt>
                <c:pt idx="45">
                  <c:v>23.553723619261291</c:v>
                </c:pt>
                <c:pt idx="46">
                  <c:v>25.425947584153619</c:v>
                </c:pt>
                <c:pt idx="47">
                  <c:v>28.122492051625159</c:v>
                </c:pt>
                <c:pt idx="48">
                  <c:v>32.065280988172162</c:v>
                </c:pt>
                <c:pt idx="49">
                  <c:v>38.31748273660196</c:v>
                </c:pt>
                <c:pt idx="50">
                  <c:v>49.999999998544808</c:v>
                </c:pt>
              </c:numCache>
            </c:numRef>
          </c:xVal>
          <c:yVal>
            <c:numRef>
              <c:f>Distribution!$BC$12:$BC$114</c:f>
              <c:numCache>
                <c:formatCode>0.000</c:formatCode>
                <c:ptCount val="103"/>
              </c:numCache>
            </c:numRef>
          </c:yVal>
          <c:smooth val="1"/>
          <c:extLst>
            <c:ext xmlns:c16="http://schemas.microsoft.com/office/drawing/2014/chart" uri="{C3380CC4-5D6E-409C-BE32-E72D297353CC}">
              <c16:uniqueId val="{00000005-FD9A-4051-8A44-D31D046B1B83}"/>
            </c:ext>
          </c:extLst>
        </c:ser>
        <c:ser>
          <c:idx val="6"/>
          <c:order val="6"/>
          <c:tx>
            <c:v>log alfa 6</c:v>
          </c:tx>
          <c:spPr>
            <a:ln w="25400">
              <a:solidFill>
                <a:srgbClr val="008080"/>
              </a:solidFill>
              <a:prstDash val="solid"/>
            </a:ln>
          </c:spPr>
          <c:marker>
            <c:symbol val="square"/>
            <c:size val="5"/>
            <c:spPr>
              <a:noFill/>
              <a:ln>
                <a:solidFill>
                  <a:srgbClr val="008080"/>
                </a:solidFill>
                <a:prstDash val="solid"/>
              </a:ln>
            </c:spPr>
          </c:marker>
          <c:xVal>
            <c:numRef>
              <c:f>Distribution!$Y$12:$Y$114</c:f>
              <c:numCache>
                <c:formatCode>0.000</c:formatCode>
                <c:ptCount val="103"/>
                <c:pt idx="0">
                  <c:v>0</c:v>
                </c:pt>
                <c:pt idx="1">
                  <c:v>2.3004448812571354</c:v>
                </c:pt>
                <c:pt idx="2">
                  <c:v>4.3254298929241486</c:v>
                </c:pt>
                <c:pt idx="3">
                  <c:v>5.9982889695675112</c:v>
                </c:pt>
                <c:pt idx="4">
                  <c:v>7.2857926934375428</c:v>
                </c:pt>
                <c:pt idx="5">
                  <c:v>8.2150732792797498</c:v>
                </c:pt>
                <c:pt idx="6">
                  <c:v>8.852646873856429</c:v>
                </c:pt>
                <c:pt idx="7">
                  <c:v>9.2745251997257583</c:v>
                </c:pt>
                <c:pt idx="8">
                  <c:v>9.5472193221212365</c:v>
                </c:pt>
                <c:pt idx="9">
                  <c:v>9.7213898246991448</c:v>
                </c:pt>
                <c:pt idx="10">
                  <c:v>9.8327682426315732</c:v>
                </c:pt>
                <c:pt idx="11">
                  <c:v>9.9056407503667288</c:v>
                </c:pt>
                <c:pt idx="12">
                  <c:v>9.956512633652892</c:v>
                </c:pt>
                <c:pt idx="13">
                  <c:v>9.9971799951163121</c:v>
                </c:pt>
                <c:pt idx="14">
                  <c:v>10.037190483126324</c:v>
                </c:pt>
                <c:pt idx="15">
                  <c:v>10.085949620406609</c:v>
                </c:pt>
                <c:pt idx="16">
                  <c:v>10.154803957266267</c:v>
                </c:pt>
                <c:pt idx="17">
                  <c:v>10.259427917480934</c:v>
                </c:pt>
                <c:pt idx="18">
                  <c:v>10.422738817578647</c:v>
                </c:pt>
                <c:pt idx="19">
                  <c:v>10.678157336951699</c:v>
                </c:pt>
                <c:pt idx="20">
                  <c:v>11.071775054733735</c:v>
                </c:pt>
                <c:pt idx="21">
                  <c:v>11.659035268530715</c:v>
                </c:pt>
                <c:pt idx="22">
                  <c:v>12.487507292826194</c:v>
                </c:pt>
                <c:pt idx="23">
                  <c:v>13.560292513284367</c:v>
                </c:pt>
                <c:pt idx="24">
                  <c:v>14.799194350780454</c:v>
                </c:pt>
                <c:pt idx="25">
                  <c:v>16.054576211899985</c:v>
                </c:pt>
                <c:pt idx="26">
                  <c:v>17.173922529036645</c:v>
                </c:pt>
                <c:pt idx="27">
                  <c:v>18.068469061108772</c:v>
                </c:pt>
                <c:pt idx="28">
                  <c:v>18.725484058086295</c:v>
                </c:pt>
                <c:pt idx="29">
                  <c:v>19.179874857945833</c:v>
                </c:pt>
                <c:pt idx="30">
                  <c:v>19.48181740444852</c:v>
                </c:pt>
                <c:pt idx="31">
                  <c:v>19.677734184369911</c:v>
                </c:pt>
                <c:pt idx="32">
                  <c:v>19.803712518478278</c:v>
                </c:pt>
                <c:pt idx="33">
                  <c:v>19.885540132236201</c:v>
                </c:pt>
                <c:pt idx="34">
                  <c:v>19.941073826339561</c:v>
                </c:pt>
                <c:pt idx="35">
                  <c:v>19.982924718351569</c:v>
                </c:pt>
                <c:pt idx="36">
                  <c:v>20.020832466252614</c:v>
                </c:pt>
                <c:pt idx="37">
                  <c:v>20.063731157279108</c:v>
                </c:pt>
                <c:pt idx="38">
                  <c:v>20.121755062427837</c:v>
                </c:pt>
                <c:pt idx="39">
                  <c:v>20.208536063728388</c:v>
                </c:pt>
                <c:pt idx="40">
                  <c:v>20.344214436772745</c:v>
                </c:pt>
                <c:pt idx="41">
                  <c:v>20.55962798622204</c:v>
                </c:pt>
                <c:pt idx="42">
                  <c:v>20.902049214055296</c:v>
                </c:pt>
                <c:pt idx="43">
                  <c:v>21.442285725788679</c:v>
                </c:pt>
                <c:pt idx="44">
                  <c:v>22.281442677194718</c:v>
                </c:pt>
                <c:pt idx="45">
                  <c:v>23.553723619261291</c:v>
                </c:pt>
                <c:pt idx="46">
                  <c:v>25.425947584153619</c:v>
                </c:pt>
                <c:pt idx="47">
                  <c:v>28.122492051625159</c:v>
                </c:pt>
                <c:pt idx="48">
                  <c:v>32.065280988172162</c:v>
                </c:pt>
                <c:pt idx="49">
                  <c:v>38.31748273660196</c:v>
                </c:pt>
                <c:pt idx="50">
                  <c:v>49.999999998544808</c:v>
                </c:pt>
              </c:numCache>
            </c:numRef>
          </c:xVal>
          <c:yVal>
            <c:numRef>
              <c:f>Distribution!$BD$12:$BD$114</c:f>
              <c:numCache>
                <c:formatCode>0.000</c:formatCode>
                <c:ptCount val="103"/>
              </c:numCache>
            </c:numRef>
          </c:yVal>
          <c:smooth val="1"/>
          <c:extLst>
            <c:ext xmlns:c16="http://schemas.microsoft.com/office/drawing/2014/chart" uri="{C3380CC4-5D6E-409C-BE32-E72D297353CC}">
              <c16:uniqueId val="{00000006-FD9A-4051-8A44-D31D046B1B83}"/>
            </c:ext>
          </c:extLst>
        </c:ser>
        <c:ser>
          <c:idx val="7"/>
          <c:order val="7"/>
          <c:tx>
            <c:v>pH em escala</c:v>
          </c:tx>
          <c:spPr>
            <a:ln w="12700">
              <a:solidFill>
                <a:srgbClr val="002060"/>
              </a:solidFill>
              <a:prstDash val="sysDash"/>
            </a:ln>
          </c:spPr>
          <c:marker>
            <c:symbol val="circle"/>
            <c:size val="5"/>
            <c:spPr>
              <a:noFill/>
              <a:ln>
                <a:solidFill>
                  <a:srgbClr val="0000FF"/>
                </a:solidFill>
              </a:ln>
            </c:spPr>
          </c:marker>
          <c:xVal>
            <c:numRef>
              <c:f>Distribution!$Y$12:$Y$114</c:f>
              <c:numCache>
                <c:formatCode>0.000</c:formatCode>
                <c:ptCount val="103"/>
                <c:pt idx="0">
                  <c:v>0</c:v>
                </c:pt>
                <c:pt idx="1">
                  <c:v>2.3004448812571354</c:v>
                </c:pt>
                <c:pt idx="2">
                  <c:v>4.3254298929241486</c:v>
                </c:pt>
                <c:pt idx="3">
                  <c:v>5.9982889695675112</c:v>
                </c:pt>
                <c:pt idx="4">
                  <c:v>7.2857926934375428</c:v>
                </c:pt>
                <c:pt idx="5">
                  <c:v>8.2150732792797498</c:v>
                </c:pt>
                <c:pt idx="6">
                  <c:v>8.852646873856429</c:v>
                </c:pt>
                <c:pt idx="7">
                  <c:v>9.2745251997257583</c:v>
                </c:pt>
                <c:pt idx="8">
                  <c:v>9.5472193221212365</c:v>
                </c:pt>
                <c:pt idx="9">
                  <c:v>9.7213898246991448</c:v>
                </c:pt>
                <c:pt idx="10">
                  <c:v>9.8327682426315732</c:v>
                </c:pt>
                <c:pt idx="11">
                  <c:v>9.9056407503667288</c:v>
                </c:pt>
                <c:pt idx="12">
                  <c:v>9.956512633652892</c:v>
                </c:pt>
                <c:pt idx="13">
                  <c:v>9.9971799951163121</c:v>
                </c:pt>
                <c:pt idx="14">
                  <c:v>10.037190483126324</c:v>
                </c:pt>
                <c:pt idx="15">
                  <c:v>10.085949620406609</c:v>
                </c:pt>
                <c:pt idx="16">
                  <c:v>10.154803957266267</c:v>
                </c:pt>
                <c:pt idx="17">
                  <c:v>10.259427917480934</c:v>
                </c:pt>
                <c:pt idx="18">
                  <c:v>10.422738817578647</c:v>
                </c:pt>
                <c:pt idx="19">
                  <c:v>10.678157336951699</c:v>
                </c:pt>
                <c:pt idx="20">
                  <c:v>11.071775054733735</c:v>
                </c:pt>
                <c:pt idx="21">
                  <c:v>11.659035268530715</c:v>
                </c:pt>
                <c:pt idx="22">
                  <c:v>12.487507292826194</c:v>
                </c:pt>
                <c:pt idx="23">
                  <c:v>13.560292513284367</c:v>
                </c:pt>
                <c:pt idx="24">
                  <c:v>14.799194350780454</c:v>
                </c:pt>
                <c:pt idx="25">
                  <c:v>16.054576211899985</c:v>
                </c:pt>
                <c:pt idx="26">
                  <c:v>17.173922529036645</c:v>
                </c:pt>
                <c:pt idx="27">
                  <c:v>18.068469061108772</c:v>
                </c:pt>
                <c:pt idx="28">
                  <c:v>18.725484058086295</c:v>
                </c:pt>
                <c:pt idx="29">
                  <c:v>19.179874857945833</c:v>
                </c:pt>
                <c:pt idx="30">
                  <c:v>19.48181740444852</c:v>
                </c:pt>
                <c:pt idx="31">
                  <c:v>19.677734184369911</c:v>
                </c:pt>
                <c:pt idx="32">
                  <c:v>19.803712518478278</c:v>
                </c:pt>
                <c:pt idx="33">
                  <c:v>19.885540132236201</c:v>
                </c:pt>
                <c:pt idx="34">
                  <c:v>19.941073826339561</c:v>
                </c:pt>
                <c:pt idx="35">
                  <c:v>19.982924718351569</c:v>
                </c:pt>
                <c:pt idx="36">
                  <c:v>20.020832466252614</c:v>
                </c:pt>
                <c:pt idx="37">
                  <c:v>20.063731157279108</c:v>
                </c:pt>
                <c:pt idx="38">
                  <c:v>20.121755062427837</c:v>
                </c:pt>
                <c:pt idx="39">
                  <c:v>20.208536063728388</c:v>
                </c:pt>
                <c:pt idx="40">
                  <c:v>20.344214436772745</c:v>
                </c:pt>
                <c:pt idx="41">
                  <c:v>20.55962798622204</c:v>
                </c:pt>
                <c:pt idx="42">
                  <c:v>20.902049214055296</c:v>
                </c:pt>
                <c:pt idx="43">
                  <c:v>21.442285725788679</c:v>
                </c:pt>
                <c:pt idx="44">
                  <c:v>22.281442677194718</c:v>
                </c:pt>
                <c:pt idx="45">
                  <c:v>23.553723619261291</c:v>
                </c:pt>
                <c:pt idx="46">
                  <c:v>25.425947584153619</c:v>
                </c:pt>
                <c:pt idx="47">
                  <c:v>28.122492051625159</c:v>
                </c:pt>
                <c:pt idx="48">
                  <c:v>32.065280988172162</c:v>
                </c:pt>
                <c:pt idx="49">
                  <c:v>38.31748273660196</c:v>
                </c:pt>
                <c:pt idx="50">
                  <c:v>49.999999998544808</c:v>
                </c:pt>
              </c:numCache>
            </c:numRef>
          </c:xVal>
          <c:yVal>
            <c:numRef>
              <c:f>Distribution!$BE$12:$BE$114</c:f>
              <c:numCache>
                <c:formatCode>0.000</c:formatCode>
                <c:ptCount val="103"/>
                <c:pt idx="0">
                  <c:v>-6.9616529828158429</c:v>
                </c:pt>
                <c:pt idx="1">
                  <c:v>-6.8388298015638744</c:v>
                </c:pt>
                <c:pt idx="2">
                  <c:v>-6.7164916460357205</c:v>
                </c:pt>
                <c:pt idx="3">
                  <c:v>-6.5946950048482975</c:v>
                </c:pt>
                <c:pt idx="4">
                  <c:v>-6.4733805160076923</c:v>
                </c:pt>
                <c:pt idx="5">
                  <c:v>-6.3524400135849071</c:v>
                </c:pt>
                <c:pt idx="6">
                  <c:v>-6.2317653473757737</c:v>
                </c:pt>
                <c:pt idx="7">
                  <c:v>-6.111269325961147</c:v>
                </c:pt>
                <c:pt idx="8">
                  <c:v>-5.9908888403495411</c:v>
                </c:pt>
                <c:pt idx="9">
                  <c:v>-5.8705806870974691</c:v>
                </c:pt>
                <c:pt idx="10">
                  <c:v>-5.750315867909964</c:v>
                </c:pt>
                <c:pt idx="11">
                  <c:v>-5.6300745420060219</c:v>
                </c:pt>
                <c:pt idx="12">
                  <c:v>-5.5098420423053449</c:v>
                </c:pt>
                <c:pt idx="13">
                  <c:v>-5.3896057011925445</c:v>
                </c:pt>
                <c:pt idx="14">
                  <c:v>-5.2693520459400114</c:v>
                </c:pt>
                <c:pt idx="15">
                  <c:v>-5.1490639124659445</c:v>
                </c:pt>
                <c:pt idx="16">
                  <c:v>-5.0287171087438036</c:v>
                </c:pt>
                <c:pt idx="17">
                  <c:v>-4.9082765342545107</c:v>
                </c:pt>
                <c:pt idx="18">
                  <c:v>-4.7876924532450467</c:v>
                </c:pt>
                <c:pt idx="19">
                  <c:v>-4.6668995364948707</c:v>
                </c:pt>
                <c:pt idx="20">
                  <c:v>-4.5458248482621419</c:v>
                </c:pt>
                <c:pt idx="21">
                  <c:v>-4.4244143652974417</c:v>
                </c:pt>
                <c:pt idx="22">
                  <c:v>-4.3026815308502604</c:v>
                </c:pt>
                <c:pt idx="23">
                  <c:v>-4.1807512892193968</c:v>
                </c:pt>
                <c:pt idx="24">
                  <c:v>-4.0588397376002678</c:v>
                </c:pt>
                <c:pt idx="25">
                  <c:v>-3.9371540177714506</c:v>
                </c:pt>
                <c:pt idx="26">
                  <c:v>-3.8158005153750407</c:v>
                </c:pt>
                <c:pt idx="27">
                  <c:v>-3.6947778967453919</c:v>
                </c:pt>
                <c:pt idx="28">
                  <c:v>-3.5740258987155062</c:v>
                </c:pt>
                <c:pt idx="29">
                  <c:v>-3.4534714592843514</c:v>
                </c:pt>
                <c:pt idx="30">
                  <c:v>-3.3330517262423198</c:v>
                </c:pt>
                <c:pt idx="31">
                  <c:v>-3.2127199656223953</c:v>
                </c:pt>
                <c:pt idx="32">
                  <c:v>-3.0924438613297651</c:v>
                </c:pt>
                <c:pt idx="33">
                  <c:v>-2.9722017715774953</c:v>
                </c:pt>
                <c:pt idx="34">
                  <c:v>-2.8519791624433362</c:v>
                </c:pt>
                <c:pt idx="35">
                  <c:v>-2.7317657714124399</c:v>
                </c:pt>
                <c:pt idx="36">
                  <c:v>-2.6115534165933694</c:v>
                </c:pt>
                <c:pt idx="37">
                  <c:v>-2.491334181559905</c:v>
                </c:pt>
                <c:pt idx="38">
                  <c:v>-2.371098680747596</c:v>
                </c:pt>
                <c:pt idx="39">
                  <c:v>-2.2508341447115399</c:v>
                </c:pt>
                <c:pt idx="40">
                  <c:v>-2.1305221769613647</c:v>
                </c:pt>
                <c:pt idx="41">
                  <c:v>-2.0101363653707685</c:v>
                </c:pt>
                <c:pt idx="42">
                  <c:v>-1.8896407964554403</c:v>
                </c:pt>
                <c:pt idx="43">
                  <c:v>-1.7689923573739348</c:v>
                </c:pt>
                <c:pt idx="44">
                  <c:v>-1.6481523125296986</c:v>
                </c:pt>
                <c:pt idx="45">
                  <c:v>-1.5271124806594472</c:v>
                </c:pt>
                <c:pt idx="46">
                  <c:v>-1.4059291101454869</c:v>
                </c:pt>
                <c:pt idx="47">
                  <c:v>-1.284732472385433</c:v>
                </c:pt>
                <c:pt idx="48">
                  <c:v>-1.1636832194004043</c:v>
                </c:pt>
                <c:pt idx="49">
                  <c:v>-1.0429092585246895</c:v>
                </c:pt>
                <c:pt idx="50">
                  <c:v>-0.92248917963113453</c:v>
                </c:pt>
              </c:numCache>
            </c:numRef>
          </c:yVal>
          <c:smooth val="1"/>
          <c:extLst>
            <c:ext xmlns:c16="http://schemas.microsoft.com/office/drawing/2014/chart" uri="{C3380CC4-5D6E-409C-BE32-E72D297353CC}">
              <c16:uniqueId val="{00000007-FD9A-4051-8A44-D31D046B1B83}"/>
            </c:ext>
          </c:extLst>
        </c:ser>
        <c:dLbls>
          <c:showLegendKey val="0"/>
          <c:showVal val="0"/>
          <c:showCatName val="0"/>
          <c:showSerName val="0"/>
          <c:showPercent val="0"/>
          <c:showBubbleSize val="0"/>
        </c:dLbls>
        <c:axId val="392162032"/>
        <c:axId val="392166384"/>
      </c:scatterChart>
      <c:valAx>
        <c:axId val="392162032"/>
        <c:scaling>
          <c:orientation val="minMax"/>
        </c:scaling>
        <c:delete val="0"/>
        <c:axPos val="b"/>
        <c:majorGridlines/>
        <c:title>
          <c:tx>
            <c:rich>
              <a:bodyPr/>
              <a:lstStyle/>
              <a:p>
                <a:pPr>
                  <a:defRPr sz="1175" b="1" i="0" u="none" strike="noStrike" baseline="0">
                    <a:solidFill>
                      <a:srgbClr val="000000"/>
                    </a:solidFill>
                    <a:latin typeface="Arial"/>
                    <a:ea typeface="Arial"/>
                    <a:cs typeface="Arial"/>
                  </a:defRPr>
                </a:pPr>
                <a:r>
                  <a:rPr lang="pt-BR"/>
                  <a:t>Volume (mL)</a:t>
                </a:r>
              </a:p>
            </c:rich>
          </c:tx>
          <c:layout>
            <c:manualLayout>
              <c:xMode val="edge"/>
              <c:yMode val="edge"/>
              <c:x val="0.44044141271331422"/>
              <c:y val="0.93267709610178651"/>
            </c:manualLayout>
          </c:layout>
          <c:overlay val="0"/>
          <c:spPr>
            <a:noFill/>
            <a:ln w="25400">
              <a:noFill/>
            </a:ln>
          </c:spPr>
        </c:title>
        <c:numFmt formatCode="0.0" sourceLinked="0"/>
        <c:majorTickMark val="out"/>
        <c:minorTickMark val="none"/>
        <c:tickLblPos val="nextTo"/>
        <c:txPr>
          <a:bodyPr rot="0" vert="horz"/>
          <a:lstStyle/>
          <a:p>
            <a:pPr>
              <a:defRPr sz="1175" b="0" i="0" u="none" strike="noStrike" baseline="0">
                <a:solidFill>
                  <a:srgbClr val="000000"/>
                </a:solidFill>
                <a:latin typeface="Arial"/>
                <a:ea typeface="Arial"/>
                <a:cs typeface="Arial"/>
              </a:defRPr>
            </a:pPr>
            <a:endParaRPr lang="nl-NL"/>
          </a:p>
        </c:txPr>
        <c:crossAx val="392166384"/>
        <c:crossesAt val="-10"/>
        <c:crossBetween val="midCat"/>
      </c:valAx>
      <c:valAx>
        <c:axId val="392166384"/>
        <c:scaling>
          <c:orientation val="minMax"/>
          <c:max val="0.2"/>
          <c:min val="-8"/>
        </c:scaling>
        <c:delete val="0"/>
        <c:axPos val="l"/>
        <c:majorGridlines>
          <c:spPr>
            <a:ln w="3175">
              <a:solidFill>
                <a:srgbClr val="000000"/>
              </a:solidFill>
              <a:prstDash val="solid"/>
            </a:ln>
          </c:spPr>
        </c:majorGridlines>
        <c:title>
          <c:tx>
            <c:rich>
              <a:bodyPr/>
              <a:lstStyle/>
              <a:p>
                <a:pPr>
                  <a:defRPr sz="1100" b="0" i="0" u="none" strike="noStrike" baseline="0">
                    <a:solidFill>
                      <a:srgbClr val="000000"/>
                    </a:solidFill>
                    <a:latin typeface="Calibri"/>
                    <a:ea typeface="Calibri"/>
                    <a:cs typeface="Calibri"/>
                  </a:defRPr>
                </a:pPr>
                <a:r>
                  <a:rPr lang="pt-BR" sz="1500" b="0" i="0" strike="noStrike">
                    <a:solidFill>
                      <a:srgbClr val="000000"/>
                    </a:solidFill>
                    <a:latin typeface="Arial"/>
                    <a:cs typeface="Arial"/>
                  </a:rPr>
                  <a:t>log</a:t>
                </a:r>
                <a:r>
                  <a:rPr lang="pt-BR" sz="1500" b="0" i="0" strike="noStrike">
                    <a:solidFill>
                      <a:srgbClr val="000000"/>
                    </a:solidFill>
                    <a:latin typeface="Symbol"/>
                  </a:rPr>
                  <a:t> a</a:t>
                </a:r>
                <a:r>
                  <a:rPr lang="pt-BR" sz="1500" b="1" i="0" strike="noStrike" baseline="-25000">
                    <a:solidFill>
                      <a:srgbClr val="000000"/>
                    </a:solidFill>
                    <a:latin typeface="Arial"/>
                    <a:cs typeface="Arial"/>
                  </a:rPr>
                  <a:t>i</a:t>
                </a:r>
              </a:p>
            </c:rich>
          </c:tx>
          <c:layout>
            <c:manualLayout>
              <c:xMode val="edge"/>
              <c:yMode val="edge"/>
              <c:x val="7.2047416091338343E-3"/>
              <c:y val="0.38345971925013761"/>
            </c:manualLayout>
          </c:layout>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1175" b="0" i="0" u="none" strike="noStrike" baseline="0">
                <a:solidFill>
                  <a:srgbClr val="000000"/>
                </a:solidFill>
                <a:latin typeface="Arial"/>
                <a:ea typeface="Arial"/>
                <a:cs typeface="Arial"/>
              </a:defRPr>
            </a:pPr>
            <a:endParaRPr lang="nl-NL"/>
          </a:p>
        </c:txPr>
        <c:crossAx val="392162032"/>
        <c:crosses val="autoZero"/>
        <c:crossBetween val="midCat"/>
      </c:valAx>
      <c:spPr>
        <a:noFill/>
        <a:ln w="12700">
          <a:solidFill>
            <a:schemeClr val="tx1"/>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175" b="0" i="0" u="none" strike="noStrike" baseline="0">
          <a:solidFill>
            <a:srgbClr val="000000"/>
          </a:solidFill>
          <a:latin typeface="Arial"/>
          <a:ea typeface="Arial"/>
          <a:cs typeface="Arial"/>
        </a:defRPr>
      </a:pPr>
      <a:endParaRPr lang="nl-NL"/>
    </a:p>
  </c:txPr>
  <c:printSettings>
    <c:headerFooter alignWithMargins="0"/>
    <c:pageMargins b="0.98425196899999956" l="0.78740157499999996" r="0.78740157499999996" t="0.98425196899999956" header="0.49212598500001187" footer="0.49212598500001187"/>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pt-BR" sz="1200" baseline="0"/>
              <a:t>Buffer capacity</a:t>
            </a:r>
          </a:p>
        </c:rich>
      </c:tx>
      <c:layout>
        <c:manualLayout>
          <c:xMode val="edge"/>
          <c:yMode val="edge"/>
          <c:x val="9.2883137301369184E-2"/>
          <c:y val="1.305472740616812E-2"/>
        </c:manualLayout>
      </c:layout>
      <c:overlay val="0"/>
      <c:spPr>
        <a:noFill/>
        <a:ln w="25400">
          <a:noFill/>
        </a:ln>
      </c:spPr>
    </c:title>
    <c:autoTitleDeleted val="0"/>
    <c:plotArea>
      <c:layout>
        <c:manualLayout>
          <c:layoutTarget val="inner"/>
          <c:xMode val="edge"/>
          <c:yMode val="edge"/>
          <c:x val="8.6837098275946267E-2"/>
          <c:y val="8.3550913838120244E-2"/>
          <c:w val="0.8823548462129065"/>
          <c:h val="0.76834824322610829"/>
        </c:manualLayout>
      </c:layout>
      <c:scatterChart>
        <c:scatterStyle val="smoothMarker"/>
        <c:varyColors val="0"/>
        <c:ser>
          <c:idx val="0"/>
          <c:order val="0"/>
          <c:tx>
            <c:v>buffer</c:v>
          </c:tx>
          <c:spPr>
            <a:ln w="38100">
              <a:solidFill>
                <a:srgbClr val="09007E"/>
              </a:solidFill>
              <a:prstDash val="solid"/>
            </a:ln>
          </c:spPr>
          <c:marker>
            <c:symbol val="none"/>
          </c:marker>
          <c:xVal>
            <c:numRef>
              <c:f>Distribution!$O$12:$O$135</c:f>
              <c:numCache>
                <c:formatCode>0.000</c:formatCode>
                <c:ptCount val="124"/>
                <c:pt idx="0">
                  <c:v>0</c:v>
                </c:pt>
                <c:pt idx="1">
                  <c:v>0.2</c:v>
                </c:pt>
                <c:pt idx="2">
                  <c:v>0.4</c:v>
                </c:pt>
                <c:pt idx="3">
                  <c:v>0.60000000000000009</c:v>
                </c:pt>
                <c:pt idx="4">
                  <c:v>0.8</c:v>
                </c:pt>
                <c:pt idx="5">
                  <c:v>1</c:v>
                </c:pt>
                <c:pt idx="6">
                  <c:v>1.2</c:v>
                </c:pt>
                <c:pt idx="7">
                  <c:v>1.4</c:v>
                </c:pt>
                <c:pt idx="8">
                  <c:v>1.5999999999999999</c:v>
                </c:pt>
                <c:pt idx="9">
                  <c:v>1.7999999999999998</c:v>
                </c:pt>
                <c:pt idx="10">
                  <c:v>1.9999999999999998</c:v>
                </c:pt>
                <c:pt idx="11">
                  <c:v>2.1999999999999997</c:v>
                </c:pt>
                <c:pt idx="12">
                  <c:v>2.4</c:v>
                </c:pt>
                <c:pt idx="13">
                  <c:v>2.6</c:v>
                </c:pt>
                <c:pt idx="14">
                  <c:v>2.8000000000000003</c:v>
                </c:pt>
                <c:pt idx="15">
                  <c:v>3.0000000000000004</c:v>
                </c:pt>
                <c:pt idx="16">
                  <c:v>3.2000000000000006</c:v>
                </c:pt>
                <c:pt idx="17">
                  <c:v>3.4000000000000008</c:v>
                </c:pt>
                <c:pt idx="18">
                  <c:v>3.600000000000001</c:v>
                </c:pt>
                <c:pt idx="19">
                  <c:v>3.8000000000000012</c:v>
                </c:pt>
                <c:pt idx="20">
                  <c:v>4.0000000000000009</c:v>
                </c:pt>
                <c:pt idx="21">
                  <c:v>4.2000000000000011</c:v>
                </c:pt>
                <c:pt idx="22">
                  <c:v>4.4000000000000012</c:v>
                </c:pt>
                <c:pt idx="23">
                  <c:v>4.6000000000000014</c:v>
                </c:pt>
                <c:pt idx="24">
                  <c:v>4.8000000000000016</c:v>
                </c:pt>
                <c:pt idx="25">
                  <c:v>5.0000000000000018</c:v>
                </c:pt>
                <c:pt idx="26">
                  <c:v>5.200000000000002</c:v>
                </c:pt>
                <c:pt idx="27">
                  <c:v>5.4000000000000021</c:v>
                </c:pt>
                <c:pt idx="28">
                  <c:v>5.6000000000000023</c:v>
                </c:pt>
                <c:pt idx="29">
                  <c:v>5.8000000000000025</c:v>
                </c:pt>
                <c:pt idx="30">
                  <c:v>6.0000000000000027</c:v>
                </c:pt>
                <c:pt idx="31">
                  <c:v>6.2000000000000028</c:v>
                </c:pt>
                <c:pt idx="32">
                  <c:v>6.400000000000003</c:v>
                </c:pt>
                <c:pt idx="33">
                  <c:v>6.6000000000000032</c:v>
                </c:pt>
                <c:pt idx="34">
                  <c:v>6.8000000000000034</c:v>
                </c:pt>
                <c:pt idx="35">
                  <c:v>7.0000000000000036</c:v>
                </c:pt>
                <c:pt idx="36">
                  <c:v>7.2000000000000037</c:v>
                </c:pt>
                <c:pt idx="37">
                  <c:v>7.4000000000000039</c:v>
                </c:pt>
                <c:pt idx="38">
                  <c:v>7.6000000000000041</c:v>
                </c:pt>
                <c:pt idx="39">
                  <c:v>7.8000000000000043</c:v>
                </c:pt>
                <c:pt idx="40">
                  <c:v>8.0000000000000036</c:v>
                </c:pt>
                <c:pt idx="41">
                  <c:v>8.2000000000000028</c:v>
                </c:pt>
                <c:pt idx="42">
                  <c:v>8.4000000000000021</c:v>
                </c:pt>
                <c:pt idx="43">
                  <c:v>8.6000000000000014</c:v>
                </c:pt>
                <c:pt idx="44">
                  <c:v>8.8000000000000007</c:v>
                </c:pt>
                <c:pt idx="45">
                  <c:v>9</c:v>
                </c:pt>
                <c:pt idx="46">
                  <c:v>9.1999999999999993</c:v>
                </c:pt>
                <c:pt idx="47">
                  <c:v>9.3999999999999986</c:v>
                </c:pt>
                <c:pt idx="48">
                  <c:v>9.5999999999999979</c:v>
                </c:pt>
                <c:pt idx="49">
                  <c:v>9.7999999999999972</c:v>
                </c:pt>
                <c:pt idx="50">
                  <c:v>9.9999999999999964</c:v>
                </c:pt>
                <c:pt idx="51">
                  <c:v>10.199999999999996</c:v>
                </c:pt>
                <c:pt idx="52">
                  <c:v>10.399999999999995</c:v>
                </c:pt>
                <c:pt idx="53">
                  <c:v>10.599999999999994</c:v>
                </c:pt>
                <c:pt idx="54">
                  <c:v>10.799999999999994</c:v>
                </c:pt>
                <c:pt idx="55">
                  <c:v>10.999999999999993</c:v>
                </c:pt>
                <c:pt idx="56">
                  <c:v>11.199999999999992</c:v>
                </c:pt>
                <c:pt idx="57">
                  <c:v>11.399999999999991</c:v>
                </c:pt>
                <c:pt idx="58">
                  <c:v>11.599999999999991</c:v>
                </c:pt>
                <c:pt idx="59">
                  <c:v>11.79999999999999</c:v>
                </c:pt>
                <c:pt idx="60">
                  <c:v>11.999999999999989</c:v>
                </c:pt>
                <c:pt idx="61">
                  <c:v>12.199999999999989</c:v>
                </c:pt>
                <c:pt idx="62">
                  <c:v>12.399999999999988</c:v>
                </c:pt>
                <c:pt idx="63">
                  <c:v>12.599999999999987</c:v>
                </c:pt>
                <c:pt idx="64">
                  <c:v>12.799999999999986</c:v>
                </c:pt>
                <c:pt idx="65">
                  <c:v>12.999999999999986</c:v>
                </c:pt>
                <c:pt idx="66">
                  <c:v>13.199999999999985</c:v>
                </c:pt>
                <c:pt idx="67">
                  <c:v>13.399999999999984</c:v>
                </c:pt>
                <c:pt idx="68">
                  <c:v>13.599999999999984</c:v>
                </c:pt>
                <c:pt idx="69">
                  <c:v>13.799999999999983</c:v>
                </c:pt>
                <c:pt idx="70">
                  <c:v>13.999999999999982</c:v>
                </c:pt>
              </c:numCache>
            </c:numRef>
          </c:xVal>
          <c:yVal>
            <c:numRef>
              <c:f>Distribution!$X$12:$X$135</c:f>
              <c:numCache>
                <c:formatCode>0.000</c:formatCode>
                <c:ptCount val="124"/>
                <c:pt idx="0">
                  <c:v>3.1393595571378539</c:v>
                </c:pt>
                <c:pt idx="1">
                  <c:v>1.9828511207815405</c:v>
                </c:pt>
                <c:pt idx="2">
                  <c:v>1.254271606607225</c:v>
                </c:pt>
                <c:pt idx="3">
                  <c:v>0.7962567008004594</c:v>
                </c:pt>
                <c:pt idx="4">
                  <c:v>0.50971054488808987</c:v>
                </c:pt>
                <c:pt idx="5">
                  <c:v>0.33226127458866733</c:v>
                </c:pt>
                <c:pt idx="6">
                  <c:v>0.22451574519215781</c:v>
                </c:pt>
                <c:pt idx="7">
                  <c:v>0.16114432150007646</c:v>
                </c:pt>
                <c:pt idx="8">
                  <c:v>0.12505852047144986</c:v>
                </c:pt>
                <c:pt idx="9">
                  <c:v>0.10393996046983531</c:v>
                </c:pt>
                <c:pt idx="10">
                  <c:v>8.8926100116968415E-2</c:v>
                </c:pt>
                <c:pt idx="11">
                  <c:v>7.47956349936299E-2</c:v>
                </c:pt>
                <c:pt idx="12">
                  <c:v>6.0025711943161267E-2</c:v>
                </c:pt>
                <c:pt idx="13">
                  <c:v>4.5538805827459554E-2</c:v>
                </c:pt>
                <c:pt idx="14">
                  <c:v>3.2813287508899898E-2</c:v>
                </c:pt>
                <c:pt idx="15">
                  <c:v>2.2699211486316154E-2</c:v>
                </c:pt>
                <c:pt idx="16">
                  <c:v>1.5254130980503867E-2</c:v>
                </c:pt>
                <c:pt idx="17">
                  <c:v>1.0069737700588876E-2</c:v>
                </c:pt>
                <c:pt idx="18">
                  <c:v>6.6056703737249608E-3</c:v>
                </c:pt>
                <c:pt idx="19">
                  <c:v>4.3750896008728328E-3</c:v>
                </c:pt>
                <c:pt idx="20">
                  <c:v>3.0088542726794112E-3</c:v>
                </c:pt>
                <c:pt idx="21">
                  <c:v>2.2587108182286508E-3</c:v>
                </c:pt>
                <c:pt idx="22">
                  <c:v>1.9809032321157359E-3</c:v>
                </c:pt>
                <c:pt idx="23">
                  <c:v>2.1203038438928948E-3</c:v>
                </c:pt>
                <c:pt idx="24">
                  <c:v>2.7026419144125357E-3</c:v>
                </c:pt>
                <c:pt idx="25">
                  <c:v>3.8363343263158826E-3</c:v>
                </c:pt>
                <c:pt idx="26">
                  <c:v>5.7214399195630056E-3</c:v>
                </c:pt>
                <c:pt idx="27">
                  <c:v>8.6571389955358014E-3</c:v>
                </c:pt>
                <c:pt idx="28">
                  <c:v>1.3026465792526273E-2</c:v>
                </c:pt>
                <c:pt idx="29">
                  <c:v>1.9215086013653238E-2</c:v>
                </c:pt>
                <c:pt idx="30">
                  <c:v>2.7399441936952266E-2</c:v>
                </c:pt>
                <c:pt idx="31">
                  <c:v>3.7165955225248883E-2</c:v>
                </c:pt>
                <c:pt idx="32">
                  <c:v>4.7091869337586766E-2</c:v>
                </c:pt>
                <c:pt idx="33">
                  <c:v>5.4738230046080957E-2</c:v>
                </c:pt>
                <c:pt idx="34">
                  <c:v>5.7571312361428463E-2</c:v>
                </c:pt>
                <c:pt idx="35">
                  <c:v>5.4511858383608947E-2</c:v>
                </c:pt>
                <c:pt idx="36">
                  <c:v>4.6721498724623375E-2</c:v>
                </c:pt>
                <c:pt idx="37">
                  <c:v>3.6758871322346925E-2</c:v>
                </c:pt>
                <c:pt idx="38">
                  <c:v>2.7032938824863007E-2</c:v>
                </c:pt>
                <c:pt idx="39">
                  <c:v>1.89210404673637E-2</c:v>
                </c:pt>
                <c:pt idx="40">
                  <c:v>1.2803782459765203E-2</c:v>
                </c:pt>
                <c:pt idx="41">
                  <c:v>8.4888528221923453E-3</c:v>
                </c:pt>
                <c:pt idx="42">
                  <c:v>5.5855601527922119E-3</c:v>
                </c:pt>
                <c:pt idx="43">
                  <c:v>3.7098336826356755E-3</c:v>
                </c:pt>
                <c:pt idx="44">
                  <c:v>2.5609751118751442E-3</c:v>
                </c:pt>
                <c:pt idx="45">
                  <c:v>1.934277442721292E-3</c:v>
                </c:pt>
                <c:pt idx="46">
                  <c:v>1.7115400080988941E-3</c:v>
                </c:pt>
                <c:pt idx="47">
                  <c:v>1.8498687652113784E-3</c:v>
                </c:pt>
                <c:pt idx="48">
                  <c:v>2.3768644762642344E-3</c:v>
                </c:pt>
                <c:pt idx="49">
                  <c:v>3.3946368585712774E-3</c:v>
                </c:pt>
                <c:pt idx="50">
                  <c:v>5.0919773185788371E-3</c:v>
                </c:pt>
                <c:pt idx="51">
                  <c:v>7.7598477492522551E-3</c:v>
                </c:pt>
                <c:pt idx="52">
                  <c:v>1.1796231232960318E-2</c:v>
                </c:pt>
                <c:pt idx="53">
                  <c:v>1.7668595395961335E-2</c:v>
                </c:pt>
                <c:pt idx="54">
                  <c:v>2.5778298184446932E-2</c:v>
                </c:pt>
                <c:pt idx="55">
                  <c:v>3.6169615838678629E-2</c:v>
                </c:pt>
                <c:pt idx="56">
                  <c:v>4.8126000397329081E-2</c:v>
                </c:pt>
                <c:pt idx="57">
                  <c:v>5.9974553230356914E-2</c:v>
                </c:pt>
                <c:pt idx="58">
                  <c:v>6.9678086705740883E-2</c:v>
                </c:pt>
                <c:pt idx="59">
                  <c:v>7.6384975607240183E-2</c:v>
                </c:pt>
                <c:pt idx="60">
                  <c:v>8.1932843508877057E-2</c:v>
                </c:pt>
                <c:pt idx="61">
                  <c:v>9.1005505724372882E-2</c:v>
                </c:pt>
                <c:pt idx="62">
                  <c:v>0.11022594310496346</c:v>
                </c:pt>
                <c:pt idx="63">
                  <c:v>0.14775524508577365</c:v>
                </c:pt>
                <c:pt idx="64">
                  <c:v>0.21435726642363168</c:v>
                </c:pt>
                <c:pt idx="65">
                  <c:v>0.32589531676233313</c:v>
                </c:pt>
                <c:pt idx="66">
                  <c:v>0.50718394922326937</c:v>
                </c:pt>
                <c:pt idx="67">
                  <c:v>0.79769405721081765</c:v>
                </c:pt>
                <c:pt idx="68">
                  <c:v>1.2602806891196299</c:v>
                </c:pt>
                <c:pt idx="69">
                  <c:v>1.9948560341043595</c:v>
                </c:pt>
                <c:pt idx="70">
                  <c:v>3.160004454419743</c:v>
                </c:pt>
              </c:numCache>
            </c:numRef>
          </c:yVal>
          <c:smooth val="1"/>
          <c:extLst>
            <c:ext xmlns:c16="http://schemas.microsoft.com/office/drawing/2014/chart" uri="{C3380CC4-5D6E-409C-BE32-E72D297353CC}">
              <c16:uniqueId val="{00000000-7392-4049-BCEF-290233AA2D23}"/>
            </c:ext>
          </c:extLst>
        </c:ser>
        <c:dLbls>
          <c:showLegendKey val="0"/>
          <c:showVal val="0"/>
          <c:showCatName val="0"/>
          <c:showSerName val="0"/>
          <c:showPercent val="0"/>
          <c:showBubbleSize val="0"/>
        </c:dLbls>
        <c:axId val="392153328"/>
        <c:axId val="392162576"/>
      </c:scatterChart>
      <c:valAx>
        <c:axId val="392153328"/>
        <c:scaling>
          <c:orientation val="minMax"/>
          <c:max val="14"/>
          <c:min val="0"/>
        </c:scaling>
        <c:delete val="0"/>
        <c:axPos val="b"/>
        <c:majorGridlines/>
        <c:title>
          <c:tx>
            <c:rich>
              <a:bodyPr/>
              <a:lstStyle/>
              <a:p>
                <a:pPr>
                  <a:defRPr sz="1200" b="1" i="0" u="none" strike="noStrike" baseline="0">
                    <a:solidFill>
                      <a:srgbClr val="000000"/>
                    </a:solidFill>
                    <a:latin typeface="Arial"/>
                    <a:ea typeface="Arial"/>
                    <a:cs typeface="Arial"/>
                  </a:defRPr>
                </a:pPr>
                <a:r>
                  <a:rPr lang="pt-BR"/>
                  <a:t>pH</a:t>
                </a:r>
              </a:p>
            </c:rich>
          </c:tx>
          <c:layout>
            <c:manualLayout>
              <c:xMode val="edge"/>
              <c:yMode val="edge"/>
              <c:x val="0.5050654793805226"/>
              <c:y val="0.93235637973451757"/>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nl-NL"/>
          </a:p>
        </c:txPr>
        <c:crossAx val="392162576"/>
        <c:crosses val="autoZero"/>
        <c:crossBetween val="midCat"/>
        <c:majorUnit val="1"/>
        <c:minorUnit val="1"/>
      </c:valAx>
      <c:valAx>
        <c:axId val="392162576"/>
        <c:scaling>
          <c:orientation val="minMax"/>
          <c:max val="0.5"/>
          <c:min val="-1.0000000000000005E-2"/>
        </c:scaling>
        <c:delete val="0"/>
        <c:axPos val="l"/>
        <c:majorGridlines>
          <c:spPr>
            <a:ln w="3175">
              <a:solidFill>
                <a:srgbClr val="000000"/>
              </a:solidFill>
              <a:prstDash val="solid"/>
            </a:ln>
          </c:spPr>
        </c:majorGridlines>
        <c:title>
          <c:tx>
            <c:rich>
              <a:bodyPr/>
              <a:lstStyle/>
              <a:p>
                <a:pPr>
                  <a:defRPr sz="1075" b="1" i="0" u="none" strike="noStrike" baseline="0">
                    <a:solidFill>
                      <a:srgbClr val="000000"/>
                    </a:solidFill>
                    <a:latin typeface="Arial"/>
                    <a:ea typeface="Arial"/>
                    <a:cs typeface="Arial"/>
                  </a:defRPr>
                </a:pPr>
                <a:r>
                  <a:rPr lang="pt-BR"/>
                  <a:t>buffer capacity</a:t>
                </a:r>
              </a:p>
            </c:rich>
          </c:tx>
          <c:layout>
            <c:manualLayout>
              <c:xMode val="edge"/>
              <c:yMode val="edge"/>
              <c:x val="7.2358494455210627E-3"/>
              <c:y val="0.37652871720017644"/>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nl-NL"/>
          </a:p>
        </c:txPr>
        <c:crossAx val="392153328"/>
        <c:crosses val="autoZero"/>
        <c:crossBetween val="midCat"/>
      </c:valAx>
      <c:spPr>
        <a:noFill/>
        <a:ln w="12700">
          <a:solidFill>
            <a:schemeClr val="tx1"/>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0.98425196899999956" l="0.78740157499999996" r="0.78740157499999996" t="0.98425196899999956" header="0.49212598500001248" footer="0.49212598500001248"/>
    <c:pageSetup paperSize="9" orientation="landscape"/>
  </c:printSettings>
  <c:userShapes r:id="rId1"/>
</c:chartSpace>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Drop" dropLines="10" dropStyle="combo" dx="16" fmlaLink="$K$2" fmlaRange="Database!$C$22:$N$301" noThreeD="1" sel="6" val="5"/>
</file>

<file path=xl/ctrlProps/ctrlProp13.xml><?xml version="1.0" encoding="utf-8"?>
<formControlPr xmlns="http://schemas.microsoft.com/office/spreadsheetml/2009/9/main" objectType="Drop" dropLines="10" dropStyle="combo" dx="16" fmlaLink="$L$2" fmlaRange="Database!$C$22:$C$301" noThreeD="1" sel="3" val="2"/>
</file>

<file path=xl/ctrlProps/ctrlProp14.xml><?xml version="1.0" encoding="utf-8"?>
<formControlPr xmlns="http://schemas.microsoft.com/office/spreadsheetml/2009/9/main" objectType="Drop" dropLines="10" dropStyle="combo" dx="16" fmlaLink="$M$2" fmlaRange="Database!$C$22:$C$301" noThreeD="1" sel="1" val="0"/>
</file>

<file path=xl/ctrlProps/ctrlProp15.xml><?xml version="1.0" encoding="utf-8"?>
<formControlPr xmlns="http://schemas.microsoft.com/office/spreadsheetml/2009/9/main" objectType="Drop" dropLines="10" dropStyle="combo" dx="16" fmlaLink="$N$2" fmlaRange="Database!$C$22:$C$301" noThreeD="1" sel="260" val="258"/>
</file>

<file path=xl/ctrlProps/ctrlProp16.xml><?xml version="1.0" encoding="utf-8"?>
<formControlPr xmlns="http://schemas.microsoft.com/office/spreadsheetml/2009/9/main" objectType="Drop" dropLines="10" dropStyle="combo" dx="16" fmlaLink="$O$2" fmlaRange="Database!$C$22:$C$301" noThreeD="1" sel="2" val="0"/>
</file>

<file path=xl/ctrlProps/ctrlProp17.xml><?xml version="1.0" encoding="utf-8"?>
<formControlPr xmlns="http://schemas.microsoft.com/office/spreadsheetml/2009/9/main" objectType="Drop" dropLines="10" dropStyle="combo" dx="16" fmlaLink="$P$2" fmlaRange="Database!$C$22:$C$301" noThreeD="1" sel="7" val="6"/>
</file>

<file path=xl/ctrlProps/ctrlProp18.xml><?xml version="1.0" encoding="utf-8"?>
<formControlPr xmlns="http://schemas.microsoft.com/office/spreadsheetml/2009/9/main" objectType="Drop" dropLines="10" dropStyle="combo" dx="16" fmlaLink="$Q$2" fmlaRange="Database!$C$22:$C$301" noThreeD="1" sel="103" val="5"/>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Drop" dropLines="10" dropStyle="combo" dx="16" fmlaLink="$K$2" fmlaRange="Database!$C$22:$N$301" noThreeD="1" sel="8" val="5"/>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3.xml><?xml version="1.0" encoding="utf-8"?>
<formControlPr xmlns="http://schemas.microsoft.com/office/spreadsheetml/2009/9/main" objectType="Drop" dropLines="10" dropStyle="combo" dx="16" fmlaLink="$L$2" fmlaRange="Database!$C$22:$C$301" noThreeD="1" sel="1" val="0"/>
</file>

<file path=xl/ctrlProps/ctrlProp30.xml><?xml version="1.0" encoding="utf-8"?>
<formControlPr xmlns="http://schemas.microsoft.com/office/spreadsheetml/2009/9/main" objectType="CheckBox" checked="Checked" fmlaLink="$F$25" lockText="1" noThreeD="1"/>
</file>

<file path=xl/ctrlProps/ctrlProp31.xml><?xml version="1.0" encoding="utf-8"?>
<formControlPr xmlns="http://schemas.microsoft.com/office/spreadsheetml/2009/9/main" objectType="CheckBox" checked="Checked" fmlaLink="$F$26" lockText="1" noThreeD="1"/>
</file>

<file path=xl/ctrlProps/ctrlProp32.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7.xml><?xml version="1.0" encoding="utf-8"?>
<formControlPr xmlns="http://schemas.microsoft.com/office/spreadsheetml/2009/9/main" objectType="Spin" dx="15" fmlaLink="N$19" max="60" page="10" val="0"/>
</file>

<file path=xl/ctrlProps/ctrlProp38.xml><?xml version="1.0" encoding="utf-8"?>
<formControlPr xmlns="http://schemas.microsoft.com/office/spreadsheetml/2009/9/main" objectType="Button" lockText="1"/>
</file>

<file path=xl/ctrlProps/ctrlProp39.xml><?xml version="1.0" encoding="utf-8"?>
<formControlPr xmlns="http://schemas.microsoft.com/office/spreadsheetml/2009/9/main" objectType="Drop" dropLines="10" dropStyle="combo" dx="16" fmlaLink="$K$2" fmlaRange="Database!$C$22:$N$301" noThreeD="1" sel="5" val="4"/>
</file>

<file path=xl/ctrlProps/ctrlProp4.xml><?xml version="1.0" encoding="utf-8"?>
<formControlPr xmlns="http://schemas.microsoft.com/office/spreadsheetml/2009/9/main" objectType="Drop" dropLines="10" dropStyle="combo" dx="16" fmlaLink="$M$2" fmlaRange="Database!$C$22:$C$301" noThreeD="1" sel="6" val="3"/>
</file>

<file path=xl/ctrlProps/ctrlProp40.xml><?xml version="1.0" encoding="utf-8"?>
<formControlPr xmlns="http://schemas.microsoft.com/office/spreadsheetml/2009/9/main" objectType="Drop" dropLines="10" dropStyle="combo" dx="16" fmlaLink="$L$2" fmlaRange="Database!$C$22:$C$301" noThreeD="1" sel="8" val="0"/>
</file>

<file path=xl/ctrlProps/ctrlProp41.xml><?xml version="1.0" encoding="utf-8"?>
<formControlPr xmlns="http://schemas.microsoft.com/office/spreadsheetml/2009/9/main" objectType="Drop" dropLines="10" dropStyle="combo" dx="16" fmlaLink="$M$2" fmlaRange="Database!$C$22:$C$301" noThreeD="1" sel="98" val="97"/>
</file>

<file path=xl/ctrlProps/ctrlProp42.xml><?xml version="1.0" encoding="utf-8"?>
<formControlPr xmlns="http://schemas.microsoft.com/office/spreadsheetml/2009/9/main" objectType="Drop" dropLines="10" dropStyle="combo" dx="16" fmlaLink="$N$2" fmlaRange="Database!$C$22:$C$301" noThreeD="1" sel="1" val="0"/>
</file>

<file path=xl/ctrlProps/ctrlProp43.xml><?xml version="1.0" encoding="utf-8"?>
<formControlPr xmlns="http://schemas.microsoft.com/office/spreadsheetml/2009/9/main" objectType="Drop" dropLines="10" dropStyle="combo" dx="16" fmlaLink="$O$2" fmlaRange="Database!$C$22:$C$301" noThreeD="1" sel="2" val="0"/>
</file>

<file path=xl/ctrlProps/ctrlProp44.xml><?xml version="1.0" encoding="utf-8"?>
<formControlPr xmlns="http://schemas.microsoft.com/office/spreadsheetml/2009/9/main" objectType="Drop" dropLines="10" dropStyle="combo" dx="16" fmlaLink="$P$2" fmlaRange="Database!$C$22:$C$301" noThreeD="1" sel="6" val="0"/>
</file>

<file path=xl/ctrlProps/ctrlProp45.xml><?xml version="1.0" encoding="utf-8"?>
<formControlPr xmlns="http://schemas.microsoft.com/office/spreadsheetml/2009/9/main" objectType="Drop" dropLines="10" dropStyle="combo" dx="16" fmlaLink="$Q$2" fmlaRange="Database!$C$22:$C$301" noThreeD="1" sel="3" val="0"/>
</file>

<file path=xl/ctrlProps/ctrlProp46.xml><?xml version="1.0" encoding="utf-8"?>
<formControlPr xmlns="http://schemas.microsoft.com/office/spreadsheetml/2009/9/main" objectType="GBox" noThreeD="1"/>
</file>

<file path=xl/ctrlProps/ctrlProp47.xml><?xml version="1.0" encoding="utf-8"?>
<formControlPr xmlns="http://schemas.microsoft.com/office/spreadsheetml/2009/9/main" objectType="Radio" firstButton="1" fmlaLink="A21" lockText="1" noThreeD="1"/>
</file>

<file path=xl/ctrlProps/ctrlProp48.xml><?xml version="1.0" encoding="utf-8"?>
<formControlPr xmlns="http://schemas.microsoft.com/office/spreadsheetml/2009/9/main" objectType="Radio" checked="Checked" lockText="1" noThreeD="1"/>
</file>

<file path=xl/ctrlProps/ctrlProp49.xml><?xml version="1.0" encoding="utf-8"?>
<formControlPr xmlns="http://schemas.microsoft.com/office/spreadsheetml/2009/9/main" objectType="Drop" dropLines="5" dropStyle="combo" dx="16" fmlaLink="K12" fmlaRange="Distribution!$Z$3:$Z$7" noThreeD="1" sel="2" val="0"/>
</file>

<file path=xl/ctrlProps/ctrlProp5.xml><?xml version="1.0" encoding="utf-8"?>
<formControlPr xmlns="http://schemas.microsoft.com/office/spreadsheetml/2009/9/main" objectType="Drop" dropLines="10" dropStyle="combo" dx="16" fmlaLink="$N$2" fmlaRange="Database!$C$22:$C$301" noThreeD="1" sel="3" val="2"/>
</file>

<file path=xl/ctrlProps/ctrlProp50.xml><?xml version="1.0" encoding="utf-8"?>
<formControlPr xmlns="http://schemas.microsoft.com/office/spreadsheetml/2009/9/main" objectType="Button" lockText="1"/>
</file>

<file path=xl/ctrlProps/ctrlProp51.xml><?xml version="1.0" encoding="utf-8"?>
<formControlPr xmlns="http://schemas.microsoft.com/office/spreadsheetml/2009/9/main" objectType="Drop" dropLines="10" dropStyle="combo" dx="16" fmlaLink="E3" fmlaRange="Database!$C$22:$N$301" noThreeD="1" sel="8" val="4"/>
</file>

<file path=xl/ctrlProps/ctrlProp52.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6.xml><?xml version="1.0" encoding="utf-8"?>
<formControlPr xmlns="http://schemas.microsoft.com/office/spreadsheetml/2009/9/main" objectType="Drop" dropLines="10" dropStyle="combo" dx="16" fmlaLink="$O$2" fmlaRange="Database!$C$22:$C$301" noThreeD="1" sel="7" val="4"/>
</file>

<file path=xl/ctrlProps/ctrlProp60.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Drop" dropLines="10" dropStyle="combo" dx="16" fmlaLink="$P$2" fmlaRange="Database!$C$22:$C$301" noThreeD="1" sel="2" val="0"/>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Drop" dropLines="10" dropStyle="combo" dx="16" fmlaLink="$K$2" fmlaRange="Database!$C$22:$N$301" noThreeD="1" sel="62" val="60"/>
</file>

<file path=xl/ctrlProps/ctrlProp74.xml><?xml version="1.0" encoding="utf-8"?>
<formControlPr xmlns="http://schemas.microsoft.com/office/spreadsheetml/2009/9/main" objectType="Drop" dropLines="10" dropStyle="combo" dx="16" fmlaLink="$L$2" fmlaRange="Database!$C$22:$C$301" noThreeD="1" sel="103" val="97"/>
</file>

<file path=xl/ctrlProps/ctrlProp75.xml><?xml version="1.0" encoding="utf-8"?>
<formControlPr xmlns="http://schemas.microsoft.com/office/spreadsheetml/2009/9/main" objectType="Drop" dropLines="10" dropStyle="combo" dx="16" fmlaLink="$M$2" fmlaRange="Database!$C$22:$C$301" noThreeD="1" sel="31" val="28"/>
</file>

<file path=xl/ctrlProps/ctrlProp76.xml><?xml version="1.0" encoding="utf-8"?>
<formControlPr xmlns="http://schemas.microsoft.com/office/spreadsheetml/2009/9/main" objectType="Drop" dropLines="10" dropStyle="combo" dx="16" fmlaLink="$N$2" fmlaRange="Database!$C$22:$C$301" noThreeD="1" sel="1" val="0"/>
</file>

<file path=xl/ctrlProps/ctrlProp77.xml><?xml version="1.0" encoding="utf-8"?>
<formControlPr xmlns="http://schemas.microsoft.com/office/spreadsheetml/2009/9/main" objectType="Drop" dropLines="10" dropStyle="combo" dx="16" fmlaLink="$O$2" fmlaRange="Database!$C$22:$C$301" noThreeD="1" sel="2" val="0"/>
</file>

<file path=xl/ctrlProps/ctrlProp78.xml><?xml version="1.0" encoding="utf-8"?>
<formControlPr xmlns="http://schemas.microsoft.com/office/spreadsheetml/2009/9/main" objectType="Drop" dropLines="10" dropStyle="combo" dx="16" fmlaLink="$P$2" fmlaRange="Database!$C$22:$C$301" noThreeD="1" sel="3" val="0"/>
</file>

<file path=xl/ctrlProps/ctrlProp79.xml><?xml version="1.0" encoding="utf-8"?>
<formControlPr xmlns="http://schemas.microsoft.com/office/spreadsheetml/2009/9/main" objectType="Drop" dropLines="10" dropStyle="combo" dx="16" fmlaLink="$Q$2" fmlaRange="Database!$C$22:$C$301" noThreeD="1" sel="6" val="5"/>
</file>

<file path=xl/ctrlProps/ctrlProp8.xml><?xml version="1.0" encoding="utf-8"?>
<formControlPr xmlns="http://schemas.microsoft.com/office/spreadsheetml/2009/9/main" objectType="Drop" dropLines="10" dropStyle="combo" dx="16" fmlaLink="$Q$2" fmlaRange="Database!$C$22:$C$301" noThreeD="1" sel="5" val="2"/>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CheckBox" checked="Checked" fmlaLink="A3" lockText="1" noThreeD="1"/>
</file>

<file path=xl/ctrlProps/ctrlProp86.xml><?xml version="1.0" encoding="utf-8"?>
<formControlPr xmlns="http://schemas.microsoft.com/office/spreadsheetml/2009/9/main" objectType="CheckBox" fmlaLink="B3" lockText="1" noThreeD="1"/>
</file>

<file path=xl/ctrlProps/ctrlProp87.xml><?xml version="1.0" encoding="utf-8"?>
<formControlPr xmlns="http://schemas.microsoft.com/office/spreadsheetml/2009/9/main" objectType="CheckBox" fmlaLink="D3" lockText="1" noThreeD="1"/>
</file>

<file path=xl/ctrlProps/ctrlProp88.xml><?xml version="1.0" encoding="utf-8"?>
<formControlPr xmlns="http://schemas.microsoft.com/office/spreadsheetml/2009/9/main" objectType="CheckBox" fmlaLink="F3" lockText="1" noThreeD="1"/>
</file>

<file path=xl/ctrlProps/ctrlProp89.xml><?xml version="1.0" encoding="utf-8"?>
<formControlPr xmlns="http://schemas.microsoft.com/office/spreadsheetml/2009/9/main" objectType="CheckBox" checked="Checked" fmlaLink="A4" lockText="1" noThreeD="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CheckBox" checked="Checked" fmlaLink="A5" lockText="1" noThreeD="1"/>
</file>

<file path=xl/ctrlProps/ctrlProp91.xml><?xml version="1.0" encoding="utf-8"?>
<formControlPr xmlns="http://schemas.microsoft.com/office/spreadsheetml/2009/9/main" objectType="CheckBox" fmlaLink="B4" lockText="1" noThreeD="1"/>
</file>

<file path=xl/ctrlProps/ctrlProp92.xml><?xml version="1.0" encoding="utf-8"?>
<formControlPr xmlns="http://schemas.microsoft.com/office/spreadsheetml/2009/9/main" objectType="CheckBox" fmlaLink="D4" lockText="1" noThreeD="1"/>
</file>

<file path=xl/ctrlProps/ctrlProp93.xml><?xml version="1.0" encoding="utf-8"?>
<formControlPr xmlns="http://schemas.microsoft.com/office/spreadsheetml/2009/9/main" objectType="CheckBox" checked="Checked" fmlaLink="F4" lockText="1" noThreeD="1"/>
</file>

<file path=xl/ctrlProps/ctrlProp94.xml><?xml version="1.0" encoding="utf-8"?>
<formControlPr xmlns="http://schemas.microsoft.com/office/spreadsheetml/2009/9/main" objectType="CheckBox" fmlaLink="B5" lockText="1" noThreeD="1"/>
</file>

<file path=xl/ctrlProps/ctrlProp95.xml><?xml version="1.0" encoding="utf-8"?>
<formControlPr xmlns="http://schemas.microsoft.com/office/spreadsheetml/2009/9/main" objectType="CheckBox" fmlaLink="D5" lockText="1" noThreeD="1"/>
</file>

<file path=xl/ctrlProps/ctrlProp96.xml><?xml version="1.0" encoding="utf-8"?>
<formControlPr xmlns="http://schemas.microsoft.com/office/spreadsheetml/2009/9/main" objectType="CheckBox" fmlaLink="F5"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xml.rels><?xml version="1.0" encoding="UTF-8" standalone="yes"?>
<Relationships xmlns="http://schemas.openxmlformats.org/package/2006/relationships"><Relationship Id="rId1" Type="http://schemas.openxmlformats.org/officeDocument/2006/relationships/image" Target="../media/image4.png"/></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s>
</file>

<file path=xl/drawings/_rels/drawing19.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4.png"/></Relationships>
</file>

<file path=xl/drawings/_rels/drawing2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8.xml"/><Relationship Id="rId1" Type="http://schemas.openxmlformats.org/officeDocument/2006/relationships/chart" Target="../charts/chart17.xml"/></Relationships>
</file>

<file path=xl/drawings/_rels/drawing22.xml.rels><?xml version="1.0" encoding="UTF-8" standalone="yes"?>
<Relationships xmlns="http://schemas.openxmlformats.org/package/2006/relationships"><Relationship Id="rId1" Type="http://schemas.openxmlformats.org/officeDocument/2006/relationships/image" Target="../media/image4.png"/></Relationships>
</file>

<file path=xl/drawings/_rels/drawing23.xml.rels><?xml version="1.0" encoding="UTF-8" standalone="yes"?>
<Relationships xmlns="http://schemas.openxmlformats.org/package/2006/relationships"><Relationship Id="rId1" Type="http://schemas.openxmlformats.org/officeDocument/2006/relationships/image" Target="../media/image4.png"/></Relationships>
</file>

<file path=xl/drawings/_rels/drawing24.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4" Type="http://schemas.openxmlformats.org/officeDocument/2006/relationships/image" Target="../media/image4.png"/></Relationships>
</file>

<file path=xl/drawings/_rels/drawing25.xml.rels><?xml version="1.0" encoding="UTF-8" standalone="yes"?>
<Relationships xmlns="http://schemas.openxmlformats.org/package/2006/relationships"><Relationship Id="rId1" Type="http://schemas.openxmlformats.org/officeDocument/2006/relationships/image" Target="../media/image4.png"/></Relationships>
</file>

<file path=xl/drawings/_rels/drawing2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22.xml"/></Relationships>
</file>

<file path=xl/drawings/_rels/drawing27.xml.rels><?xml version="1.0" encoding="UTF-8" standalone="yes"?>
<Relationships xmlns="http://schemas.openxmlformats.org/package/2006/relationships"><Relationship Id="rId1" Type="http://schemas.openxmlformats.org/officeDocument/2006/relationships/image" Target="../media/image4.png"/></Relationships>
</file>

<file path=xl/drawings/_rels/drawing2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8" Type="http://schemas.openxmlformats.org/officeDocument/2006/relationships/chart" Target="../charts/chart10.xml"/><Relationship Id="rId13" Type="http://schemas.openxmlformats.org/officeDocument/2006/relationships/image" Target="../media/image4.png"/><Relationship Id="rId3" Type="http://schemas.openxmlformats.org/officeDocument/2006/relationships/chart" Target="../charts/chart5.xml"/><Relationship Id="rId7" Type="http://schemas.openxmlformats.org/officeDocument/2006/relationships/chart" Target="../charts/chart9.xml"/><Relationship Id="rId12" Type="http://schemas.openxmlformats.org/officeDocument/2006/relationships/chart" Target="../charts/chart14.xml"/><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chart" Target="../charts/chart8.xml"/><Relationship Id="rId11" Type="http://schemas.openxmlformats.org/officeDocument/2006/relationships/chart" Target="../charts/chart13.xml"/><Relationship Id="rId5" Type="http://schemas.openxmlformats.org/officeDocument/2006/relationships/chart" Target="../charts/chart7.xml"/><Relationship Id="rId10" Type="http://schemas.openxmlformats.org/officeDocument/2006/relationships/chart" Target="../charts/chart12.xml"/><Relationship Id="rId4" Type="http://schemas.openxmlformats.org/officeDocument/2006/relationships/chart" Target="../charts/chart6.xml"/><Relationship Id="rId9" Type="http://schemas.openxmlformats.org/officeDocument/2006/relationships/chart" Target="../charts/chart11.xml"/></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571500</xdr:colOff>
      <xdr:row>29</xdr:row>
      <xdr:rowOff>47625</xdr:rowOff>
    </xdr:to>
    <xdr:pic>
      <xdr:nvPicPr>
        <xdr:cNvPr id="5278387" name="Picture 27" descr="Titula3">
          <a:extLst>
            <a:ext uri="{FF2B5EF4-FFF2-40B4-BE49-F238E27FC236}">
              <a16:creationId xmlns:a16="http://schemas.microsoft.com/office/drawing/2014/main" id="{00000000-0008-0000-0000-0000B38A5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0"/>
          <a:ext cx="9286875" cy="8267700"/>
        </a:xfrm>
        <a:prstGeom prst="rect">
          <a:avLst/>
        </a:prstGeom>
        <a:noFill/>
        <a:ln w="9525">
          <a:noFill/>
          <a:miter lim="800000"/>
          <a:headEnd/>
          <a:tailEnd/>
        </a:ln>
      </xdr:spPr>
    </xdr:pic>
    <xdr:clientData/>
  </xdr:twoCellAnchor>
  <xdr:twoCellAnchor>
    <xdr:from>
      <xdr:col>0</xdr:col>
      <xdr:colOff>209550</xdr:colOff>
      <xdr:row>7</xdr:row>
      <xdr:rowOff>85725</xdr:rowOff>
    </xdr:from>
    <xdr:to>
      <xdr:col>10</xdr:col>
      <xdr:colOff>219075</xdr:colOff>
      <xdr:row>11</xdr:row>
      <xdr:rowOff>209550</xdr:rowOff>
    </xdr:to>
    <xdr:sp macro="" textlink="">
      <xdr:nvSpPr>
        <xdr:cNvPr id="18460" name="WordArt 28">
          <a:extLst>
            <a:ext uri="{FF2B5EF4-FFF2-40B4-BE49-F238E27FC236}">
              <a16:creationId xmlns:a16="http://schemas.microsoft.com/office/drawing/2014/main" id="{00000000-0008-0000-0000-00001C480000}"/>
            </a:ext>
          </a:extLst>
        </xdr:cNvPr>
        <xdr:cNvSpPr>
          <a:spLocks noChangeArrowheads="1" noChangeShapeType="1" noTextEdit="1"/>
        </xdr:cNvSpPr>
      </xdr:nvSpPr>
      <xdr:spPr bwMode="auto">
        <a:xfrm rot="-2297207">
          <a:off x="209550" y="2228850"/>
          <a:ext cx="5819775" cy="1228725"/>
        </a:xfrm>
        <a:prstGeom prst="rect">
          <a:avLst/>
        </a:prstGeom>
      </xdr:spPr>
      <xdr:txBody>
        <a:bodyPr wrap="none" fromWordArt="1">
          <a:prstTxWarp prst="textWave2">
            <a:avLst>
              <a:gd name="adj1" fmla="val 13005"/>
              <a:gd name="adj2" fmla="val 0"/>
            </a:avLst>
          </a:prstTxWarp>
        </a:bodyPr>
        <a:lstStyle/>
        <a:p>
          <a:pPr algn="ctr" rtl="0"/>
          <a:r>
            <a:rPr lang="pt-BR" sz="3600" b="1" kern="10" spc="0">
              <a:ln w="38100">
                <a:solidFill>
                  <a:srgbClr val="F4EE00"/>
                </a:solidFill>
                <a:round/>
                <a:headEnd/>
                <a:tailEnd/>
              </a:ln>
              <a:solidFill>
                <a:srgbClr val="000080"/>
              </a:solidFill>
              <a:effectLst>
                <a:outerShdw dist="45791" dir="2021404" algn="ctr" rotWithShape="0">
                  <a:srgbClr val="C0C0C0"/>
                </a:outerShdw>
              </a:effectLst>
              <a:latin typeface="Bookman Old Style"/>
            </a:rPr>
            <a:t>CurTiPot</a:t>
          </a:r>
        </a:p>
      </xdr:txBody>
    </xdr:sp>
    <xdr:clientData/>
  </xdr:twoCellAnchor>
  <xdr:twoCellAnchor>
    <xdr:from>
      <xdr:col>8</xdr:col>
      <xdr:colOff>560854</xdr:colOff>
      <xdr:row>19</xdr:row>
      <xdr:rowOff>23110</xdr:rowOff>
    </xdr:from>
    <xdr:to>
      <xdr:col>16</xdr:col>
      <xdr:colOff>189379</xdr:colOff>
      <xdr:row>21</xdr:row>
      <xdr:rowOff>268940</xdr:rowOff>
    </xdr:to>
    <xdr:sp macro="" textlink="">
      <xdr:nvSpPr>
        <xdr:cNvPr id="18461" name="Text Box 29">
          <a:extLst>
            <a:ext uri="{FF2B5EF4-FFF2-40B4-BE49-F238E27FC236}">
              <a16:creationId xmlns:a16="http://schemas.microsoft.com/office/drawing/2014/main" id="{00000000-0008-0000-0000-00001D480000}"/>
            </a:ext>
          </a:extLst>
        </xdr:cNvPr>
        <xdr:cNvSpPr txBox="1">
          <a:spLocks noChangeArrowheads="1"/>
        </xdr:cNvSpPr>
      </xdr:nvSpPr>
      <xdr:spPr bwMode="auto">
        <a:xfrm>
          <a:off x="5222501" y="5547610"/>
          <a:ext cx="4290172" cy="806124"/>
        </a:xfrm>
        <a:prstGeom prst="rect">
          <a:avLst/>
        </a:prstGeom>
        <a:noFill/>
        <a:ln w="9525">
          <a:noFill/>
          <a:miter lim="800000"/>
          <a:headEnd/>
          <a:tailEnd/>
        </a:ln>
        <a:effectLst/>
      </xdr:spPr>
      <xdr:txBody>
        <a:bodyPr vertOverflow="clip" wrap="square" lIns="36576" tIns="32004" rIns="36576" bIns="0" anchor="t" upright="1"/>
        <a:lstStyle/>
        <a:p>
          <a:pPr algn="ctr" rtl="1">
            <a:defRPr sz="1000"/>
          </a:pPr>
          <a:r>
            <a:rPr lang="pt-BR" sz="1600" b="1" i="0" strike="noStrike">
              <a:solidFill>
                <a:srgbClr val="FFFF99"/>
              </a:solidFill>
              <a:latin typeface="Arial"/>
              <a:cs typeface="Arial"/>
            </a:rPr>
            <a:t> Version 4.2.3</a:t>
          </a:r>
          <a:r>
            <a:rPr lang="pt-BR" sz="1600" b="1" i="0" strike="noStrike" baseline="0">
              <a:solidFill>
                <a:srgbClr val="FFFF99"/>
              </a:solidFill>
              <a:latin typeface="Arial"/>
              <a:cs typeface="Arial"/>
            </a:rPr>
            <a:t> </a:t>
          </a:r>
          <a:br>
            <a:rPr lang="pt-BR" sz="1600" b="1" i="0" strike="noStrike">
              <a:solidFill>
                <a:srgbClr val="FFFF99"/>
              </a:solidFill>
              <a:latin typeface="Arial"/>
              <a:cs typeface="Arial"/>
            </a:rPr>
          </a:br>
          <a:r>
            <a:rPr lang="pt-BR" sz="1600" b="0" i="0" strike="noStrike">
              <a:solidFill>
                <a:srgbClr val="FFFF99"/>
              </a:solidFill>
              <a:latin typeface="Arial"/>
              <a:cs typeface="Arial"/>
            </a:rPr>
            <a:t>March/2016</a:t>
          </a:r>
          <a:br>
            <a:rPr lang="pt-BR" sz="1600" b="0" i="0" strike="noStrike">
              <a:solidFill>
                <a:srgbClr val="FFFF99"/>
              </a:solidFill>
              <a:latin typeface="Arial"/>
              <a:cs typeface="Arial"/>
            </a:rPr>
          </a:br>
          <a:r>
            <a:rPr lang="pt-BR" sz="1400" b="0" i="0" strike="noStrike">
              <a:solidFill>
                <a:srgbClr val="FFFF99"/>
              </a:solidFill>
              <a:latin typeface="Arial"/>
              <a:cs typeface="Arial"/>
            </a:rPr>
            <a:t>for Microsoft Excel</a:t>
          </a:r>
          <a:r>
            <a:rPr lang="pt-BR" sz="1400" b="0" i="0" strike="noStrike" baseline="30000">
              <a:solidFill>
                <a:srgbClr val="FFFF99"/>
              </a:solidFill>
              <a:latin typeface="Arial"/>
              <a:cs typeface="Arial"/>
            </a:rPr>
            <a:t>® </a:t>
          </a:r>
          <a:endParaRPr lang="pt-BR" sz="1600" b="0" i="0" strike="noStrike">
            <a:solidFill>
              <a:srgbClr val="FFFF99"/>
            </a:solidFill>
            <a:latin typeface="Arial"/>
            <a:cs typeface="Arial"/>
          </a:endParaRPr>
        </a:p>
        <a:p>
          <a:pPr algn="ctr" rtl="1">
            <a:defRPr sz="1000"/>
          </a:pPr>
          <a:endParaRPr lang="pt-BR" sz="2000" b="0" i="0" strike="noStrike">
            <a:solidFill>
              <a:srgbClr val="F4EE00"/>
            </a:solidFill>
            <a:latin typeface="Arial"/>
            <a:cs typeface="Arial"/>
          </a:endParaRPr>
        </a:p>
        <a:p>
          <a:pPr algn="ctr" rtl="1">
            <a:defRPr sz="1000"/>
          </a:pPr>
          <a:endParaRPr lang="pt-BR" sz="2000" b="0" i="0" strike="noStrike">
            <a:solidFill>
              <a:srgbClr val="F4EE00"/>
            </a:solidFill>
            <a:latin typeface="Arial"/>
            <a:cs typeface="Arial"/>
          </a:endParaRPr>
        </a:p>
      </xdr:txBody>
    </xdr:sp>
    <xdr:clientData/>
  </xdr:twoCellAnchor>
  <xdr:twoCellAnchor>
    <xdr:from>
      <xdr:col>13</xdr:col>
      <xdr:colOff>228600</xdr:colOff>
      <xdr:row>5</xdr:row>
      <xdr:rowOff>173691</xdr:rowOff>
    </xdr:from>
    <xdr:to>
      <xdr:col>16</xdr:col>
      <xdr:colOff>390525</xdr:colOff>
      <xdr:row>6</xdr:row>
      <xdr:rowOff>221316</xdr:rowOff>
    </xdr:to>
    <xdr:sp macro="" textlink="">
      <xdr:nvSpPr>
        <xdr:cNvPr id="1814802" name="Text Box 35">
          <a:extLst>
            <a:ext uri="{FF2B5EF4-FFF2-40B4-BE49-F238E27FC236}">
              <a16:creationId xmlns:a16="http://schemas.microsoft.com/office/drawing/2014/main" id="{00000000-0008-0000-0000-000012B11B00}"/>
            </a:ext>
          </a:extLst>
        </xdr:cNvPr>
        <xdr:cNvSpPr txBox="1">
          <a:spLocks noChangeArrowheads="1"/>
        </xdr:cNvSpPr>
      </xdr:nvSpPr>
      <xdr:spPr bwMode="auto">
        <a:xfrm>
          <a:off x="7803776" y="1776132"/>
          <a:ext cx="1910043" cy="327772"/>
        </a:xfrm>
        <a:prstGeom prst="rect">
          <a:avLst/>
        </a:prstGeom>
        <a:gradFill rotWithShape="0">
          <a:gsLst>
            <a:gs pos="0">
              <a:srgbClr val="001963"/>
            </a:gs>
            <a:gs pos="50000">
              <a:srgbClr val="0033CC"/>
            </a:gs>
            <a:gs pos="100000">
              <a:srgbClr val="001963"/>
            </a:gs>
          </a:gsLst>
          <a:lin ang="5400000" scaled="1"/>
        </a:gradFill>
        <a:ln w="9525">
          <a:solidFill>
            <a:srgbClr val="000000"/>
          </a:solidFill>
          <a:miter lim="800000"/>
          <a:headEnd/>
          <a:tailEnd/>
        </a:ln>
      </xdr:spPr>
      <xdr:txBody>
        <a:bodyPr vertOverflow="clip" wrap="square" lIns="45720" tIns="32004" rIns="45720" bIns="0" anchor="t" upright="1"/>
        <a:lstStyle/>
        <a:p>
          <a:pPr algn="ctr" rtl="1">
            <a:defRPr sz="1000"/>
          </a:pPr>
          <a:r>
            <a:rPr lang="pt-BR" sz="1600" b="0" i="0" strike="noStrike">
              <a:solidFill>
                <a:srgbClr val="F4EE00"/>
              </a:solidFill>
              <a:latin typeface="Bookman Old Style"/>
            </a:rPr>
            <a:t>Features</a:t>
          </a:r>
        </a:p>
      </xdr:txBody>
    </xdr:sp>
    <xdr:clientData/>
  </xdr:twoCellAnchor>
  <xdr:twoCellAnchor>
    <xdr:from>
      <xdr:col>13</xdr:col>
      <xdr:colOff>228601</xdr:colOff>
      <xdr:row>11</xdr:row>
      <xdr:rowOff>31937</xdr:rowOff>
    </xdr:from>
    <xdr:to>
      <xdr:col>16</xdr:col>
      <xdr:colOff>392207</xdr:colOff>
      <xdr:row>12</xdr:row>
      <xdr:rowOff>89087</xdr:rowOff>
    </xdr:to>
    <xdr:sp macro="" textlink="">
      <xdr:nvSpPr>
        <xdr:cNvPr id="1814803" name="Text Box 36">
          <a:extLst>
            <a:ext uri="{FF2B5EF4-FFF2-40B4-BE49-F238E27FC236}">
              <a16:creationId xmlns:a16="http://schemas.microsoft.com/office/drawing/2014/main" id="{00000000-0008-0000-0000-000013B11B00}"/>
            </a:ext>
          </a:extLst>
        </xdr:cNvPr>
        <xdr:cNvSpPr txBox="1">
          <a:spLocks noChangeArrowheads="1"/>
        </xdr:cNvSpPr>
      </xdr:nvSpPr>
      <xdr:spPr bwMode="auto">
        <a:xfrm>
          <a:off x="7803777" y="3315261"/>
          <a:ext cx="1911724" cy="337297"/>
        </a:xfrm>
        <a:prstGeom prst="rect">
          <a:avLst/>
        </a:prstGeom>
        <a:gradFill rotWithShape="0">
          <a:gsLst>
            <a:gs pos="0">
              <a:srgbClr val="001963"/>
            </a:gs>
            <a:gs pos="50000">
              <a:srgbClr val="0033CC"/>
            </a:gs>
            <a:gs pos="100000">
              <a:srgbClr val="001963"/>
            </a:gs>
          </a:gsLst>
          <a:lin ang="5400000" scaled="1"/>
        </a:gradFill>
        <a:ln w="9525">
          <a:solidFill>
            <a:srgbClr val="000000"/>
          </a:solidFill>
          <a:miter lim="800000"/>
          <a:headEnd/>
          <a:tailEnd/>
        </a:ln>
      </xdr:spPr>
      <xdr:txBody>
        <a:bodyPr vertOverflow="clip" wrap="square" lIns="45720" tIns="32004" rIns="45720" bIns="0" anchor="t" upright="1"/>
        <a:lstStyle/>
        <a:p>
          <a:pPr algn="ctr" rtl="1">
            <a:defRPr sz="1000"/>
          </a:pPr>
          <a:r>
            <a:rPr lang="pt-BR" sz="1600" b="0" i="0" strike="noStrike">
              <a:solidFill>
                <a:srgbClr val="F4EE00"/>
              </a:solidFill>
              <a:latin typeface="Bookman Old Style"/>
            </a:rPr>
            <a:t>Installation</a:t>
          </a:r>
        </a:p>
      </xdr:txBody>
    </xdr:sp>
    <xdr:clientData/>
  </xdr:twoCellAnchor>
  <xdr:twoCellAnchor>
    <xdr:from>
      <xdr:col>13</xdr:col>
      <xdr:colOff>228600</xdr:colOff>
      <xdr:row>17</xdr:row>
      <xdr:rowOff>5043</xdr:rowOff>
    </xdr:from>
    <xdr:to>
      <xdr:col>16</xdr:col>
      <xdr:colOff>390525</xdr:colOff>
      <xdr:row>18</xdr:row>
      <xdr:rowOff>62193</xdr:rowOff>
    </xdr:to>
    <xdr:sp macro="" textlink="">
      <xdr:nvSpPr>
        <xdr:cNvPr id="1814804" name="Text Box 37">
          <a:extLst>
            <a:ext uri="{FF2B5EF4-FFF2-40B4-BE49-F238E27FC236}">
              <a16:creationId xmlns:a16="http://schemas.microsoft.com/office/drawing/2014/main" id="{00000000-0008-0000-0000-000014B11B00}"/>
            </a:ext>
          </a:extLst>
        </xdr:cNvPr>
        <xdr:cNvSpPr txBox="1">
          <a:spLocks noChangeArrowheads="1"/>
        </xdr:cNvSpPr>
      </xdr:nvSpPr>
      <xdr:spPr bwMode="auto">
        <a:xfrm>
          <a:off x="7803776" y="4969249"/>
          <a:ext cx="1910043" cy="337297"/>
        </a:xfrm>
        <a:prstGeom prst="rect">
          <a:avLst/>
        </a:prstGeom>
        <a:gradFill rotWithShape="0">
          <a:gsLst>
            <a:gs pos="0">
              <a:srgbClr val="001963"/>
            </a:gs>
            <a:gs pos="50000">
              <a:srgbClr val="0033CC"/>
            </a:gs>
            <a:gs pos="100000">
              <a:srgbClr val="001963"/>
            </a:gs>
          </a:gsLst>
          <a:lin ang="5400000" scaled="1"/>
        </a:gradFill>
        <a:ln w="9525">
          <a:solidFill>
            <a:srgbClr val="000000"/>
          </a:solidFill>
          <a:miter lim="800000"/>
          <a:headEnd/>
          <a:tailEnd/>
        </a:ln>
      </xdr:spPr>
      <xdr:txBody>
        <a:bodyPr vertOverflow="clip" wrap="square" lIns="45720" tIns="32004" rIns="45720" bIns="0" anchor="t" upright="1"/>
        <a:lstStyle/>
        <a:p>
          <a:pPr algn="ctr" rtl="1">
            <a:defRPr sz="1000"/>
          </a:pPr>
          <a:r>
            <a:rPr lang="pt-BR" sz="1600" b="0" i="0" strike="noStrike">
              <a:solidFill>
                <a:srgbClr val="F4EE00"/>
              </a:solidFill>
              <a:latin typeface="Bookman Old Style"/>
            </a:rPr>
            <a:t>Remarks</a:t>
          </a:r>
        </a:p>
      </xdr:txBody>
    </xdr:sp>
    <xdr:clientData/>
  </xdr:twoCellAnchor>
  <xdr:twoCellAnchor>
    <xdr:from>
      <xdr:col>13</xdr:col>
      <xdr:colOff>228600</xdr:colOff>
      <xdr:row>22</xdr:row>
      <xdr:rowOff>271182</xdr:rowOff>
    </xdr:from>
    <xdr:to>
      <xdr:col>16</xdr:col>
      <xdr:colOff>390525</xdr:colOff>
      <xdr:row>24</xdr:row>
      <xdr:rowOff>48185</xdr:rowOff>
    </xdr:to>
    <xdr:sp macro="" textlink="">
      <xdr:nvSpPr>
        <xdr:cNvPr id="1814805" name="Text Box 38">
          <a:extLst>
            <a:ext uri="{FF2B5EF4-FFF2-40B4-BE49-F238E27FC236}">
              <a16:creationId xmlns:a16="http://schemas.microsoft.com/office/drawing/2014/main" id="{00000000-0008-0000-0000-000015B11B00}"/>
            </a:ext>
          </a:extLst>
        </xdr:cNvPr>
        <xdr:cNvSpPr txBox="1">
          <a:spLocks noChangeArrowheads="1"/>
        </xdr:cNvSpPr>
      </xdr:nvSpPr>
      <xdr:spPr bwMode="auto">
        <a:xfrm>
          <a:off x="7803776" y="6636123"/>
          <a:ext cx="1910043" cy="337297"/>
        </a:xfrm>
        <a:prstGeom prst="rect">
          <a:avLst/>
        </a:prstGeom>
        <a:gradFill rotWithShape="0">
          <a:gsLst>
            <a:gs pos="0">
              <a:srgbClr val="001963"/>
            </a:gs>
            <a:gs pos="50000">
              <a:srgbClr val="0033CC"/>
            </a:gs>
            <a:gs pos="100000">
              <a:srgbClr val="001963"/>
            </a:gs>
          </a:gsLst>
          <a:lin ang="5400000" scaled="1"/>
        </a:gradFill>
        <a:ln w="9525">
          <a:solidFill>
            <a:srgbClr val="000000"/>
          </a:solidFill>
          <a:miter lim="800000"/>
          <a:headEnd/>
          <a:tailEnd/>
        </a:ln>
      </xdr:spPr>
      <xdr:txBody>
        <a:bodyPr vertOverflow="clip" wrap="square" lIns="45720" tIns="32004" rIns="45720" bIns="0" anchor="t" upright="1"/>
        <a:lstStyle/>
        <a:p>
          <a:pPr algn="ctr" rtl="1">
            <a:defRPr sz="1000"/>
          </a:pPr>
          <a:r>
            <a:rPr lang="pt-BR" sz="1600" b="0" i="0" strike="noStrike">
              <a:solidFill>
                <a:srgbClr val="F4EE00"/>
              </a:solidFill>
              <a:latin typeface="Bookman Old Style"/>
            </a:rPr>
            <a:t>Fast Start</a:t>
          </a:r>
        </a:p>
      </xdr:txBody>
    </xdr:sp>
    <xdr:clientData/>
  </xdr:twoCellAnchor>
  <xdr:twoCellAnchor>
    <xdr:from>
      <xdr:col>0</xdr:col>
      <xdr:colOff>9525</xdr:colOff>
      <xdr:row>3</xdr:row>
      <xdr:rowOff>257175</xdr:rowOff>
    </xdr:from>
    <xdr:to>
      <xdr:col>16</xdr:col>
      <xdr:colOff>371475</xdr:colOff>
      <xdr:row>18</xdr:row>
      <xdr:rowOff>190500</xdr:rowOff>
    </xdr:to>
    <xdr:sp macro="" textlink="">
      <xdr:nvSpPr>
        <xdr:cNvPr id="5278394" name="Freeform 57">
          <a:extLst>
            <a:ext uri="{FF2B5EF4-FFF2-40B4-BE49-F238E27FC236}">
              <a16:creationId xmlns:a16="http://schemas.microsoft.com/office/drawing/2014/main" id="{00000000-0008-0000-0000-0000BA8A5000}"/>
            </a:ext>
          </a:extLst>
        </xdr:cNvPr>
        <xdr:cNvSpPr>
          <a:spLocks/>
        </xdr:cNvSpPr>
      </xdr:nvSpPr>
      <xdr:spPr bwMode="auto">
        <a:xfrm>
          <a:off x="9525" y="1295400"/>
          <a:ext cx="9658350" cy="4076700"/>
        </a:xfrm>
        <a:custGeom>
          <a:avLst/>
          <a:gdLst>
            <a:gd name="T0" fmla="*/ 2147483647 w 1009"/>
            <a:gd name="T1" fmla="*/ 2147483647 h 442"/>
            <a:gd name="T2" fmla="*/ 2147483647 w 1009"/>
            <a:gd name="T3" fmla="*/ 2147483647 h 442"/>
            <a:gd name="T4" fmla="*/ 2147483647 w 1009"/>
            <a:gd name="T5" fmla="*/ 2147483647 h 442"/>
            <a:gd name="T6" fmla="*/ 0 w 1009"/>
            <a:gd name="T7" fmla="*/ 2147483647 h 442"/>
            <a:gd name="T8" fmla="*/ 0 60000 65536"/>
            <a:gd name="T9" fmla="*/ 0 60000 65536"/>
            <a:gd name="T10" fmla="*/ 0 60000 65536"/>
            <a:gd name="T11" fmla="*/ 0 60000 65536"/>
            <a:gd name="T12" fmla="*/ 0 w 1009"/>
            <a:gd name="T13" fmla="*/ 0 h 442"/>
            <a:gd name="T14" fmla="*/ 1009 w 1009"/>
            <a:gd name="T15" fmla="*/ 442 h 442"/>
          </a:gdLst>
          <a:ahLst/>
          <a:cxnLst>
            <a:cxn ang="T8">
              <a:pos x="T0" y="T1"/>
            </a:cxn>
            <a:cxn ang="T9">
              <a:pos x="T2" y="T3"/>
            </a:cxn>
            <a:cxn ang="T10">
              <a:pos x="T4" y="T5"/>
            </a:cxn>
            <a:cxn ang="T11">
              <a:pos x="T6" y="T7"/>
            </a:cxn>
          </a:cxnLst>
          <a:rect l="T12" t="T13" r="T14" b="T15"/>
          <a:pathLst>
            <a:path w="1009" h="442">
              <a:moveTo>
                <a:pt x="1009" y="16"/>
              </a:moveTo>
              <a:cubicBezTo>
                <a:pt x="943" y="23"/>
                <a:pt x="741" y="0"/>
                <a:pt x="613" y="60"/>
              </a:cubicBezTo>
              <a:cubicBezTo>
                <a:pt x="485" y="120"/>
                <a:pt x="342" y="316"/>
                <a:pt x="240" y="379"/>
              </a:cubicBezTo>
              <a:cubicBezTo>
                <a:pt x="138" y="442"/>
                <a:pt x="50" y="424"/>
                <a:pt x="0" y="436"/>
              </a:cubicBezTo>
            </a:path>
          </a:pathLst>
        </a:custGeom>
        <a:noFill/>
        <a:ln w="120650">
          <a:pattFill prst="pct80">
            <a:fgClr>
              <a:srgbClr val="00008A"/>
            </a:fgClr>
            <a:bgClr>
              <a:srgbClr val="FFFFFF"/>
            </a:bgClr>
          </a:pattFill>
          <a:round/>
          <a:headEnd type="stealth" w="med" len="med"/>
          <a:tailEnd/>
        </a:ln>
      </xdr:spPr>
    </xdr:sp>
    <xdr:clientData/>
  </xdr:twoCellAnchor>
  <xdr:twoCellAnchor>
    <xdr:from>
      <xdr:col>0</xdr:col>
      <xdr:colOff>38100</xdr:colOff>
      <xdr:row>18</xdr:row>
      <xdr:rowOff>238125</xdr:rowOff>
    </xdr:from>
    <xdr:to>
      <xdr:col>5</xdr:col>
      <xdr:colOff>552450</xdr:colOff>
      <xdr:row>21</xdr:row>
      <xdr:rowOff>190500</xdr:rowOff>
    </xdr:to>
    <xdr:sp macro="" textlink="">
      <xdr:nvSpPr>
        <xdr:cNvPr id="18494" name="Text Box 62">
          <a:extLst>
            <a:ext uri="{FF2B5EF4-FFF2-40B4-BE49-F238E27FC236}">
              <a16:creationId xmlns:a16="http://schemas.microsoft.com/office/drawing/2014/main" id="{00000000-0008-0000-0000-00003E480000}"/>
            </a:ext>
          </a:extLst>
        </xdr:cNvPr>
        <xdr:cNvSpPr txBox="1">
          <a:spLocks noChangeArrowheads="1"/>
        </xdr:cNvSpPr>
      </xdr:nvSpPr>
      <xdr:spPr bwMode="auto">
        <a:xfrm>
          <a:off x="38100" y="5419725"/>
          <a:ext cx="3419475" cy="781050"/>
        </a:xfrm>
        <a:prstGeom prst="rect">
          <a:avLst/>
        </a:prstGeom>
        <a:noFill/>
        <a:ln w="9525">
          <a:noFill/>
          <a:miter lim="800000"/>
          <a:headEnd/>
          <a:tailEnd/>
        </a:ln>
        <a:effectLst/>
      </xdr:spPr>
      <xdr:txBody>
        <a:bodyPr vertOverflow="clip" wrap="square" lIns="36576" tIns="32004" rIns="36576" bIns="0" anchor="t" upright="1"/>
        <a:lstStyle/>
        <a:p>
          <a:pPr algn="ctr" rtl="0">
            <a:defRPr sz="1000"/>
          </a:pPr>
          <a:r>
            <a:rPr lang="pt-BR" sz="1600" b="0" i="0" strike="noStrike">
              <a:solidFill>
                <a:srgbClr val="FFFF99"/>
              </a:solidFill>
              <a:latin typeface="Arial"/>
              <a:cs typeface="Arial"/>
            </a:rPr>
            <a:t>Copyright © 1992 - 2016</a:t>
          </a:r>
        </a:p>
        <a:p>
          <a:pPr algn="ctr" rtl="0">
            <a:defRPr sz="1000"/>
          </a:pPr>
          <a:r>
            <a:rPr lang="pt-BR" sz="1600" b="0" i="0" strike="noStrike">
              <a:solidFill>
                <a:srgbClr val="FFFF99"/>
              </a:solidFill>
              <a:latin typeface="Arial"/>
              <a:cs typeface="Arial"/>
            </a:rPr>
            <a:t>Prof. Ivano G.R. Gutz</a:t>
          </a:r>
          <a:endParaRPr lang="pt-BR" sz="1600" b="1" i="0" strike="noStrike">
            <a:solidFill>
              <a:srgbClr val="FFFF99"/>
            </a:solidFill>
            <a:latin typeface="Arial"/>
            <a:cs typeface="Arial"/>
          </a:endParaRPr>
        </a:p>
        <a:p>
          <a:pPr algn="ctr" rtl="0">
            <a:defRPr sz="1000"/>
          </a:pPr>
          <a:r>
            <a:rPr lang="pt-BR" sz="1400" b="1" i="0" strike="noStrike">
              <a:solidFill>
                <a:srgbClr val="FFFF99"/>
              </a:solidFill>
              <a:latin typeface="Arial"/>
              <a:cs typeface="Arial"/>
            </a:rPr>
            <a:t>gutz@iq.usp.br</a:t>
          </a:r>
          <a:endParaRPr lang="pt-BR" sz="1000" b="0" i="0" strike="noStrike">
            <a:solidFill>
              <a:srgbClr val="FFFF99"/>
            </a:solidFill>
            <a:latin typeface="Arial"/>
            <a:cs typeface="Arial"/>
          </a:endParaRPr>
        </a:p>
        <a:p>
          <a:pPr algn="ctr" rtl="0">
            <a:defRPr sz="1000"/>
          </a:pPr>
          <a:endParaRPr lang="pt-BR" sz="1000" b="0" i="0" strike="noStrike">
            <a:solidFill>
              <a:srgbClr val="FFFF99"/>
            </a:solidFill>
            <a:latin typeface="Arial"/>
            <a:cs typeface="Arial"/>
          </a:endParaRPr>
        </a:p>
      </xdr:txBody>
    </xdr:sp>
    <xdr:clientData/>
  </xdr:twoCellAnchor>
  <xdr:twoCellAnchor>
    <xdr:from>
      <xdr:col>7</xdr:col>
      <xdr:colOff>281828</xdr:colOff>
      <xdr:row>24</xdr:row>
      <xdr:rowOff>143436</xdr:rowOff>
    </xdr:from>
    <xdr:to>
      <xdr:col>15</xdr:col>
      <xdr:colOff>13447</xdr:colOff>
      <xdr:row>26</xdr:row>
      <xdr:rowOff>114861</xdr:rowOff>
    </xdr:to>
    <xdr:sp macro="" textlink="">
      <xdr:nvSpPr>
        <xdr:cNvPr id="18495" name="Text Box 63">
          <a:extLst>
            <a:ext uri="{FF2B5EF4-FFF2-40B4-BE49-F238E27FC236}">
              <a16:creationId xmlns:a16="http://schemas.microsoft.com/office/drawing/2014/main" id="{00000000-0008-0000-0000-00003F480000}"/>
            </a:ext>
          </a:extLst>
        </xdr:cNvPr>
        <xdr:cNvSpPr txBox="1">
          <a:spLocks noChangeArrowheads="1"/>
        </xdr:cNvSpPr>
      </xdr:nvSpPr>
      <xdr:spPr bwMode="auto">
        <a:xfrm>
          <a:off x="4360769" y="7068671"/>
          <a:ext cx="4393266" cy="531719"/>
        </a:xfrm>
        <a:prstGeom prst="rect">
          <a:avLst/>
        </a:prstGeom>
        <a:noFill/>
        <a:ln w="9525">
          <a:noFill/>
          <a:miter lim="800000"/>
          <a:headEnd/>
          <a:tailEnd/>
        </a:ln>
        <a:effectLst/>
      </xdr:spPr>
      <xdr:txBody>
        <a:bodyPr vertOverflow="clip" wrap="square" lIns="36576" tIns="32004" rIns="36576" bIns="0" anchor="t" upright="1"/>
        <a:lstStyle/>
        <a:p>
          <a:pPr algn="ctr" rtl="0">
            <a:defRPr sz="1000"/>
          </a:pPr>
          <a:r>
            <a:rPr lang="pt-BR" sz="1600" b="1" i="0" strike="noStrike">
              <a:solidFill>
                <a:srgbClr val="FFFF99"/>
              </a:solidFill>
              <a:latin typeface="Arial Narrow"/>
            </a:rPr>
            <a:t>http://www.iq.usp.br/gutz/Curtipot_.html</a:t>
          </a:r>
        </a:p>
      </xdr:txBody>
    </xdr:sp>
    <xdr:clientData/>
  </xdr:twoCellAnchor>
  <xdr:twoCellAnchor editAs="oneCell">
    <xdr:from>
      <xdr:col>10</xdr:col>
      <xdr:colOff>180975</xdr:colOff>
      <xdr:row>0</xdr:row>
      <xdr:rowOff>333375</xdr:rowOff>
    </xdr:from>
    <xdr:to>
      <xdr:col>11</xdr:col>
      <xdr:colOff>19050</xdr:colOff>
      <xdr:row>1</xdr:row>
      <xdr:rowOff>314325</xdr:rowOff>
    </xdr:to>
    <xdr:pic>
      <xdr:nvPicPr>
        <xdr:cNvPr id="5278397" name="Picture 64" descr="Curtipot_Icon">
          <a:extLst>
            <a:ext uri="{FF2B5EF4-FFF2-40B4-BE49-F238E27FC236}">
              <a16:creationId xmlns:a16="http://schemas.microsoft.com/office/drawing/2014/main" id="{00000000-0008-0000-0000-0000BD8A5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91225" y="333375"/>
          <a:ext cx="419100" cy="400050"/>
        </a:xfrm>
        <a:prstGeom prst="rect">
          <a:avLst/>
        </a:prstGeom>
        <a:noFill/>
        <a:ln w="9525">
          <a:noFill/>
          <a:miter lim="800000"/>
          <a:headEnd/>
          <a:tailEnd/>
        </a:ln>
      </xdr:spPr>
    </xdr:pic>
    <xdr:clientData/>
  </xdr:twoCellAnchor>
  <xdr:twoCellAnchor>
    <xdr:from>
      <xdr:col>13</xdr:col>
      <xdr:colOff>228600</xdr:colOff>
      <xdr:row>30</xdr:row>
      <xdr:rowOff>278465</xdr:rowOff>
    </xdr:from>
    <xdr:to>
      <xdr:col>16</xdr:col>
      <xdr:colOff>390525</xdr:colOff>
      <xdr:row>32</xdr:row>
      <xdr:rowOff>45943</xdr:rowOff>
    </xdr:to>
    <xdr:sp macro="" textlink="">
      <xdr:nvSpPr>
        <xdr:cNvPr id="1814811" name="Text Box 66">
          <a:extLst>
            <a:ext uri="{FF2B5EF4-FFF2-40B4-BE49-F238E27FC236}">
              <a16:creationId xmlns:a16="http://schemas.microsoft.com/office/drawing/2014/main" id="{00000000-0008-0000-0000-00001BB11B00}"/>
            </a:ext>
          </a:extLst>
        </xdr:cNvPr>
        <xdr:cNvSpPr txBox="1">
          <a:spLocks noChangeArrowheads="1"/>
        </xdr:cNvSpPr>
      </xdr:nvSpPr>
      <xdr:spPr bwMode="auto">
        <a:xfrm>
          <a:off x="7803776" y="8884583"/>
          <a:ext cx="1910043" cy="327772"/>
        </a:xfrm>
        <a:prstGeom prst="rect">
          <a:avLst/>
        </a:prstGeom>
        <a:gradFill rotWithShape="0">
          <a:gsLst>
            <a:gs pos="0">
              <a:srgbClr val="001963"/>
            </a:gs>
            <a:gs pos="50000">
              <a:srgbClr val="0033CC"/>
            </a:gs>
            <a:gs pos="100000">
              <a:srgbClr val="001963"/>
            </a:gs>
          </a:gsLst>
          <a:lin ang="5400000" scaled="1"/>
        </a:gradFill>
        <a:ln w="9525">
          <a:solidFill>
            <a:srgbClr val="000000"/>
          </a:solidFill>
          <a:miter lim="800000"/>
          <a:headEnd/>
          <a:tailEnd/>
        </a:ln>
      </xdr:spPr>
      <xdr:txBody>
        <a:bodyPr vertOverflow="clip" wrap="square" lIns="45720" tIns="32004" rIns="45720" bIns="0" anchor="t" upright="1"/>
        <a:lstStyle/>
        <a:p>
          <a:pPr algn="ctr" rtl="1">
            <a:defRPr sz="1000"/>
          </a:pPr>
          <a:r>
            <a:rPr lang="pt-BR" sz="1600" b="0" i="0" strike="noStrike">
              <a:solidFill>
                <a:srgbClr val="F4EE00"/>
              </a:solidFill>
              <a:latin typeface="Bookman Old Style"/>
            </a:rPr>
            <a:t>History</a:t>
          </a:r>
        </a:p>
      </xdr:txBody>
    </xdr:sp>
    <xdr:clientData/>
  </xdr:twoCellAnchor>
  <xdr:twoCellAnchor>
    <xdr:from>
      <xdr:col>3</xdr:col>
      <xdr:colOff>87966</xdr:colOff>
      <xdr:row>30</xdr:row>
      <xdr:rowOff>233643</xdr:rowOff>
    </xdr:from>
    <xdr:to>
      <xdr:col>11</xdr:col>
      <xdr:colOff>230841</xdr:colOff>
      <xdr:row>32</xdr:row>
      <xdr:rowOff>10646</xdr:rowOff>
    </xdr:to>
    <xdr:sp macro="" textlink="">
      <xdr:nvSpPr>
        <xdr:cNvPr id="1814812" name="Text Box 74">
          <a:extLst>
            <a:ext uri="{FF2B5EF4-FFF2-40B4-BE49-F238E27FC236}">
              <a16:creationId xmlns:a16="http://schemas.microsoft.com/office/drawing/2014/main" id="{00000000-0008-0000-0000-00001CB11B00}"/>
            </a:ext>
          </a:extLst>
        </xdr:cNvPr>
        <xdr:cNvSpPr txBox="1">
          <a:spLocks noChangeArrowheads="1"/>
        </xdr:cNvSpPr>
      </xdr:nvSpPr>
      <xdr:spPr bwMode="auto">
        <a:xfrm>
          <a:off x="1836084" y="8839761"/>
          <a:ext cx="4804522" cy="337297"/>
        </a:xfrm>
        <a:prstGeom prst="rect">
          <a:avLst/>
        </a:prstGeom>
        <a:gradFill rotWithShape="0">
          <a:gsLst>
            <a:gs pos="0">
              <a:srgbClr val="001963"/>
            </a:gs>
            <a:gs pos="50000">
              <a:srgbClr val="0033CC"/>
            </a:gs>
            <a:gs pos="100000">
              <a:srgbClr val="001963"/>
            </a:gs>
          </a:gsLst>
          <a:lin ang="5400000" scaled="1"/>
        </a:gradFill>
        <a:ln w="9525">
          <a:solidFill>
            <a:srgbClr val="000000"/>
          </a:solidFill>
          <a:miter lim="800000"/>
          <a:headEnd/>
          <a:tailEnd/>
        </a:ln>
      </xdr:spPr>
      <xdr:txBody>
        <a:bodyPr vertOverflow="clip" wrap="square" lIns="45720" tIns="32004" rIns="45720" bIns="0" anchor="t" upright="1"/>
        <a:lstStyle/>
        <a:p>
          <a:pPr algn="ctr" rtl="1">
            <a:defRPr sz="1000"/>
          </a:pPr>
          <a:r>
            <a:rPr lang="pt-BR" sz="1600" b="0" i="0" strike="noStrike">
              <a:solidFill>
                <a:srgbClr val="F4EE00"/>
              </a:solidFill>
              <a:latin typeface="Bookman Old Style"/>
            </a:rPr>
            <a:t>This freeware is a courtesy of</a:t>
          </a:r>
        </a:p>
      </xdr:txBody>
    </xdr:sp>
    <xdr:clientData/>
  </xdr:twoCellAnchor>
  <xdr:twoCellAnchor editAs="oneCell">
    <xdr:from>
      <xdr:col>0</xdr:col>
      <xdr:colOff>390525</xdr:colOff>
      <xdr:row>33</xdr:row>
      <xdr:rowOff>247650</xdr:rowOff>
    </xdr:from>
    <xdr:to>
      <xdr:col>2</xdr:col>
      <xdr:colOff>476250</xdr:colOff>
      <xdr:row>40</xdr:row>
      <xdr:rowOff>66675</xdr:rowOff>
    </xdr:to>
    <xdr:pic>
      <xdr:nvPicPr>
        <xdr:cNvPr id="5278400" name="Picture 77" descr="gutz6">
          <a:extLst>
            <a:ext uri="{FF2B5EF4-FFF2-40B4-BE49-F238E27FC236}">
              <a16:creationId xmlns:a16="http://schemas.microsoft.com/office/drawing/2014/main" id="{00000000-0008-0000-0000-0000C08A5000}"/>
            </a:ext>
          </a:extLst>
        </xdr:cNvPr>
        <xdr:cNvPicPr>
          <a:picLocks noChangeAspect="1" noChangeArrowheads="1"/>
        </xdr:cNvPicPr>
      </xdr:nvPicPr>
      <xdr:blipFill>
        <a:blip xmlns:r="http://schemas.openxmlformats.org/officeDocument/2006/relationships" r:embed="rId3"/>
        <a:srcRect/>
        <a:stretch>
          <a:fillRect/>
        </a:stretch>
      </xdr:blipFill>
      <xdr:spPr bwMode="auto">
        <a:xfrm>
          <a:off x="390525" y="9572625"/>
          <a:ext cx="1247775" cy="1752600"/>
        </a:xfrm>
        <a:prstGeom prst="rect">
          <a:avLst/>
        </a:prstGeom>
        <a:noFill/>
        <a:ln w="9525">
          <a:noFill/>
          <a:miter lim="800000"/>
          <a:headEnd/>
          <a:tailEnd/>
        </a:ln>
      </xdr:spPr>
    </xdr:pic>
    <xdr:clientData/>
  </xdr:twoCellAnchor>
  <xdr:twoCellAnchor>
    <xdr:from>
      <xdr:col>9</xdr:col>
      <xdr:colOff>257175</xdr:colOff>
      <xdr:row>0</xdr:row>
      <xdr:rowOff>219075</xdr:rowOff>
    </xdr:from>
    <xdr:to>
      <xdr:col>15</xdr:col>
      <xdr:colOff>533400</xdr:colOff>
      <xdr:row>4</xdr:row>
      <xdr:rowOff>19050</xdr:rowOff>
    </xdr:to>
    <xdr:sp macro="" textlink="">
      <xdr:nvSpPr>
        <xdr:cNvPr id="1814821" name="Text Box 2341">
          <a:extLst>
            <a:ext uri="{FF2B5EF4-FFF2-40B4-BE49-F238E27FC236}">
              <a16:creationId xmlns:a16="http://schemas.microsoft.com/office/drawing/2014/main" id="{00000000-0008-0000-0000-000025B11B00}"/>
            </a:ext>
          </a:extLst>
        </xdr:cNvPr>
        <xdr:cNvSpPr txBox="1">
          <a:spLocks noChangeArrowheads="1"/>
        </xdr:cNvSpPr>
      </xdr:nvSpPr>
      <xdr:spPr bwMode="auto">
        <a:xfrm>
          <a:off x="5486400" y="219075"/>
          <a:ext cx="3762375" cy="1114425"/>
        </a:xfrm>
        <a:prstGeom prst="rect">
          <a:avLst/>
        </a:prstGeom>
        <a:noFill/>
        <a:ln w="9525">
          <a:noFill/>
          <a:miter lim="800000"/>
          <a:headEnd/>
          <a:tailEnd/>
        </a:ln>
        <a:effectLst/>
      </xdr:spPr>
      <xdr:txBody>
        <a:bodyPr vertOverflow="clip" wrap="square" lIns="45720" tIns="36576" rIns="45720" bIns="0" anchor="t" upright="1"/>
        <a:lstStyle/>
        <a:p>
          <a:pPr algn="ctr" rtl="0">
            <a:defRPr sz="1000"/>
          </a:pPr>
          <a:r>
            <a:rPr lang="pt-BR" sz="1800" b="1" i="0" strike="noStrike">
              <a:solidFill>
                <a:srgbClr val="000080"/>
              </a:solidFill>
              <a:latin typeface="Bookman Old Style"/>
            </a:rPr>
            <a:t>        pH and Acid-Base </a:t>
          </a:r>
        </a:p>
        <a:p>
          <a:pPr algn="ctr" rtl="0">
            <a:defRPr sz="1000"/>
          </a:pPr>
          <a:r>
            <a:rPr lang="pt-BR" sz="1800" b="1" i="0" strike="noStrike">
              <a:solidFill>
                <a:srgbClr val="000080"/>
              </a:solidFill>
              <a:latin typeface="Bookman Old Style"/>
            </a:rPr>
            <a:t>         Titration Curves:</a:t>
          </a:r>
        </a:p>
        <a:p>
          <a:pPr algn="ctr" rtl="0">
            <a:defRPr sz="1000"/>
          </a:pPr>
          <a:r>
            <a:rPr lang="pt-BR" sz="1800" b="1" i="0" strike="noStrike">
              <a:solidFill>
                <a:srgbClr val="000080"/>
              </a:solidFill>
              <a:latin typeface="Bookman Old Style"/>
            </a:rPr>
            <a:t>Analysis and Simulation</a:t>
          </a:r>
        </a:p>
      </xdr:txBody>
    </xdr:sp>
    <xdr:clientData/>
  </xdr:twoCellAnchor>
  <xdr:twoCellAnchor>
    <xdr:from>
      <xdr:col>18</xdr:col>
      <xdr:colOff>246538</xdr:colOff>
      <xdr:row>22</xdr:row>
      <xdr:rowOff>78442</xdr:rowOff>
    </xdr:from>
    <xdr:to>
      <xdr:col>28</xdr:col>
      <xdr:colOff>123265</xdr:colOff>
      <xdr:row>24</xdr:row>
      <xdr:rowOff>33619</xdr:rowOff>
    </xdr:to>
    <xdr:sp macro="" textlink="">
      <xdr:nvSpPr>
        <xdr:cNvPr id="17" name="Texto explicativo retangular com cantos arredondados 16">
          <a:extLst>
            <a:ext uri="{FF2B5EF4-FFF2-40B4-BE49-F238E27FC236}">
              <a16:creationId xmlns:a16="http://schemas.microsoft.com/office/drawing/2014/main" id="{00000000-0008-0000-0000-000011000000}"/>
            </a:ext>
          </a:extLst>
        </xdr:cNvPr>
        <xdr:cNvSpPr/>
      </xdr:nvSpPr>
      <xdr:spPr bwMode="auto">
        <a:xfrm>
          <a:off x="10836097" y="6443383"/>
          <a:ext cx="6712315" cy="515471"/>
        </a:xfrm>
        <a:prstGeom prst="wedgeRoundRectCallout">
          <a:avLst>
            <a:gd name="adj1" fmla="val -90744"/>
            <a:gd name="adj2" fmla="val 87517"/>
            <a:gd name="adj3" fmla="val 16667"/>
          </a:avLst>
        </a:prstGeom>
        <a:solidFill>
          <a:srgbClr val="FFFFCC">
            <a:alpha val="66000"/>
          </a:srgbClr>
        </a:solidFill>
        <a:ln w="19050" cap="flat" cmpd="sng" algn="ctr">
          <a:solidFill>
            <a:srgbClr val="FF0000">
              <a:alpha val="67000"/>
            </a:srgbClr>
          </a:solidFill>
          <a:prstDash val="solid"/>
          <a:round/>
          <a:headEnd type="none" w="med" len="med"/>
          <a:tailEnd type="none" w="med" len="med"/>
        </a:ln>
        <a:effectLst/>
      </xdr:spPr>
      <xdr:txBody>
        <a:bodyPr vertOverflow="clip" wrap="square" lIns="18288" tIns="0" rIns="0" bIns="0" rtlCol="0" anchor="ctr" upright="1"/>
        <a:lstStyle/>
        <a:p>
          <a:pPr algn="ctr"/>
          <a:r>
            <a:rPr lang="pt-BR" sz="1400" b="1">
              <a:solidFill>
                <a:srgbClr val="002060"/>
              </a:solidFill>
              <a:latin typeface="+mn-lt"/>
            </a:rPr>
            <a:t>If you are a beginner, have a look at </a:t>
          </a:r>
          <a:r>
            <a:rPr lang="pt-BR" sz="1400" b="1">
              <a:solidFill>
                <a:srgbClr val="002060"/>
              </a:solidFill>
              <a:latin typeface="Bookman Old Style" pitchFamily="18" charset="0"/>
            </a:rPr>
            <a:t>CurTiPot_i</a:t>
          </a:r>
          <a:r>
            <a:rPr lang="pt-BR" sz="1400" b="1">
              <a:solidFill>
                <a:srgbClr val="002060"/>
              </a:solidFill>
            </a:rPr>
            <a:t>  </a:t>
          </a:r>
          <a:r>
            <a:rPr lang="pt-BR" sz="1400" b="1">
              <a:solidFill>
                <a:srgbClr val="002060"/>
              </a:solidFill>
              <a:sym typeface="Symbol"/>
            </a:rPr>
            <a:t>  w</a:t>
          </a:r>
          <a:r>
            <a:rPr lang="pt-BR" sz="1400" b="1">
              <a:solidFill>
                <a:srgbClr val="002060"/>
              </a:solidFill>
            </a:rPr>
            <a:t>ith text balloons </a:t>
          </a:r>
          <a:r>
            <a:rPr lang="pt-BR" sz="1400" b="0" baseline="0">
              <a:solidFill>
                <a:srgbClr val="002060"/>
              </a:solidFill>
            </a:rPr>
            <a:t>(like this one) </a:t>
          </a:r>
          <a:br>
            <a:rPr lang="pt-BR" sz="1400" b="0" baseline="0">
              <a:solidFill>
                <a:srgbClr val="002060"/>
              </a:solidFill>
            </a:rPr>
          </a:br>
          <a:r>
            <a:rPr lang="pt-BR" sz="1400" b="1" baseline="0">
              <a:solidFill>
                <a:srgbClr val="002060"/>
              </a:solidFill>
            </a:rPr>
            <a:t>to guide you through the 8 modules. </a:t>
          </a:r>
          <a:r>
            <a:rPr lang="pt-BR" sz="1400" b="0" baseline="0">
              <a:solidFill>
                <a:srgbClr val="002060"/>
              </a:solidFill>
            </a:rPr>
            <a:t> Available  from the author's site.</a:t>
          </a:r>
          <a:endParaRPr lang="pt-BR" sz="1400" b="1">
            <a:solidFill>
              <a:srgbClr val="002060"/>
            </a:solidFill>
          </a:endParaRP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0.59782</cdr:x>
      <cdr:y>0.0125</cdr:y>
    </cdr:from>
    <cdr:to>
      <cdr:x>0.84694</cdr:x>
      <cdr:y>0.10316</cdr:y>
    </cdr:to>
    <cdr:sp macro="" textlink="">
      <cdr:nvSpPr>
        <cdr:cNvPr id="150529" name="Text Box 1"/>
        <cdr:cNvSpPr txBox="1">
          <a:spLocks xmlns:a="http://schemas.openxmlformats.org/drawingml/2006/main" noChangeArrowheads="1"/>
        </cdr:cNvSpPr>
      </cdr:nvSpPr>
      <cdr:spPr bwMode="auto">
        <a:xfrm xmlns:a="http://schemas.openxmlformats.org/drawingml/2006/main">
          <a:off x="3960682" y="50800"/>
          <a:ext cx="1649099" cy="325969"/>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90000" tIns="0" rIns="90000" bIns="46800" anchor="t" upright="1"/>
        <a:lstStyle xmlns:a="http://schemas.openxmlformats.org/drawingml/2006/main"/>
        <a:p xmlns:a="http://schemas.openxmlformats.org/drawingml/2006/main">
          <a:pPr algn="l" rtl="1">
            <a:defRPr sz="1000"/>
          </a:pPr>
          <a:r>
            <a:rPr lang="pt-BR" sz="1600" b="0" i="0" strike="noStrike">
              <a:solidFill>
                <a:srgbClr val="000000"/>
              </a:solidFill>
              <a:latin typeface="Symbol"/>
            </a:rPr>
            <a:t>&lt;</a:t>
          </a:r>
          <a:r>
            <a:rPr lang="pt-BR" sz="1600" b="0" i="0" strike="noStrike">
              <a:solidFill>
                <a:srgbClr val="000000"/>
              </a:solidFill>
              <a:latin typeface="Arial"/>
              <a:cs typeface="Arial"/>
            </a:rPr>
            <a:t>— </a:t>
          </a:r>
          <a:r>
            <a:rPr lang="pt-BR" sz="1600" b="0" i="0" strike="noStrike">
              <a:solidFill>
                <a:srgbClr val="000000"/>
              </a:solidFill>
              <a:latin typeface="Symbol"/>
            </a:rPr>
            <a:t>a</a:t>
          </a:r>
          <a:r>
            <a:rPr lang="pt-BR" sz="1250" b="0" i="0" strike="noStrike" baseline="-25000">
              <a:solidFill>
                <a:srgbClr val="000000"/>
              </a:solidFill>
              <a:latin typeface="Arial"/>
              <a:cs typeface="Arial"/>
            </a:rPr>
            <a:t>HiB</a:t>
          </a:r>
          <a:r>
            <a:rPr lang="pt-BR" sz="1000" b="0" i="0" strike="noStrike">
              <a:solidFill>
                <a:srgbClr val="000000"/>
              </a:solidFill>
              <a:latin typeface="Arial"/>
              <a:cs typeface="Arial"/>
            </a:rPr>
            <a:t>      </a:t>
          </a:r>
          <a:r>
            <a:rPr lang="pt-BR" sz="1600" b="0" i="0" strike="noStrike">
              <a:solidFill>
                <a:srgbClr val="000000"/>
              </a:solidFill>
              <a:latin typeface="Symbol"/>
            </a:rPr>
            <a:t>a</a:t>
          </a:r>
          <a:r>
            <a:rPr lang="pt-BR" sz="1250" b="0" i="0" strike="noStrike" baseline="-25000">
              <a:solidFill>
                <a:srgbClr val="000000"/>
              </a:solidFill>
              <a:latin typeface="Arial"/>
              <a:cs typeface="Arial"/>
            </a:rPr>
            <a:t>B</a:t>
          </a:r>
          <a:r>
            <a:rPr lang="pt-BR" sz="1600" b="0" i="0" strike="noStrike">
              <a:solidFill>
                <a:srgbClr val="000000"/>
              </a:solidFill>
              <a:latin typeface="Arial"/>
              <a:cs typeface="Arial"/>
            </a:rPr>
            <a:t>—</a:t>
          </a:r>
          <a:r>
            <a:rPr lang="pt-BR" sz="1600" b="0" i="0" strike="noStrike">
              <a:solidFill>
                <a:srgbClr val="000000"/>
              </a:solidFill>
              <a:latin typeface="Symbol"/>
            </a:rPr>
            <a:t>&gt;</a:t>
          </a:r>
        </a:p>
      </cdr:txBody>
    </cdr:sp>
  </cdr:relSizeAnchor>
  <cdr:relSizeAnchor xmlns:cdr="http://schemas.openxmlformats.org/drawingml/2006/chartDrawing">
    <cdr:from>
      <cdr:x>0.86046</cdr:x>
      <cdr:y>0.01316</cdr:y>
    </cdr:from>
    <cdr:to>
      <cdr:x>0.97271</cdr:x>
      <cdr:y>0.06622</cdr:y>
    </cdr:to>
    <cdr:pic>
      <cdr:nvPicPr>
        <cdr:cNvPr id="2083843" name="Picture 3" descr="curtipotp">
          <a:extLst xmlns:a="http://schemas.openxmlformats.org/drawingml/2006/main">
            <a:ext uri="{FF2B5EF4-FFF2-40B4-BE49-F238E27FC236}">
              <a16:creationId xmlns:a16="http://schemas.microsoft.com/office/drawing/2014/main" id="{67C256E9-2F63-4A22-865C-0DD351E835CA}"/>
            </a:ext>
          </a:extLst>
        </cdr:cNvPr>
        <cdr:cNvPicPr preferRelativeResize="0">
          <a:picLocks xmlns:a="http://schemas.openxmlformats.org/drawingml/2006/main"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6248413" y="50800"/>
          <a:ext cx="814768" cy="192072"/>
        </a:xfrm>
        <a:prstGeom xmlns:a="http://schemas.openxmlformats.org/drawingml/2006/main" prst="rect">
          <a:avLst/>
        </a:prstGeom>
        <a:noFill xmlns:a="http://schemas.openxmlformats.org/drawingml/2006/main"/>
      </cdr:spPr>
    </cdr:pic>
  </cdr:relSizeAnchor>
</c:userShapes>
</file>

<file path=xl/drawings/drawing11.xml><?xml version="1.0" encoding="utf-8"?>
<c:userShapes xmlns:c="http://schemas.openxmlformats.org/drawingml/2006/chart">
  <cdr:relSizeAnchor xmlns:cdr="http://schemas.openxmlformats.org/drawingml/2006/chartDrawing">
    <cdr:from>
      <cdr:x>0.95357</cdr:x>
      <cdr:y>0.09251</cdr:y>
    </cdr:from>
    <cdr:to>
      <cdr:x>0.99598</cdr:x>
      <cdr:y>0.17214</cdr:y>
    </cdr:to>
    <cdr:sp macro="" textlink="">
      <cdr:nvSpPr>
        <cdr:cNvPr id="2084867" name="Text Box 2"/>
        <cdr:cNvSpPr txBox="1">
          <a:spLocks xmlns:a="http://schemas.openxmlformats.org/drawingml/2006/main" noChangeArrowheads="1"/>
        </cdr:cNvSpPr>
      </cdr:nvSpPr>
      <cdr:spPr bwMode="auto">
        <a:xfrm xmlns:a="http://schemas.openxmlformats.org/drawingml/2006/main">
          <a:off x="6973981" y="323696"/>
          <a:ext cx="310157" cy="27862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1">
            <a:defRPr sz="1000"/>
          </a:pPr>
          <a:r>
            <a:rPr lang="pt-BR" sz="1200" b="0" i="0" strike="noStrike">
              <a:solidFill>
                <a:srgbClr val="000000"/>
              </a:solidFill>
              <a:latin typeface="Arial"/>
              <a:cs typeface="Arial"/>
            </a:rPr>
            <a:t>14</a:t>
          </a:r>
        </a:p>
      </cdr:txBody>
    </cdr:sp>
  </cdr:relSizeAnchor>
  <cdr:relSizeAnchor xmlns:cdr="http://schemas.openxmlformats.org/drawingml/2006/chartDrawing">
    <cdr:from>
      <cdr:x>0.95357</cdr:x>
      <cdr:y>0.34252</cdr:y>
    </cdr:from>
    <cdr:to>
      <cdr:x>0.9955</cdr:x>
      <cdr:y>0.52922</cdr:y>
    </cdr:to>
    <cdr:sp macro="" textlink="">
      <cdr:nvSpPr>
        <cdr:cNvPr id="2084868" name="Text Box 3"/>
        <cdr:cNvSpPr txBox="1">
          <a:spLocks xmlns:a="http://schemas.openxmlformats.org/drawingml/2006/main" noChangeArrowheads="1"/>
        </cdr:cNvSpPr>
      </cdr:nvSpPr>
      <cdr:spPr bwMode="auto">
        <a:xfrm xmlns:a="http://schemas.openxmlformats.org/drawingml/2006/main">
          <a:off x="6931209" y="1198507"/>
          <a:ext cx="304777" cy="6532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1">
            <a:defRPr sz="1000"/>
          </a:pPr>
          <a:r>
            <a:rPr lang="pt-BR" sz="1200" b="1" i="0" strike="noStrike">
              <a:solidFill>
                <a:srgbClr val="000000"/>
              </a:solidFill>
              <a:latin typeface="Arial"/>
              <a:cs typeface="Arial"/>
            </a:rPr>
            <a:t>pH</a:t>
          </a:r>
        </a:p>
        <a:p xmlns:a="http://schemas.openxmlformats.org/drawingml/2006/main">
          <a:pPr algn="ctr" rtl="1">
            <a:defRPr sz="1000"/>
          </a:pPr>
          <a:endParaRPr lang="pt-BR" sz="1200" b="0" i="0" strike="noStrike">
            <a:solidFill>
              <a:srgbClr val="000000"/>
            </a:solidFill>
            <a:latin typeface="Arial"/>
            <a:cs typeface="Arial"/>
          </a:endParaRPr>
        </a:p>
        <a:p xmlns:a="http://schemas.openxmlformats.org/drawingml/2006/main">
          <a:pPr algn="ctr" rtl="1">
            <a:defRPr sz="1000"/>
          </a:pPr>
          <a:r>
            <a:rPr lang="pt-BR" sz="1200" b="0" i="0" strike="noStrike">
              <a:solidFill>
                <a:srgbClr val="000000"/>
              </a:solidFill>
              <a:latin typeface="Arial"/>
              <a:cs typeface="Arial"/>
            </a:rPr>
            <a:t>7</a:t>
          </a:r>
        </a:p>
      </cdr:txBody>
    </cdr:sp>
  </cdr:relSizeAnchor>
  <cdr:relSizeAnchor xmlns:cdr="http://schemas.openxmlformats.org/drawingml/2006/chartDrawing">
    <cdr:from>
      <cdr:x>0.97738</cdr:x>
      <cdr:y>0.81906</cdr:y>
    </cdr:from>
    <cdr:to>
      <cdr:x>0.99117</cdr:x>
      <cdr:y>0.88168</cdr:y>
    </cdr:to>
    <cdr:sp macro="" textlink="">
      <cdr:nvSpPr>
        <cdr:cNvPr id="2084869" name="Text Box 4"/>
        <cdr:cNvSpPr txBox="1">
          <a:spLocks xmlns:a="http://schemas.openxmlformats.org/drawingml/2006/main" noChangeArrowheads="1"/>
        </cdr:cNvSpPr>
      </cdr:nvSpPr>
      <cdr:spPr bwMode="auto">
        <a:xfrm xmlns:a="http://schemas.openxmlformats.org/drawingml/2006/main">
          <a:off x="7034541" y="2865905"/>
          <a:ext cx="174762" cy="21912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1">
            <a:defRPr sz="1000"/>
          </a:pPr>
          <a:r>
            <a:rPr lang="pt-BR" sz="1200" b="0" i="0" strike="noStrike">
              <a:solidFill>
                <a:srgbClr val="000000"/>
              </a:solidFill>
              <a:latin typeface="Arial"/>
              <a:cs typeface="Arial"/>
            </a:rPr>
            <a:t>0</a:t>
          </a:r>
        </a:p>
      </cdr:txBody>
    </cdr:sp>
  </cdr:relSizeAnchor>
  <cdr:relSizeAnchor xmlns:cdr="http://schemas.openxmlformats.org/drawingml/2006/chartDrawing">
    <cdr:from>
      <cdr:x>0.84734</cdr:x>
      <cdr:y>0.01346</cdr:y>
    </cdr:from>
    <cdr:to>
      <cdr:x>0.95616</cdr:x>
      <cdr:y>0.06823</cdr:y>
    </cdr:to>
    <cdr:pic>
      <cdr:nvPicPr>
        <cdr:cNvPr id="2084871" name="Picture 7" descr="curtipotp">
          <a:extLst xmlns:a="http://schemas.openxmlformats.org/drawingml/2006/main">
            <a:ext uri="{FF2B5EF4-FFF2-40B4-BE49-F238E27FC236}">
              <a16:creationId xmlns:a16="http://schemas.microsoft.com/office/drawing/2014/main" id="{B8812836-3E3C-459D-A883-7DE423687200}"/>
            </a:ext>
          </a:extLst>
        </cdr:cNvPr>
        <cdr:cNvPicPr preferRelativeResize="0">
          <a:picLocks xmlns:a="http://schemas.openxmlformats.org/drawingml/2006/main"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6220338" y="48986"/>
          <a:ext cx="798853" cy="199358"/>
        </a:xfrm>
        <a:prstGeom xmlns:a="http://schemas.openxmlformats.org/drawingml/2006/main" prst="rect">
          <a:avLst/>
        </a:prstGeom>
        <a:noFill xmlns:a="http://schemas.openxmlformats.org/drawingml/2006/main"/>
      </cdr:spPr>
    </cdr:pic>
  </cdr:relSizeAnchor>
</c:userShapes>
</file>

<file path=xl/drawings/drawing12.xml><?xml version="1.0" encoding="utf-8"?>
<c:userShapes xmlns:c="http://schemas.openxmlformats.org/drawingml/2006/chart">
  <cdr:relSizeAnchor xmlns:cdr="http://schemas.openxmlformats.org/drawingml/2006/chartDrawing">
    <cdr:from>
      <cdr:x>0.87304</cdr:x>
      <cdr:y>0.0122</cdr:y>
    </cdr:from>
    <cdr:to>
      <cdr:x>0.97159</cdr:x>
      <cdr:y>0.05959</cdr:y>
    </cdr:to>
    <cdr:pic>
      <cdr:nvPicPr>
        <cdr:cNvPr id="21506" name="Picture 2" descr="curtipotp">
          <a:extLst xmlns:a="http://schemas.openxmlformats.org/drawingml/2006/main">
            <a:ext uri="{FF2B5EF4-FFF2-40B4-BE49-F238E27FC236}">
              <a16:creationId xmlns:a16="http://schemas.microsoft.com/office/drawing/2014/main" id="{0074C7A1-A606-46B2-8CEB-27D2F45825F5}"/>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6364941" y="46052"/>
          <a:ext cx="717246" cy="166940"/>
        </a:xfrm>
        <a:prstGeom xmlns:a="http://schemas.openxmlformats.org/drawingml/2006/main" prst="rect">
          <a:avLst/>
        </a:prstGeom>
        <a:noFill xmlns:a="http://schemas.openxmlformats.org/drawingml/2006/main"/>
      </cdr:spPr>
    </cdr:pic>
  </cdr:relSizeAnchor>
</c:userShapes>
</file>

<file path=xl/drawings/drawing13.xml><?xml version="1.0" encoding="utf-8"?>
<c:userShapes xmlns:c="http://schemas.openxmlformats.org/drawingml/2006/chart">
  <cdr:relSizeAnchor xmlns:cdr="http://schemas.openxmlformats.org/drawingml/2006/chartDrawing">
    <cdr:from>
      <cdr:x>0.84356</cdr:x>
      <cdr:y>0.01076</cdr:y>
    </cdr:from>
    <cdr:to>
      <cdr:x>0.93929</cdr:x>
      <cdr:y>0.05646</cdr:y>
    </cdr:to>
    <cdr:pic>
      <cdr:nvPicPr>
        <cdr:cNvPr id="46081" name="Picture 1" descr="curtipotp">
          <a:extLst xmlns:a="http://schemas.openxmlformats.org/drawingml/2006/main">
            <a:ext uri="{FF2B5EF4-FFF2-40B4-BE49-F238E27FC236}">
              <a16:creationId xmlns:a16="http://schemas.microsoft.com/office/drawing/2014/main" id="{05DC92D9-25A7-4E0E-B8D3-E9C9DEB06A88}"/>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6193092" y="42853"/>
          <a:ext cx="703007" cy="166697"/>
        </a:xfrm>
        <a:prstGeom xmlns:a="http://schemas.openxmlformats.org/drawingml/2006/main" prst="rect">
          <a:avLst/>
        </a:prstGeom>
        <a:noFill xmlns:a="http://schemas.openxmlformats.org/drawingml/2006/main"/>
      </cdr:spPr>
    </cdr:pic>
  </cdr:relSizeAnchor>
  <cdr:relSizeAnchor xmlns:cdr="http://schemas.openxmlformats.org/drawingml/2006/chartDrawing">
    <cdr:from>
      <cdr:x>0.96057</cdr:x>
      <cdr:y>0.06805</cdr:y>
    </cdr:from>
    <cdr:to>
      <cdr:x>0.99372</cdr:x>
      <cdr:y>0.13325</cdr:y>
    </cdr:to>
    <cdr:sp macro="" textlink="">
      <cdr:nvSpPr>
        <cdr:cNvPr id="2082818" name="Text Box 2"/>
        <cdr:cNvSpPr txBox="1">
          <a:spLocks xmlns:a="http://schemas.openxmlformats.org/drawingml/2006/main" noChangeArrowheads="1"/>
        </cdr:cNvSpPr>
      </cdr:nvSpPr>
      <cdr:spPr bwMode="auto">
        <a:xfrm xmlns:a="http://schemas.openxmlformats.org/drawingml/2006/main">
          <a:off x="6906746" y="240345"/>
          <a:ext cx="238367" cy="23030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1">
            <a:defRPr sz="1000"/>
          </a:pPr>
          <a:r>
            <a:rPr lang="pt-BR" sz="1200" b="0" i="0" strike="noStrike">
              <a:solidFill>
                <a:srgbClr val="000000"/>
              </a:solidFill>
              <a:latin typeface="Arial"/>
              <a:cs typeface="Arial"/>
            </a:rPr>
            <a:t>14</a:t>
          </a:r>
        </a:p>
      </cdr:txBody>
    </cdr:sp>
  </cdr:relSizeAnchor>
  <cdr:relSizeAnchor xmlns:cdr="http://schemas.openxmlformats.org/drawingml/2006/chartDrawing">
    <cdr:from>
      <cdr:x>0.95062</cdr:x>
      <cdr:y>0.38332</cdr:y>
    </cdr:from>
    <cdr:to>
      <cdr:x>0.99352</cdr:x>
      <cdr:y>0.56961</cdr:y>
    </cdr:to>
    <cdr:sp macro="" textlink="">
      <cdr:nvSpPr>
        <cdr:cNvPr id="2082819" name="Text Box 3"/>
        <cdr:cNvSpPr txBox="1">
          <a:spLocks xmlns:a="http://schemas.openxmlformats.org/drawingml/2006/main" noChangeArrowheads="1"/>
        </cdr:cNvSpPr>
      </cdr:nvSpPr>
      <cdr:spPr bwMode="auto">
        <a:xfrm xmlns:a="http://schemas.openxmlformats.org/drawingml/2006/main">
          <a:off x="6902824" y="1350496"/>
          <a:ext cx="311534" cy="65541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1">
            <a:defRPr sz="1000"/>
          </a:pPr>
          <a:r>
            <a:rPr lang="pt-BR" sz="1200" b="1" i="0" strike="noStrike">
              <a:solidFill>
                <a:srgbClr val="000000"/>
              </a:solidFill>
              <a:latin typeface="Arial"/>
              <a:cs typeface="Arial"/>
            </a:rPr>
            <a:t>pH</a:t>
          </a:r>
        </a:p>
        <a:p xmlns:a="http://schemas.openxmlformats.org/drawingml/2006/main">
          <a:pPr algn="ctr" rtl="1">
            <a:defRPr sz="1000"/>
          </a:pPr>
          <a:endParaRPr lang="pt-BR" sz="1200" b="0" i="0" strike="noStrike">
            <a:solidFill>
              <a:srgbClr val="000000"/>
            </a:solidFill>
            <a:latin typeface="Arial"/>
            <a:cs typeface="Arial"/>
          </a:endParaRPr>
        </a:p>
        <a:p xmlns:a="http://schemas.openxmlformats.org/drawingml/2006/main">
          <a:pPr algn="ctr" rtl="1">
            <a:defRPr sz="1000"/>
          </a:pPr>
          <a:r>
            <a:rPr lang="pt-BR" sz="1200" b="0" i="0" strike="noStrike">
              <a:solidFill>
                <a:srgbClr val="000000"/>
              </a:solidFill>
              <a:latin typeface="Arial"/>
              <a:cs typeface="Arial"/>
            </a:rPr>
            <a:t>7</a:t>
          </a:r>
        </a:p>
      </cdr:txBody>
    </cdr:sp>
  </cdr:relSizeAnchor>
  <cdr:relSizeAnchor xmlns:cdr="http://schemas.openxmlformats.org/drawingml/2006/chartDrawing">
    <cdr:from>
      <cdr:x>0.961</cdr:x>
      <cdr:y>0.83133</cdr:y>
    </cdr:from>
    <cdr:to>
      <cdr:x>0.99777</cdr:x>
      <cdr:y>0.88435</cdr:y>
    </cdr:to>
    <cdr:sp macro="" textlink="">
      <cdr:nvSpPr>
        <cdr:cNvPr id="2082820" name="Text Box 4"/>
        <cdr:cNvSpPr txBox="1">
          <a:spLocks xmlns:a="http://schemas.openxmlformats.org/drawingml/2006/main" noChangeArrowheads="1"/>
        </cdr:cNvSpPr>
      </cdr:nvSpPr>
      <cdr:spPr bwMode="auto">
        <a:xfrm xmlns:a="http://schemas.openxmlformats.org/drawingml/2006/main">
          <a:off x="6984279" y="3085900"/>
          <a:ext cx="267235" cy="20018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1">
            <a:defRPr sz="1000"/>
          </a:pPr>
          <a:r>
            <a:rPr lang="pt-BR" sz="1200" b="0" i="0" strike="noStrike">
              <a:solidFill>
                <a:srgbClr val="000000"/>
              </a:solidFill>
              <a:latin typeface="Arial"/>
              <a:cs typeface="Arial"/>
            </a:rPr>
            <a:t>0</a:t>
          </a:r>
        </a:p>
      </cdr:txBody>
    </cdr:sp>
  </cdr:relSizeAnchor>
</c:userShapes>
</file>

<file path=xl/drawings/drawing14.xml><?xml version="1.0" encoding="utf-8"?>
<c:userShapes xmlns:c="http://schemas.openxmlformats.org/drawingml/2006/chart">
  <cdr:relSizeAnchor xmlns:cdr="http://schemas.openxmlformats.org/drawingml/2006/chartDrawing">
    <cdr:from>
      <cdr:x>0.87304</cdr:x>
      <cdr:y>0.0122</cdr:y>
    </cdr:from>
    <cdr:to>
      <cdr:x>0.97159</cdr:x>
      <cdr:y>0.05959</cdr:y>
    </cdr:to>
    <cdr:pic>
      <cdr:nvPicPr>
        <cdr:cNvPr id="21506" name="Picture 2" descr="curtipotp">
          <a:extLst xmlns:a="http://schemas.openxmlformats.org/drawingml/2006/main">
            <a:ext uri="{FF2B5EF4-FFF2-40B4-BE49-F238E27FC236}">
              <a16:creationId xmlns:a16="http://schemas.microsoft.com/office/drawing/2014/main" id="{CE76993A-B6B4-4FCA-BA55-2700A92C4C6B}"/>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6364941" y="46052"/>
          <a:ext cx="717246" cy="166940"/>
        </a:xfrm>
        <a:prstGeom xmlns:a="http://schemas.openxmlformats.org/drawingml/2006/main" prst="rect">
          <a:avLst/>
        </a:prstGeom>
        <a:noFill xmlns:a="http://schemas.openxmlformats.org/drawingml/2006/main"/>
      </cdr:spPr>
    </cdr:pic>
  </cdr:relSizeAnchor>
</c:userShapes>
</file>

<file path=xl/drawings/drawing15.xml><?xml version="1.0" encoding="utf-8"?>
<c:userShapes xmlns:c="http://schemas.openxmlformats.org/drawingml/2006/chart">
  <cdr:relSizeAnchor xmlns:cdr="http://schemas.openxmlformats.org/drawingml/2006/chartDrawing">
    <cdr:from>
      <cdr:x>0.84356</cdr:x>
      <cdr:y>0.01076</cdr:y>
    </cdr:from>
    <cdr:to>
      <cdr:x>0.93929</cdr:x>
      <cdr:y>0.05646</cdr:y>
    </cdr:to>
    <cdr:pic>
      <cdr:nvPicPr>
        <cdr:cNvPr id="46081" name="Picture 1" descr="curtipotp">
          <a:extLst xmlns:a="http://schemas.openxmlformats.org/drawingml/2006/main">
            <a:ext uri="{FF2B5EF4-FFF2-40B4-BE49-F238E27FC236}">
              <a16:creationId xmlns:a16="http://schemas.microsoft.com/office/drawing/2014/main" id="{768A74E2-6B06-4225-978E-D35B3E3E92EB}"/>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6193092" y="42853"/>
          <a:ext cx="703007" cy="166697"/>
        </a:xfrm>
        <a:prstGeom xmlns:a="http://schemas.openxmlformats.org/drawingml/2006/main" prst="rect">
          <a:avLst/>
        </a:prstGeom>
        <a:noFill xmlns:a="http://schemas.openxmlformats.org/drawingml/2006/main"/>
      </cdr:spPr>
    </cdr:pic>
  </cdr:relSizeAnchor>
  <cdr:relSizeAnchor xmlns:cdr="http://schemas.openxmlformats.org/drawingml/2006/chartDrawing">
    <cdr:from>
      <cdr:x>0.94725</cdr:x>
      <cdr:y>0.07221</cdr:y>
    </cdr:from>
    <cdr:to>
      <cdr:x>0.98861</cdr:x>
      <cdr:y>0.15314</cdr:y>
    </cdr:to>
    <cdr:sp macro="" textlink="">
      <cdr:nvSpPr>
        <cdr:cNvPr id="2082818" name="Text Box 2"/>
        <cdr:cNvSpPr txBox="1">
          <a:spLocks xmlns:a="http://schemas.openxmlformats.org/drawingml/2006/main" noChangeArrowheads="1"/>
        </cdr:cNvSpPr>
      </cdr:nvSpPr>
      <cdr:spPr bwMode="auto">
        <a:xfrm xmlns:a="http://schemas.openxmlformats.org/drawingml/2006/main">
          <a:off x="6894293" y="259179"/>
          <a:ext cx="301003" cy="29046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1">
            <a:defRPr sz="1000"/>
          </a:pPr>
          <a:r>
            <a:rPr lang="pt-BR" sz="1200" b="0" i="0" strike="noStrike">
              <a:solidFill>
                <a:srgbClr val="000000"/>
              </a:solidFill>
              <a:latin typeface="Arial"/>
              <a:cs typeface="Arial"/>
            </a:rPr>
            <a:t>14</a:t>
          </a:r>
        </a:p>
      </cdr:txBody>
    </cdr:sp>
  </cdr:relSizeAnchor>
  <cdr:relSizeAnchor xmlns:cdr="http://schemas.openxmlformats.org/drawingml/2006/chartDrawing">
    <cdr:from>
      <cdr:x>0.94814</cdr:x>
      <cdr:y>0.34489</cdr:y>
    </cdr:from>
    <cdr:to>
      <cdr:x>1</cdr:x>
      <cdr:y>0.54157</cdr:y>
    </cdr:to>
    <cdr:sp macro="" textlink="">
      <cdr:nvSpPr>
        <cdr:cNvPr id="2082819" name="Text Box 3"/>
        <cdr:cNvSpPr txBox="1">
          <a:spLocks xmlns:a="http://schemas.openxmlformats.org/drawingml/2006/main" noChangeArrowheads="1"/>
        </cdr:cNvSpPr>
      </cdr:nvSpPr>
      <cdr:spPr bwMode="auto">
        <a:xfrm xmlns:a="http://schemas.openxmlformats.org/drawingml/2006/main">
          <a:off x="6900772" y="1237877"/>
          <a:ext cx="377448" cy="70595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1">
            <a:defRPr sz="1000"/>
          </a:pPr>
          <a:r>
            <a:rPr lang="pt-BR" sz="1200" b="1" i="0" strike="noStrike">
              <a:solidFill>
                <a:srgbClr val="000000"/>
              </a:solidFill>
              <a:latin typeface="Arial"/>
              <a:cs typeface="Arial"/>
            </a:rPr>
            <a:t>pH</a:t>
          </a:r>
        </a:p>
        <a:p xmlns:a="http://schemas.openxmlformats.org/drawingml/2006/main">
          <a:pPr algn="ctr" rtl="1">
            <a:defRPr sz="1000"/>
          </a:pPr>
          <a:endParaRPr lang="pt-BR" sz="1200" b="0" i="0" strike="noStrike">
            <a:solidFill>
              <a:srgbClr val="000000"/>
            </a:solidFill>
            <a:latin typeface="Arial"/>
            <a:cs typeface="Arial"/>
          </a:endParaRPr>
        </a:p>
        <a:p xmlns:a="http://schemas.openxmlformats.org/drawingml/2006/main">
          <a:pPr algn="ctr" rtl="1">
            <a:defRPr sz="1000"/>
          </a:pPr>
          <a:r>
            <a:rPr lang="pt-BR" sz="1200" b="0" i="0" strike="noStrike">
              <a:solidFill>
                <a:srgbClr val="000000"/>
              </a:solidFill>
              <a:latin typeface="Arial"/>
              <a:cs typeface="Arial"/>
            </a:rPr>
            <a:t>7</a:t>
          </a:r>
        </a:p>
      </cdr:txBody>
    </cdr:sp>
  </cdr:relSizeAnchor>
  <cdr:relSizeAnchor xmlns:cdr="http://schemas.openxmlformats.org/drawingml/2006/chartDrawing">
    <cdr:from>
      <cdr:x>0.95116</cdr:x>
      <cdr:y>0.83917</cdr:y>
    </cdr:from>
    <cdr:to>
      <cdr:x>1</cdr:x>
      <cdr:y>0.89613</cdr:y>
    </cdr:to>
    <cdr:sp macro="" textlink="">
      <cdr:nvSpPr>
        <cdr:cNvPr id="2082820" name="Text Box 4"/>
        <cdr:cNvSpPr txBox="1">
          <a:spLocks xmlns:a="http://schemas.openxmlformats.org/drawingml/2006/main" noChangeArrowheads="1"/>
        </cdr:cNvSpPr>
      </cdr:nvSpPr>
      <cdr:spPr bwMode="auto">
        <a:xfrm xmlns:a="http://schemas.openxmlformats.org/drawingml/2006/main">
          <a:off x="6922751" y="3011986"/>
          <a:ext cx="355469" cy="2044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1">
            <a:defRPr sz="1000"/>
          </a:pPr>
          <a:r>
            <a:rPr lang="pt-BR" sz="1200" b="0" i="0" strike="noStrike">
              <a:solidFill>
                <a:srgbClr val="000000"/>
              </a:solidFill>
              <a:latin typeface="Arial"/>
              <a:cs typeface="Arial"/>
            </a:rPr>
            <a:t>0</a:t>
          </a:r>
        </a:p>
      </cdr:txBody>
    </cdr:sp>
  </cdr:relSizeAnchor>
</c:userShapes>
</file>

<file path=xl/drawings/drawing16.xml><?xml version="1.0" encoding="utf-8"?>
<c:userShapes xmlns:c="http://schemas.openxmlformats.org/drawingml/2006/chart">
  <cdr:relSizeAnchor xmlns:cdr="http://schemas.openxmlformats.org/drawingml/2006/chartDrawing">
    <cdr:from>
      <cdr:x>0.8723</cdr:x>
      <cdr:y>0.0122</cdr:y>
    </cdr:from>
    <cdr:to>
      <cdr:x>0.9706</cdr:x>
      <cdr:y>0.05643</cdr:y>
    </cdr:to>
    <cdr:pic>
      <cdr:nvPicPr>
        <cdr:cNvPr id="21506" name="Picture 2" descr="curtipotp">
          <a:extLst xmlns:a="http://schemas.openxmlformats.org/drawingml/2006/main">
            <a:ext uri="{FF2B5EF4-FFF2-40B4-BE49-F238E27FC236}">
              <a16:creationId xmlns:a16="http://schemas.microsoft.com/office/drawing/2014/main" id="{9C2F6C58-7E01-462F-A6B0-4F67D9929705}"/>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6364941" y="46052"/>
          <a:ext cx="717246" cy="166940"/>
        </a:xfrm>
        <a:prstGeom xmlns:a="http://schemas.openxmlformats.org/drawingml/2006/main" prst="rect">
          <a:avLst/>
        </a:prstGeom>
        <a:noFill xmlns:a="http://schemas.openxmlformats.org/drawingml/2006/main"/>
      </cdr:spPr>
    </cdr:pic>
  </cdr:relSizeAnchor>
</c:userShapes>
</file>

<file path=xl/drawings/drawing17.xml><?xml version="1.0" encoding="utf-8"?>
<c:userShapes xmlns:c="http://schemas.openxmlformats.org/drawingml/2006/chart">
  <cdr:relSizeAnchor xmlns:cdr="http://schemas.openxmlformats.org/drawingml/2006/chartDrawing">
    <cdr:from>
      <cdr:x>0.84331</cdr:x>
      <cdr:y>0.011</cdr:y>
    </cdr:from>
    <cdr:to>
      <cdr:x>0.93904</cdr:x>
      <cdr:y>0.05379</cdr:y>
    </cdr:to>
    <cdr:pic>
      <cdr:nvPicPr>
        <cdr:cNvPr id="46081" name="Picture 1" descr="curtipotp">
          <a:extLst xmlns:a="http://schemas.openxmlformats.org/drawingml/2006/main">
            <a:ext uri="{FF2B5EF4-FFF2-40B4-BE49-F238E27FC236}">
              <a16:creationId xmlns:a16="http://schemas.microsoft.com/office/drawing/2014/main" id="{7399A9CA-7A6A-490D-B5A4-BAC0EE2E8A4A}"/>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6193092" y="42853"/>
          <a:ext cx="703007" cy="166697"/>
        </a:xfrm>
        <a:prstGeom xmlns:a="http://schemas.openxmlformats.org/drawingml/2006/main" prst="rect">
          <a:avLst/>
        </a:prstGeom>
        <a:noFill xmlns:a="http://schemas.openxmlformats.org/drawingml/2006/main"/>
      </cdr:spPr>
    </cdr:pic>
  </cdr:relSizeAnchor>
  <cdr:relSizeAnchor xmlns:cdr="http://schemas.openxmlformats.org/drawingml/2006/chartDrawing">
    <cdr:from>
      <cdr:x>0.94073</cdr:x>
      <cdr:y>0.0478</cdr:y>
    </cdr:from>
    <cdr:to>
      <cdr:x>0.98268</cdr:x>
      <cdr:y>0.16366</cdr:y>
    </cdr:to>
    <cdr:sp macro="" textlink="">
      <cdr:nvSpPr>
        <cdr:cNvPr id="2082818" name="Text Box 2"/>
        <cdr:cNvSpPr txBox="1">
          <a:spLocks xmlns:a="http://schemas.openxmlformats.org/drawingml/2006/main" noChangeArrowheads="1"/>
        </cdr:cNvSpPr>
      </cdr:nvSpPr>
      <cdr:spPr bwMode="auto">
        <a:xfrm xmlns:a="http://schemas.openxmlformats.org/drawingml/2006/main">
          <a:off x="6882669" y="181341"/>
          <a:ext cx="306919" cy="43954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1">
            <a:defRPr sz="1000"/>
          </a:pPr>
          <a:r>
            <a:rPr lang="pt-BR" sz="1200" b="0" i="0" strike="noStrike">
              <a:solidFill>
                <a:srgbClr val="000000"/>
              </a:solidFill>
              <a:latin typeface="Arial"/>
              <a:cs typeface="Arial"/>
            </a:rPr>
            <a:t>14</a:t>
          </a:r>
        </a:p>
      </cdr:txBody>
    </cdr:sp>
  </cdr:relSizeAnchor>
  <cdr:relSizeAnchor xmlns:cdr="http://schemas.openxmlformats.org/drawingml/2006/chartDrawing">
    <cdr:from>
      <cdr:x>0.94118</cdr:x>
      <cdr:y>0.3622</cdr:y>
    </cdr:from>
    <cdr:to>
      <cdr:x>0.99352</cdr:x>
      <cdr:y>0.53732</cdr:y>
    </cdr:to>
    <cdr:sp macro="" textlink="">
      <cdr:nvSpPr>
        <cdr:cNvPr id="2082819" name="Text Box 3"/>
        <cdr:cNvSpPr txBox="1">
          <a:spLocks xmlns:a="http://schemas.openxmlformats.org/drawingml/2006/main" noChangeArrowheads="1"/>
        </cdr:cNvSpPr>
      </cdr:nvSpPr>
      <cdr:spPr bwMode="auto">
        <a:xfrm xmlns:a="http://schemas.openxmlformats.org/drawingml/2006/main">
          <a:off x="6883578" y="1374909"/>
          <a:ext cx="382815" cy="66475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1">
            <a:defRPr sz="1000"/>
          </a:pPr>
          <a:r>
            <a:rPr lang="pt-BR" sz="1200" b="1" i="0" strike="noStrike">
              <a:solidFill>
                <a:srgbClr val="000000"/>
              </a:solidFill>
              <a:latin typeface="Arial"/>
              <a:cs typeface="Arial"/>
            </a:rPr>
            <a:t>pH</a:t>
          </a:r>
        </a:p>
        <a:p xmlns:a="http://schemas.openxmlformats.org/drawingml/2006/main">
          <a:pPr algn="ctr" rtl="1">
            <a:defRPr sz="1000"/>
          </a:pPr>
          <a:endParaRPr lang="pt-BR" sz="1200" b="0" i="0" strike="noStrike">
            <a:solidFill>
              <a:srgbClr val="000000"/>
            </a:solidFill>
            <a:latin typeface="Arial"/>
            <a:cs typeface="Arial"/>
          </a:endParaRPr>
        </a:p>
        <a:p xmlns:a="http://schemas.openxmlformats.org/drawingml/2006/main">
          <a:pPr algn="ctr" rtl="1">
            <a:defRPr sz="1000"/>
          </a:pPr>
          <a:r>
            <a:rPr lang="pt-BR" sz="1200" b="0" i="0" strike="noStrike">
              <a:solidFill>
                <a:srgbClr val="000000"/>
              </a:solidFill>
              <a:latin typeface="Arial"/>
              <a:cs typeface="Arial"/>
            </a:rPr>
            <a:t>7</a:t>
          </a:r>
        </a:p>
      </cdr:txBody>
    </cdr:sp>
  </cdr:relSizeAnchor>
  <cdr:relSizeAnchor xmlns:cdr="http://schemas.openxmlformats.org/drawingml/2006/chartDrawing">
    <cdr:from>
      <cdr:x>0.9496</cdr:x>
      <cdr:y>0.82829</cdr:y>
    </cdr:from>
    <cdr:to>
      <cdr:x>0.98637</cdr:x>
      <cdr:y>0.90146</cdr:y>
    </cdr:to>
    <cdr:sp macro="" textlink="">
      <cdr:nvSpPr>
        <cdr:cNvPr id="2082820" name="Text Box 4"/>
        <cdr:cNvSpPr txBox="1">
          <a:spLocks xmlns:a="http://schemas.openxmlformats.org/drawingml/2006/main" noChangeArrowheads="1"/>
        </cdr:cNvSpPr>
      </cdr:nvSpPr>
      <cdr:spPr bwMode="auto">
        <a:xfrm xmlns:a="http://schemas.openxmlformats.org/drawingml/2006/main">
          <a:off x="6985867" y="3237865"/>
          <a:ext cx="270362" cy="2857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1">
            <a:defRPr sz="1000"/>
          </a:pPr>
          <a:r>
            <a:rPr lang="pt-BR" sz="1200" b="0" i="0" strike="noStrike">
              <a:solidFill>
                <a:srgbClr val="000000"/>
              </a:solidFill>
              <a:latin typeface="Arial"/>
              <a:cs typeface="Arial"/>
            </a:rPr>
            <a:t>0</a:t>
          </a:r>
        </a:p>
      </cdr:txBody>
    </cdr:sp>
  </cdr:relSizeAnchor>
</c:userShapes>
</file>

<file path=xl/drawings/drawing18.xml><?xml version="1.0" encoding="utf-8"?>
<xdr:wsDr xmlns:xdr="http://schemas.openxmlformats.org/drawingml/2006/spreadsheetDrawing" xmlns:a="http://schemas.openxmlformats.org/drawingml/2006/main">
  <xdr:twoCellAnchor>
    <xdr:from>
      <xdr:col>3</xdr:col>
      <xdr:colOff>638736</xdr:colOff>
      <xdr:row>23</xdr:row>
      <xdr:rowOff>148477</xdr:rowOff>
    </xdr:from>
    <xdr:to>
      <xdr:col>13</xdr:col>
      <xdr:colOff>739587</xdr:colOff>
      <xdr:row>43</xdr:row>
      <xdr:rowOff>145675</xdr:rowOff>
    </xdr:to>
    <xdr:graphicFrame macro="">
      <xdr:nvGraphicFramePr>
        <xdr:cNvPr id="2" name="Chart 2">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649940</xdr:colOff>
      <xdr:row>4</xdr:row>
      <xdr:rowOff>81803</xdr:rowOff>
    </xdr:from>
    <xdr:to>
      <xdr:col>13</xdr:col>
      <xdr:colOff>728382</xdr:colOff>
      <xdr:row>23</xdr:row>
      <xdr:rowOff>100854</xdr:rowOff>
    </xdr:to>
    <xdr:graphicFrame macro="">
      <xdr:nvGraphicFramePr>
        <xdr:cNvPr id="3" name="Chart 3">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498059</xdr:colOff>
      <xdr:row>16</xdr:row>
      <xdr:rowOff>153550</xdr:rowOff>
    </xdr:from>
    <xdr:to>
      <xdr:col>10</xdr:col>
      <xdr:colOff>405634</xdr:colOff>
      <xdr:row>20</xdr:row>
      <xdr:rowOff>109473</xdr:rowOff>
    </xdr:to>
    <xdr:sp macro="" textlink="">
      <xdr:nvSpPr>
        <xdr:cNvPr id="4" name="Text Box 34">
          <a:extLst>
            <a:ext uri="{FF2B5EF4-FFF2-40B4-BE49-F238E27FC236}">
              <a16:creationId xmlns:a16="http://schemas.microsoft.com/office/drawing/2014/main" id="{00000000-0008-0000-0500-000004000000}"/>
            </a:ext>
          </a:extLst>
        </xdr:cNvPr>
        <xdr:cNvSpPr txBox="1">
          <a:spLocks noChangeArrowheads="1"/>
        </xdr:cNvSpPr>
      </xdr:nvSpPr>
      <xdr:spPr bwMode="auto">
        <a:xfrm>
          <a:off x="4450934" y="3744475"/>
          <a:ext cx="2536475" cy="717923"/>
        </a:xfrm>
        <a:prstGeom prst="rect">
          <a:avLst/>
        </a:prstGeom>
        <a:solidFill>
          <a:srgbClr val="FFFFFF"/>
        </a:solidFill>
        <a:ln w="9525">
          <a:solidFill>
            <a:srgbClr val="000000"/>
          </a:solidFill>
          <a:miter lim="800000"/>
          <a:headEnd/>
          <a:tailEnd/>
        </a:ln>
        <a:effectLst/>
      </xdr:spPr>
      <xdr:txBody>
        <a:bodyPr vertOverflow="clip" wrap="square" lIns="27432" tIns="22860" rIns="0" bIns="0" anchor="t" upright="1"/>
        <a:lstStyle/>
        <a:p>
          <a:pPr algn="l" rtl="1">
            <a:defRPr sz="1000"/>
          </a:pPr>
          <a:r>
            <a:rPr lang="pt-BR" sz="1000" b="0" i="0" strike="noStrike">
              <a:solidFill>
                <a:srgbClr val="000000"/>
              </a:solidFill>
              <a:latin typeface="Arial"/>
              <a:cs typeface="Arial"/>
            </a:rPr>
            <a:t>Titration with  0.100 mol/L NaOH of  20 mL</a:t>
          </a:r>
        </a:p>
        <a:p>
          <a:pPr algn="l" rtl="1">
            <a:defRPr sz="1000"/>
          </a:pPr>
          <a:r>
            <a:rPr lang="pt-BR" sz="1000" b="0" i="0" strike="noStrike">
              <a:solidFill>
                <a:srgbClr val="000000"/>
              </a:solidFill>
              <a:latin typeface="Arial"/>
              <a:cs typeface="Arial"/>
            </a:rPr>
            <a:t>of sample containing 0.05 mol/L H3PO4 </a:t>
          </a:r>
          <a:br>
            <a:rPr lang="pt-BR" sz="1000" b="0" i="0" strike="noStrike">
              <a:solidFill>
                <a:srgbClr val="000000"/>
              </a:solidFill>
              <a:latin typeface="Arial"/>
              <a:cs typeface="Arial"/>
            </a:rPr>
          </a:br>
          <a:r>
            <a:rPr lang="pt-BR" sz="1000" b="0" i="0" strike="noStrike">
              <a:solidFill>
                <a:srgbClr val="000000"/>
              </a:solidFill>
              <a:latin typeface="Arial"/>
              <a:cs typeface="Arial"/>
            </a:rPr>
            <a:t>and 0.05 mol/L NaH2PO4 with simulated dispersion (sVol=0.05 mL and spH=0.05)</a:t>
          </a:r>
        </a:p>
      </xdr:txBody>
    </xdr:sp>
    <xdr:clientData/>
  </xdr:twoCellAnchor>
  <xdr:twoCellAnchor>
    <xdr:from>
      <xdr:col>0</xdr:col>
      <xdr:colOff>0</xdr:colOff>
      <xdr:row>0</xdr:row>
      <xdr:rowOff>0</xdr:rowOff>
    </xdr:from>
    <xdr:to>
      <xdr:col>1</xdr:col>
      <xdr:colOff>499393</xdr:colOff>
      <xdr:row>0</xdr:row>
      <xdr:rowOff>285750</xdr:rowOff>
    </xdr:to>
    <xdr:pic>
      <xdr:nvPicPr>
        <xdr:cNvPr id="5" name="Picture 11" descr="curtipotp">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3"/>
        <a:srcRect/>
        <a:stretch>
          <a:fillRect/>
        </a:stretch>
      </xdr:blipFill>
      <xdr:spPr bwMode="auto">
        <a:xfrm>
          <a:off x="0" y="0"/>
          <a:ext cx="1147093" cy="28575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3</xdr:col>
          <xdr:colOff>581025</xdr:colOff>
          <xdr:row>2</xdr:row>
          <xdr:rowOff>57150</xdr:rowOff>
        </xdr:from>
        <xdr:to>
          <xdr:col>5</xdr:col>
          <xdr:colOff>561975</xdr:colOff>
          <xdr:row>3</xdr:row>
          <xdr:rowOff>276225</xdr:rowOff>
        </xdr:to>
        <xdr:sp macro="" textlink="">
          <xdr:nvSpPr>
            <xdr:cNvPr id="5536769" name="Button 1" hidden="1">
              <a:extLst>
                <a:ext uri="{63B3BB69-23CF-44E3-9099-C40C66FF867C}">
                  <a14:compatExt spid="_x0000_s5536769"/>
                </a:ext>
                <a:ext uri="{FF2B5EF4-FFF2-40B4-BE49-F238E27FC236}">
                  <a16:creationId xmlns:a16="http://schemas.microsoft.com/office/drawing/2014/main" id="{00000000-0008-0000-0500-0000017C54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nl-NL" sz="1000" b="1" i="0" u="none" strike="noStrike" baseline="0">
                  <a:solidFill>
                    <a:srgbClr val="09007E"/>
                  </a:solidFill>
                  <a:latin typeface="Arial"/>
                  <a:cs typeface="Arial"/>
                </a:rPr>
                <a:t>Process</a:t>
              </a:r>
            </a:p>
            <a:p>
              <a:pPr algn="ctr" rtl="0">
                <a:defRPr sz="1000"/>
              </a:pPr>
              <a:r>
                <a:rPr lang="nl-NL" sz="1000" b="0" i="0" u="none" strike="noStrike" baseline="0">
                  <a:solidFill>
                    <a:srgbClr val="09007E"/>
                  </a:solidFill>
                  <a:latin typeface="Arial"/>
                  <a:cs typeface="Arial"/>
                </a:rPr>
                <a:t>Smooth, interpolate and find inflections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66675</xdr:colOff>
          <xdr:row>2</xdr:row>
          <xdr:rowOff>57150</xdr:rowOff>
        </xdr:from>
        <xdr:to>
          <xdr:col>1</xdr:col>
          <xdr:colOff>495300</xdr:colOff>
          <xdr:row>2</xdr:row>
          <xdr:rowOff>304800</xdr:rowOff>
        </xdr:to>
        <xdr:sp macro="" textlink="">
          <xdr:nvSpPr>
            <xdr:cNvPr id="5536770" name="Button 2" hidden="1">
              <a:extLst>
                <a:ext uri="{63B3BB69-23CF-44E3-9099-C40C66FF867C}">
                  <a14:compatExt spid="_x0000_s5536770"/>
                </a:ext>
                <a:ext uri="{FF2B5EF4-FFF2-40B4-BE49-F238E27FC236}">
                  <a16:creationId xmlns:a16="http://schemas.microsoft.com/office/drawing/2014/main" id="{00000000-0008-0000-0500-0000027C54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nl-NL" sz="1000" b="1" i="0" u="none" strike="noStrike" baseline="0">
                  <a:solidFill>
                    <a:srgbClr val="09007E"/>
                  </a:solidFill>
                  <a:latin typeface="Arial"/>
                  <a:cs typeface="Arial"/>
                </a:rPr>
                <a:t>Clear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2</xdr:row>
          <xdr:rowOff>57150</xdr:rowOff>
        </xdr:from>
        <xdr:to>
          <xdr:col>3</xdr:col>
          <xdr:colOff>504825</xdr:colOff>
          <xdr:row>2</xdr:row>
          <xdr:rowOff>295275</xdr:rowOff>
        </xdr:to>
        <xdr:sp macro="" textlink="">
          <xdr:nvSpPr>
            <xdr:cNvPr id="5536771" name="Button 3" hidden="1">
              <a:extLst>
                <a:ext uri="{63B3BB69-23CF-44E3-9099-C40C66FF867C}">
                  <a14:compatExt spid="_x0000_s5536771"/>
                </a:ext>
                <a:ext uri="{FF2B5EF4-FFF2-40B4-BE49-F238E27FC236}">
                  <a16:creationId xmlns:a16="http://schemas.microsoft.com/office/drawing/2014/main" id="{00000000-0008-0000-0500-0000037C54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nl-NL" sz="1000" b="0" i="0" u="none" strike="noStrike" baseline="0">
                  <a:solidFill>
                    <a:srgbClr val="09007E"/>
                  </a:solidFill>
                  <a:latin typeface="Arial"/>
                  <a:cs typeface="Arial"/>
                </a:rPr>
                <a:t>Copy Titration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561975</xdr:colOff>
          <xdr:row>3</xdr:row>
          <xdr:rowOff>38100</xdr:rowOff>
        </xdr:from>
        <xdr:to>
          <xdr:col>3</xdr:col>
          <xdr:colOff>504825</xdr:colOff>
          <xdr:row>3</xdr:row>
          <xdr:rowOff>266700</xdr:rowOff>
        </xdr:to>
        <xdr:sp macro="" textlink="">
          <xdr:nvSpPr>
            <xdr:cNvPr id="5536772" name="Button 4" hidden="1">
              <a:extLst>
                <a:ext uri="{63B3BB69-23CF-44E3-9099-C40C66FF867C}">
                  <a14:compatExt spid="_x0000_s5536772"/>
                </a:ext>
                <a:ext uri="{FF2B5EF4-FFF2-40B4-BE49-F238E27FC236}">
                  <a16:creationId xmlns:a16="http://schemas.microsoft.com/office/drawing/2014/main" id="{00000000-0008-0000-0500-0000047C54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nl-NL" sz="1000" b="0" i="0" u="none" strike="noStrike" baseline="0">
                  <a:solidFill>
                    <a:srgbClr val="09007E"/>
                  </a:solidFill>
                  <a:latin typeface="Arial"/>
                  <a:cs typeface="Arial"/>
                </a:rPr>
                <a:t>Copy Sim. with errors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295275</xdr:colOff>
          <xdr:row>20</xdr:row>
          <xdr:rowOff>57150</xdr:rowOff>
        </xdr:from>
        <xdr:to>
          <xdr:col>15</xdr:col>
          <xdr:colOff>781050</xdr:colOff>
          <xdr:row>21</xdr:row>
          <xdr:rowOff>142875</xdr:rowOff>
        </xdr:to>
        <xdr:sp macro="" textlink="">
          <xdr:nvSpPr>
            <xdr:cNvPr id="5536773" name="Button 5" hidden="1">
              <a:extLst>
                <a:ext uri="{63B3BB69-23CF-44E3-9099-C40C66FF867C}">
                  <a14:compatExt spid="_x0000_s5536773"/>
                </a:ext>
                <a:ext uri="{FF2B5EF4-FFF2-40B4-BE49-F238E27FC236}">
                  <a16:creationId xmlns:a16="http://schemas.microsoft.com/office/drawing/2014/main" id="{00000000-0008-0000-0500-0000057C54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nl-NL" sz="1000" b="0" i="0" u="none" strike="noStrike" baseline="0">
                  <a:solidFill>
                    <a:srgbClr val="09007E"/>
                  </a:solidFill>
                  <a:latin typeface="Arial"/>
                  <a:cs typeface="Arial"/>
                </a:rPr>
                <a:t>Copy volumes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66675</xdr:colOff>
          <xdr:row>3</xdr:row>
          <xdr:rowOff>28575</xdr:rowOff>
        </xdr:from>
        <xdr:to>
          <xdr:col>1</xdr:col>
          <xdr:colOff>504825</xdr:colOff>
          <xdr:row>3</xdr:row>
          <xdr:rowOff>266700</xdr:rowOff>
        </xdr:to>
        <xdr:sp macro="" textlink="">
          <xdr:nvSpPr>
            <xdr:cNvPr id="5536774" name="Button 6" hidden="1">
              <a:extLst>
                <a:ext uri="{63B3BB69-23CF-44E3-9099-C40C66FF867C}">
                  <a14:compatExt spid="_x0000_s5536774"/>
                </a:ext>
                <a:ext uri="{FF2B5EF4-FFF2-40B4-BE49-F238E27FC236}">
                  <a16:creationId xmlns:a16="http://schemas.microsoft.com/office/drawing/2014/main" id="{00000000-0008-0000-0500-0000067C54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nl-NL" sz="1000" b="0" i="0" u="none" strike="noStrike" baseline="0">
                  <a:solidFill>
                    <a:srgbClr val="09007E"/>
                  </a:solidFill>
                  <a:latin typeface="Arial"/>
                  <a:cs typeface="Arial"/>
                </a:rPr>
                <a:t>Copy Simulation</a:t>
              </a:r>
            </a:p>
          </xdr:txBody>
        </xdr:sp>
        <xdr:clientData fPrintsWithSheet="0"/>
      </xdr:twoCellAnchor>
    </mc:Choice>
    <mc:Fallback/>
  </mc:AlternateContent>
</xdr:wsDr>
</file>

<file path=xl/drawings/drawing19.xml><?xml version="1.0" encoding="utf-8"?>
<c:userShapes xmlns:c="http://schemas.openxmlformats.org/drawingml/2006/chart">
  <cdr:relSizeAnchor xmlns:cdr="http://schemas.openxmlformats.org/drawingml/2006/chartDrawing">
    <cdr:from>
      <cdr:x>0.89225</cdr:x>
      <cdr:y>0</cdr:y>
    </cdr:from>
    <cdr:to>
      <cdr:x>0.92009</cdr:x>
      <cdr:y>0</cdr:y>
    </cdr:to>
    <cdr:pic>
      <cdr:nvPicPr>
        <cdr:cNvPr id="22529" name="Picture 1" descr="curtipotp">
          <a:extLst xmlns:a="http://schemas.openxmlformats.org/drawingml/2006/main">
            <a:ext uri="{FF2B5EF4-FFF2-40B4-BE49-F238E27FC236}">
              <a16:creationId xmlns:a16="http://schemas.microsoft.com/office/drawing/2014/main" id="{C962A818-B6E1-4BB6-A600-F1EBF71A29E5}"/>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6097058" y="42720"/>
          <a:ext cx="740833" cy="196609"/>
        </a:xfrm>
        <a:prstGeom xmlns:a="http://schemas.openxmlformats.org/drawingml/2006/main" prst="rect">
          <a:avLst/>
        </a:prstGeom>
        <a:noFill xmlns:a="http://schemas.openxmlformats.org/drawingml/2006/main"/>
      </cdr:spPr>
    </cdr:pic>
  </cdr:relSizeAnchor>
  <cdr:relSizeAnchor xmlns:cdr="http://schemas.openxmlformats.org/drawingml/2006/chartDrawing">
    <cdr:from>
      <cdr:x>0.86971</cdr:x>
      <cdr:y>0.0087</cdr:y>
    </cdr:from>
    <cdr:to>
      <cdr:x>0.96058</cdr:x>
      <cdr:y>0.06019</cdr:y>
    </cdr:to>
    <cdr:pic>
      <cdr:nvPicPr>
        <cdr:cNvPr id="3" name="Picture 4" descr="curtipotp">
          <a:extLst xmlns:a="http://schemas.openxmlformats.org/drawingml/2006/main">
            <a:ext uri="{FF2B5EF4-FFF2-40B4-BE49-F238E27FC236}">
              <a16:creationId xmlns:a16="http://schemas.microsoft.com/office/drawing/2014/main" id="{66D3F74E-E952-4144-B860-F27726825EBC}"/>
            </a:ext>
          </a:extLst>
        </cdr:cNvPr>
        <cdr:cNvPicPr preferRelativeResize="0">
          <a:picLocks xmlns:a="http://schemas.openxmlformats.org/drawingml/2006/main"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5759823" y="33617"/>
          <a:ext cx="601806" cy="198906"/>
        </a:xfrm>
        <a:prstGeom xmlns:a="http://schemas.openxmlformats.org/drawingml/2006/main" prst="rect">
          <a:avLst/>
        </a:prstGeom>
        <a:noFill xmlns:a="http://schemas.openxmlformats.org/drawingml/2006/main"/>
      </cdr:spPr>
    </cdr:pic>
  </cdr:relSizeAnchor>
</c:userShapes>
</file>

<file path=xl/drawings/drawing2.xml><?xml version="1.0" encoding="utf-8"?>
<xdr:wsDr xmlns:xdr="http://schemas.openxmlformats.org/drawingml/2006/spreadsheetDrawing" xmlns:a="http://schemas.openxmlformats.org/drawingml/2006/main">
  <xdr:twoCellAnchor>
    <xdr:from>
      <xdr:col>0</xdr:col>
      <xdr:colOff>257175</xdr:colOff>
      <xdr:row>18</xdr:row>
      <xdr:rowOff>19050</xdr:rowOff>
    </xdr:from>
    <xdr:to>
      <xdr:col>0</xdr:col>
      <xdr:colOff>581025</xdr:colOff>
      <xdr:row>20</xdr:row>
      <xdr:rowOff>0</xdr:rowOff>
    </xdr:to>
    <xdr:pic>
      <xdr:nvPicPr>
        <xdr:cNvPr id="146026" name="Picture 43" descr="Curtipot_Icon">
          <a:extLst>
            <a:ext uri="{FF2B5EF4-FFF2-40B4-BE49-F238E27FC236}">
              <a16:creationId xmlns:a16="http://schemas.microsoft.com/office/drawing/2014/main" id="{00000000-0008-0000-0100-00006A3A0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7175" y="3981450"/>
          <a:ext cx="323850" cy="304800"/>
        </a:xfrm>
        <a:prstGeom prst="rect">
          <a:avLst/>
        </a:prstGeom>
        <a:noFill/>
        <a:ln w="9525">
          <a:noFill/>
          <a:miter lim="800000"/>
          <a:headEnd/>
          <a:tailEnd/>
        </a:ln>
      </xdr:spPr>
    </xdr:pic>
    <xdr:clientData/>
  </xdr:twoCellAnchor>
  <xdr:twoCellAnchor>
    <xdr:from>
      <xdr:col>0</xdr:col>
      <xdr:colOff>0</xdr:colOff>
      <xdr:row>0</xdr:row>
      <xdr:rowOff>0</xdr:rowOff>
    </xdr:from>
    <xdr:to>
      <xdr:col>1</xdr:col>
      <xdr:colOff>176371</xdr:colOff>
      <xdr:row>0</xdr:row>
      <xdr:rowOff>285750</xdr:rowOff>
    </xdr:to>
    <xdr:pic>
      <xdr:nvPicPr>
        <xdr:cNvPr id="14" name="Picture 11" descr="curtipotp">
          <a:extLst>
            <a:ext uri="{FF2B5EF4-FFF2-40B4-BE49-F238E27FC236}">
              <a16:creationId xmlns:a16="http://schemas.microsoft.com/office/drawing/2014/main" id="{00000000-0008-0000-0100-00000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0"/>
          <a:ext cx="1145436" cy="28575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1</xdr:col>
          <xdr:colOff>0</xdr:colOff>
          <xdr:row>18</xdr:row>
          <xdr:rowOff>0</xdr:rowOff>
        </xdr:from>
        <xdr:to>
          <xdr:col>4</xdr:col>
          <xdr:colOff>676275</xdr:colOff>
          <xdr:row>20</xdr:row>
          <xdr:rowOff>57150</xdr:rowOff>
        </xdr:to>
        <xdr:sp macro="" textlink="">
          <xdr:nvSpPr>
            <xdr:cNvPr id="145409" name="Button 1" hidden="1">
              <a:extLst>
                <a:ext uri="{63B3BB69-23CF-44E3-9099-C40C66FF867C}">
                  <a14:compatExt spid="_x0000_s145409"/>
                </a:ext>
                <a:ext uri="{FF2B5EF4-FFF2-40B4-BE49-F238E27FC236}">
                  <a16:creationId xmlns:a16="http://schemas.microsoft.com/office/drawing/2014/main" id="{00000000-0008-0000-0100-0000013802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nl-NL" sz="1100" b="1" i="0" u="none" strike="noStrike" baseline="0">
                  <a:solidFill>
                    <a:srgbClr val="09007E"/>
                  </a:solidFill>
                  <a:latin typeface="Arial"/>
                  <a:cs typeface="Arial"/>
                </a:rPr>
                <a:t>    Calculate pH</a:t>
              </a:r>
              <a:r>
                <a:rPr lang="nl-NL" sz="1100" b="0" i="0" u="none" strike="noStrike" baseline="0">
                  <a:solidFill>
                    <a:srgbClr val="09007E"/>
                  </a:solidFill>
                  <a:latin typeface="Arial"/>
                  <a:cs typeface="Arial"/>
                </a:rPr>
                <a:t> and related equilibrium data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xdr:row>
          <xdr:rowOff>0</xdr:rowOff>
        </xdr:from>
        <xdr:to>
          <xdr:col>11</xdr:col>
          <xdr:colOff>638175</xdr:colOff>
          <xdr:row>2</xdr:row>
          <xdr:rowOff>0</xdr:rowOff>
        </xdr:to>
        <xdr:sp macro="" textlink="">
          <xdr:nvSpPr>
            <xdr:cNvPr id="145942" name="Drop Down 534" hidden="1">
              <a:extLst>
                <a:ext uri="{63B3BB69-23CF-44E3-9099-C40C66FF867C}">
                  <a14:compatExt spid="_x0000_s145942"/>
                </a:ext>
                <a:ext uri="{FF2B5EF4-FFF2-40B4-BE49-F238E27FC236}">
                  <a16:creationId xmlns:a16="http://schemas.microsoft.com/office/drawing/2014/main" id="{00000000-0008-0000-0100-0000163A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xdr:row>
          <xdr:rowOff>0</xdr:rowOff>
        </xdr:from>
        <xdr:to>
          <xdr:col>12</xdr:col>
          <xdr:colOff>847725</xdr:colOff>
          <xdr:row>2</xdr:row>
          <xdr:rowOff>0</xdr:rowOff>
        </xdr:to>
        <xdr:sp macro="" textlink="">
          <xdr:nvSpPr>
            <xdr:cNvPr id="145943" name="Drop Down 535" hidden="1">
              <a:extLst>
                <a:ext uri="{63B3BB69-23CF-44E3-9099-C40C66FF867C}">
                  <a14:compatExt spid="_x0000_s145943"/>
                </a:ext>
                <a:ext uri="{FF2B5EF4-FFF2-40B4-BE49-F238E27FC236}">
                  <a16:creationId xmlns:a16="http://schemas.microsoft.com/office/drawing/2014/main" id="{00000000-0008-0000-0100-0000173A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xdr:row>
          <xdr:rowOff>0</xdr:rowOff>
        </xdr:from>
        <xdr:to>
          <xdr:col>13</xdr:col>
          <xdr:colOff>866775</xdr:colOff>
          <xdr:row>2</xdr:row>
          <xdr:rowOff>0</xdr:rowOff>
        </xdr:to>
        <xdr:sp macro="" textlink="">
          <xdr:nvSpPr>
            <xdr:cNvPr id="145944" name="Drop Down 536" hidden="1">
              <a:extLst>
                <a:ext uri="{63B3BB69-23CF-44E3-9099-C40C66FF867C}">
                  <a14:compatExt spid="_x0000_s145944"/>
                </a:ext>
                <a:ext uri="{FF2B5EF4-FFF2-40B4-BE49-F238E27FC236}">
                  <a16:creationId xmlns:a16="http://schemas.microsoft.com/office/drawing/2014/main" id="{00000000-0008-0000-0100-0000183A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xdr:row>
          <xdr:rowOff>0</xdr:rowOff>
        </xdr:from>
        <xdr:to>
          <xdr:col>14</xdr:col>
          <xdr:colOff>457200</xdr:colOff>
          <xdr:row>2</xdr:row>
          <xdr:rowOff>0</xdr:rowOff>
        </xdr:to>
        <xdr:sp macro="" textlink="">
          <xdr:nvSpPr>
            <xdr:cNvPr id="145945" name="Drop Down 537" hidden="1">
              <a:extLst>
                <a:ext uri="{63B3BB69-23CF-44E3-9099-C40C66FF867C}">
                  <a14:compatExt spid="_x0000_s145945"/>
                </a:ext>
                <a:ext uri="{FF2B5EF4-FFF2-40B4-BE49-F238E27FC236}">
                  <a16:creationId xmlns:a16="http://schemas.microsoft.com/office/drawing/2014/main" id="{00000000-0008-0000-0100-0000193A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xdr:row>
          <xdr:rowOff>0</xdr:rowOff>
        </xdr:from>
        <xdr:to>
          <xdr:col>15</xdr:col>
          <xdr:colOff>866775</xdr:colOff>
          <xdr:row>2</xdr:row>
          <xdr:rowOff>0</xdr:rowOff>
        </xdr:to>
        <xdr:sp macro="" textlink="">
          <xdr:nvSpPr>
            <xdr:cNvPr id="145946" name="Drop Down 538" hidden="1">
              <a:extLst>
                <a:ext uri="{63B3BB69-23CF-44E3-9099-C40C66FF867C}">
                  <a14:compatExt spid="_x0000_s145946"/>
                </a:ext>
                <a:ext uri="{FF2B5EF4-FFF2-40B4-BE49-F238E27FC236}">
                  <a16:creationId xmlns:a16="http://schemas.microsoft.com/office/drawing/2014/main" id="{00000000-0008-0000-0100-00001A3A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xdr:row>
          <xdr:rowOff>0</xdr:rowOff>
        </xdr:from>
        <xdr:to>
          <xdr:col>16</xdr:col>
          <xdr:colOff>457200</xdr:colOff>
          <xdr:row>2</xdr:row>
          <xdr:rowOff>0</xdr:rowOff>
        </xdr:to>
        <xdr:sp macro="" textlink="">
          <xdr:nvSpPr>
            <xdr:cNvPr id="145947" name="Drop Down 539" hidden="1">
              <a:extLst>
                <a:ext uri="{63B3BB69-23CF-44E3-9099-C40C66FF867C}">
                  <a14:compatExt spid="_x0000_s145947"/>
                </a:ext>
                <a:ext uri="{FF2B5EF4-FFF2-40B4-BE49-F238E27FC236}">
                  <a16:creationId xmlns:a16="http://schemas.microsoft.com/office/drawing/2014/main" id="{00000000-0008-0000-0100-00001B3A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xdr:row>
          <xdr:rowOff>0</xdr:rowOff>
        </xdr:from>
        <xdr:to>
          <xdr:col>17</xdr:col>
          <xdr:colOff>228600</xdr:colOff>
          <xdr:row>2</xdr:row>
          <xdr:rowOff>0</xdr:rowOff>
        </xdr:to>
        <xdr:sp macro="" textlink="">
          <xdr:nvSpPr>
            <xdr:cNvPr id="145948" name="Drop Down 540" hidden="1">
              <a:extLst>
                <a:ext uri="{63B3BB69-23CF-44E3-9099-C40C66FF867C}">
                  <a14:compatExt spid="_x0000_s145948"/>
                </a:ext>
                <a:ext uri="{FF2B5EF4-FFF2-40B4-BE49-F238E27FC236}">
                  <a16:creationId xmlns:a16="http://schemas.microsoft.com/office/drawing/2014/main" id="{00000000-0008-0000-0100-00001C3A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57150</xdr:colOff>
          <xdr:row>0</xdr:row>
          <xdr:rowOff>57150</xdr:rowOff>
        </xdr:from>
        <xdr:to>
          <xdr:col>9</xdr:col>
          <xdr:colOff>1104900</xdr:colOff>
          <xdr:row>2</xdr:row>
          <xdr:rowOff>85725</xdr:rowOff>
        </xdr:to>
        <xdr:sp macro="" textlink="">
          <xdr:nvSpPr>
            <xdr:cNvPr id="145956" name="Button 548" hidden="1">
              <a:extLst>
                <a:ext uri="{63B3BB69-23CF-44E3-9099-C40C66FF867C}">
                  <a14:compatExt spid="_x0000_s145956"/>
                </a:ext>
                <a:ext uri="{FF2B5EF4-FFF2-40B4-BE49-F238E27FC236}">
                  <a16:creationId xmlns:a16="http://schemas.microsoft.com/office/drawing/2014/main" id="{00000000-0008-0000-0100-0000243A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nl-NL" sz="1000" b="1" i="0" u="none" strike="noStrike" baseline="0">
                  <a:solidFill>
                    <a:srgbClr val="09007E"/>
                  </a:solidFill>
                  <a:latin typeface="Arial"/>
                  <a:cs typeface="Arial"/>
                </a:rPr>
                <a:t>Load pKa</a:t>
              </a:r>
              <a:r>
                <a:rPr lang="nl-NL" sz="1000" b="0" i="0" u="none" strike="noStrike" baseline="0">
                  <a:solidFill>
                    <a:srgbClr val="09007E"/>
                  </a:solidFill>
                  <a:latin typeface="Arial"/>
                  <a:cs typeface="Arial"/>
                </a:rPr>
                <a:t>s </a:t>
              </a:r>
            </a:p>
            <a:p>
              <a:pPr algn="ctr" rtl="0">
                <a:defRPr sz="1000"/>
              </a:pPr>
              <a:r>
                <a:rPr lang="nl-NL" sz="1000" b="0" i="0" u="none" strike="noStrike" baseline="0">
                  <a:solidFill>
                    <a:srgbClr val="09007E"/>
                  </a:solidFill>
                  <a:latin typeface="Arial"/>
                  <a:cs typeface="Arial"/>
                </a:rPr>
                <a:t>of these H</a:t>
              </a:r>
              <a:r>
                <a:rPr lang="nl-NL" sz="1200" b="0" i="0" u="none" strike="noStrike" baseline="-25000">
                  <a:solidFill>
                    <a:srgbClr val="09007E"/>
                  </a:solidFill>
                  <a:latin typeface="Arial"/>
                  <a:cs typeface="Arial"/>
                </a:rPr>
                <a:t>i</a:t>
              </a:r>
              <a:r>
                <a:rPr lang="nl-NL" sz="1000" b="0" i="0" u="none" strike="noStrike" baseline="0">
                  <a:solidFill>
                    <a:srgbClr val="09007E"/>
                  </a:solidFill>
                  <a:latin typeface="Arial"/>
                  <a:cs typeface="Arial"/>
                </a:rPr>
                <a:t>B ---&gt;</a:t>
              </a:r>
            </a:p>
          </xdr:txBody>
        </xdr:sp>
        <xdr:clientData fPrintsWithSheet="0"/>
      </xdr:twoCellAnchor>
    </mc:Choice>
    <mc:Fallback/>
  </mc:AlternateContent>
</xdr:wsDr>
</file>

<file path=xl/drawings/drawing20.xml><?xml version="1.0" encoding="utf-8"?>
<c:userShapes xmlns:c="http://schemas.openxmlformats.org/drawingml/2006/chart">
  <cdr:relSizeAnchor xmlns:cdr="http://schemas.openxmlformats.org/drawingml/2006/chartDrawing">
    <cdr:from>
      <cdr:x>0.876</cdr:x>
      <cdr:y>0</cdr:y>
    </cdr:from>
    <cdr:to>
      <cdr:x>0.89078</cdr:x>
      <cdr:y>0</cdr:y>
    </cdr:to>
    <cdr:pic>
      <cdr:nvPicPr>
        <cdr:cNvPr id="55297" name="Picture 1" descr="curtipotp">
          <a:extLst xmlns:a="http://schemas.openxmlformats.org/drawingml/2006/main">
            <a:ext uri="{FF2B5EF4-FFF2-40B4-BE49-F238E27FC236}">
              <a16:creationId xmlns:a16="http://schemas.microsoft.com/office/drawing/2014/main" id="{64EC0FD6-7231-4475-B02D-8CE7C33397DB}"/>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6080688" y="35999"/>
          <a:ext cx="704288" cy="183352"/>
        </a:xfrm>
        <a:prstGeom xmlns:a="http://schemas.openxmlformats.org/drawingml/2006/main" prst="rect">
          <a:avLst/>
        </a:prstGeom>
        <a:noFill xmlns:a="http://schemas.openxmlformats.org/drawingml/2006/main"/>
      </cdr:spPr>
    </cdr:pic>
  </cdr:relSizeAnchor>
  <cdr:relSizeAnchor xmlns:cdr="http://schemas.openxmlformats.org/drawingml/2006/chartDrawing">
    <cdr:from>
      <cdr:x>0.87367</cdr:x>
      <cdr:y>0.00816</cdr:y>
    </cdr:from>
    <cdr:to>
      <cdr:x>0.95916</cdr:x>
      <cdr:y>0.0634</cdr:y>
    </cdr:to>
    <cdr:pic>
      <cdr:nvPicPr>
        <cdr:cNvPr id="3" name="Picture 4" descr="curtipotp">
          <a:extLst xmlns:a="http://schemas.openxmlformats.org/drawingml/2006/main">
            <a:ext uri="{FF2B5EF4-FFF2-40B4-BE49-F238E27FC236}">
              <a16:creationId xmlns:a16="http://schemas.microsoft.com/office/drawing/2014/main" id="{7A3B4ECD-0078-4C7B-AA4B-32B8716D6B64}"/>
            </a:ext>
          </a:extLst>
        </cdr:cNvPr>
        <cdr:cNvPicPr preferRelativeResize="0">
          <a:picLocks xmlns:a="http://schemas.openxmlformats.org/drawingml/2006/main"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5766454" y="30151"/>
          <a:ext cx="564257" cy="204089"/>
        </a:xfrm>
        <a:prstGeom xmlns:a="http://schemas.openxmlformats.org/drawingml/2006/main" prst="rect">
          <a:avLst/>
        </a:prstGeom>
        <a:noFill xmlns:a="http://schemas.openxmlformats.org/drawingml/2006/main"/>
      </cdr:spPr>
    </cdr:pic>
  </cdr:relSizeAnchor>
</c:userShapes>
</file>

<file path=xl/drawings/drawing21.xml><?xml version="1.0" encoding="utf-8"?>
<xdr:wsDr xmlns:xdr="http://schemas.openxmlformats.org/drawingml/2006/spreadsheetDrawing" xmlns:a="http://schemas.openxmlformats.org/drawingml/2006/main">
  <xdr:twoCellAnchor>
    <xdr:from>
      <xdr:col>3</xdr:col>
      <xdr:colOff>638736</xdr:colOff>
      <xdr:row>23</xdr:row>
      <xdr:rowOff>148477</xdr:rowOff>
    </xdr:from>
    <xdr:to>
      <xdr:col>13</xdr:col>
      <xdr:colOff>739587</xdr:colOff>
      <xdr:row>43</xdr:row>
      <xdr:rowOff>145675</xdr:rowOff>
    </xdr:to>
    <xdr:graphicFrame macro="">
      <xdr:nvGraphicFramePr>
        <xdr:cNvPr id="2" name="Chart 2">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649940</xdr:colOff>
      <xdr:row>4</xdr:row>
      <xdr:rowOff>81803</xdr:rowOff>
    </xdr:from>
    <xdr:to>
      <xdr:col>13</xdr:col>
      <xdr:colOff>728382</xdr:colOff>
      <xdr:row>23</xdr:row>
      <xdr:rowOff>100854</xdr:rowOff>
    </xdr:to>
    <xdr:graphicFrame macro="">
      <xdr:nvGraphicFramePr>
        <xdr:cNvPr id="3" name="Chart 3">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xdr:col>
      <xdr:colOff>499393</xdr:colOff>
      <xdr:row>0</xdr:row>
      <xdr:rowOff>285750</xdr:rowOff>
    </xdr:to>
    <xdr:pic>
      <xdr:nvPicPr>
        <xdr:cNvPr id="5" name="Picture 11" descr="curtipotp">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3"/>
        <a:srcRect/>
        <a:stretch>
          <a:fillRect/>
        </a:stretch>
      </xdr:blipFill>
      <xdr:spPr bwMode="auto">
        <a:xfrm>
          <a:off x="0" y="0"/>
          <a:ext cx="1147093" cy="28575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3</xdr:col>
          <xdr:colOff>581025</xdr:colOff>
          <xdr:row>2</xdr:row>
          <xdr:rowOff>57150</xdr:rowOff>
        </xdr:from>
        <xdr:to>
          <xdr:col>5</xdr:col>
          <xdr:colOff>561975</xdr:colOff>
          <xdr:row>3</xdr:row>
          <xdr:rowOff>276225</xdr:rowOff>
        </xdr:to>
        <xdr:sp macro="" textlink="">
          <xdr:nvSpPr>
            <xdr:cNvPr id="5537793" name="Button 1" hidden="1">
              <a:extLst>
                <a:ext uri="{63B3BB69-23CF-44E3-9099-C40C66FF867C}">
                  <a14:compatExt spid="_x0000_s5537793"/>
                </a:ext>
                <a:ext uri="{FF2B5EF4-FFF2-40B4-BE49-F238E27FC236}">
                  <a16:creationId xmlns:a16="http://schemas.microsoft.com/office/drawing/2014/main" id="{00000000-0008-0000-0600-0000018054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nl-NL" sz="1000" b="1" i="0" u="none" strike="noStrike" baseline="0">
                  <a:solidFill>
                    <a:srgbClr val="09007E"/>
                  </a:solidFill>
                  <a:latin typeface="Arial"/>
                  <a:cs typeface="Arial"/>
                </a:rPr>
                <a:t>Process</a:t>
              </a:r>
            </a:p>
            <a:p>
              <a:pPr algn="ctr" rtl="0">
                <a:defRPr sz="1000"/>
              </a:pPr>
              <a:r>
                <a:rPr lang="nl-NL" sz="1000" b="0" i="0" u="none" strike="noStrike" baseline="0">
                  <a:solidFill>
                    <a:srgbClr val="09007E"/>
                  </a:solidFill>
                  <a:latin typeface="Arial"/>
                  <a:cs typeface="Arial"/>
                </a:rPr>
                <a:t>Smooth, interpolate and find inflections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66675</xdr:colOff>
          <xdr:row>2</xdr:row>
          <xdr:rowOff>57150</xdr:rowOff>
        </xdr:from>
        <xdr:to>
          <xdr:col>1</xdr:col>
          <xdr:colOff>495300</xdr:colOff>
          <xdr:row>2</xdr:row>
          <xdr:rowOff>304800</xdr:rowOff>
        </xdr:to>
        <xdr:sp macro="" textlink="">
          <xdr:nvSpPr>
            <xdr:cNvPr id="5537794" name="Button 2" hidden="1">
              <a:extLst>
                <a:ext uri="{63B3BB69-23CF-44E3-9099-C40C66FF867C}">
                  <a14:compatExt spid="_x0000_s5537794"/>
                </a:ext>
                <a:ext uri="{FF2B5EF4-FFF2-40B4-BE49-F238E27FC236}">
                  <a16:creationId xmlns:a16="http://schemas.microsoft.com/office/drawing/2014/main" id="{00000000-0008-0000-0600-0000028054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nl-NL" sz="1000" b="1" i="0" u="none" strike="noStrike" baseline="0">
                  <a:solidFill>
                    <a:srgbClr val="09007E"/>
                  </a:solidFill>
                  <a:latin typeface="Arial"/>
                  <a:cs typeface="Arial"/>
                </a:rPr>
                <a:t>Clear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xdr:colOff>
          <xdr:row>2</xdr:row>
          <xdr:rowOff>57150</xdr:rowOff>
        </xdr:from>
        <xdr:to>
          <xdr:col>3</xdr:col>
          <xdr:colOff>504825</xdr:colOff>
          <xdr:row>2</xdr:row>
          <xdr:rowOff>295275</xdr:rowOff>
        </xdr:to>
        <xdr:sp macro="" textlink="">
          <xdr:nvSpPr>
            <xdr:cNvPr id="5537795" name="Button 3" hidden="1">
              <a:extLst>
                <a:ext uri="{63B3BB69-23CF-44E3-9099-C40C66FF867C}">
                  <a14:compatExt spid="_x0000_s5537795"/>
                </a:ext>
                <a:ext uri="{FF2B5EF4-FFF2-40B4-BE49-F238E27FC236}">
                  <a16:creationId xmlns:a16="http://schemas.microsoft.com/office/drawing/2014/main" id="{00000000-0008-0000-0600-0000038054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nl-NL" sz="1000" b="0" i="0" u="none" strike="noStrike" baseline="0">
                  <a:solidFill>
                    <a:srgbClr val="09007E"/>
                  </a:solidFill>
                  <a:latin typeface="Arial"/>
                  <a:cs typeface="Arial"/>
                </a:rPr>
                <a:t>Copy Titration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561975</xdr:colOff>
          <xdr:row>3</xdr:row>
          <xdr:rowOff>38100</xdr:rowOff>
        </xdr:from>
        <xdr:to>
          <xdr:col>3</xdr:col>
          <xdr:colOff>504825</xdr:colOff>
          <xdr:row>3</xdr:row>
          <xdr:rowOff>266700</xdr:rowOff>
        </xdr:to>
        <xdr:sp macro="" textlink="">
          <xdr:nvSpPr>
            <xdr:cNvPr id="5537796" name="Button 4" hidden="1">
              <a:extLst>
                <a:ext uri="{63B3BB69-23CF-44E3-9099-C40C66FF867C}">
                  <a14:compatExt spid="_x0000_s5537796"/>
                </a:ext>
                <a:ext uri="{FF2B5EF4-FFF2-40B4-BE49-F238E27FC236}">
                  <a16:creationId xmlns:a16="http://schemas.microsoft.com/office/drawing/2014/main" id="{00000000-0008-0000-0600-0000048054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nl-NL" sz="1000" b="0" i="0" u="none" strike="noStrike" baseline="0">
                  <a:solidFill>
                    <a:srgbClr val="09007E"/>
                  </a:solidFill>
                  <a:latin typeface="Arial"/>
                  <a:cs typeface="Arial"/>
                </a:rPr>
                <a:t>Copy Sim. with errors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295275</xdr:colOff>
          <xdr:row>20</xdr:row>
          <xdr:rowOff>57150</xdr:rowOff>
        </xdr:from>
        <xdr:to>
          <xdr:col>15</xdr:col>
          <xdr:colOff>781050</xdr:colOff>
          <xdr:row>21</xdr:row>
          <xdr:rowOff>142875</xdr:rowOff>
        </xdr:to>
        <xdr:sp macro="" textlink="">
          <xdr:nvSpPr>
            <xdr:cNvPr id="5537797" name="Button 5" hidden="1">
              <a:extLst>
                <a:ext uri="{63B3BB69-23CF-44E3-9099-C40C66FF867C}">
                  <a14:compatExt spid="_x0000_s5537797"/>
                </a:ext>
                <a:ext uri="{FF2B5EF4-FFF2-40B4-BE49-F238E27FC236}">
                  <a16:creationId xmlns:a16="http://schemas.microsoft.com/office/drawing/2014/main" id="{00000000-0008-0000-0600-0000058054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nl-NL" sz="1000" b="0" i="0" u="none" strike="noStrike" baseline="0">
                  <a:solidFill>
                    <a:srgbClr val="09007E"/>
                  </a:solidFill>
                  <a:latin typeface="Arial"/>
                  <a:cs typeface="Arial"/>
                </a:rPr>
                <a:t>Copy volumes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66675</xdr:colOff>
          <xdr:row>3</xdr:row>
          <xdr:rowOff>28575</xdr:rowOff>
        </xdr:from>
        <xdr:to>
          <xdr:col>1</xdr:col>
          <xdr:colOff>504825</xdr:colOff>
          <xdr:row>3</xdr:row>
          <xdr:rowOff>266700</xdr:rowOff>
        </xdr:to>
        <xdr:sp macro="" textlink="">
          <xdr:nvSpPr>
            <xdr:cNvPr id="5537798" name="Button 6" hidden="1">
              <a:extLst>
                <a:ext uri="{63B3BB69-23CF-44E3-9099-C40C66FF867C}">
                  <a14:compatExt spid="_x0000_s5537798"/>
                </a:ext>
                <a:ext uri="{FF2B5EF4-FFF2-40B4-BE49-F238E27FC236}">
                  <a16:creationId xmlns:a16="http://schemas.microsoft.com/office/drawing/2014/main" id="{00000000-0008-0000-0600-0000068054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nl-NL" sz="1000" b="0" i="0" u="none" strike="noStrike" baseline="0">
                  <a:solidFill>
                    <a:srgbClr val="09007E"/>
                  </a:solidFill>
                  <a:latin typeface="Arial"/>
                  <a:cs typeface="Arial"/>
                </a:rPr>
                <a:t>Copy Simulation</a:t>
              </a:r>
            </a:p>
          </xdr:txBody>
        </xdr:sp>
        <xdr:clientData fPrintsWithSheet="0"/>
      </xdr:twoCellAnchor>
    </mc:Choice>
    <mc:Fallback/>
  </mc:AlternateContent>
</xdr:wsDr>
</file>

<file path=xl/drawings/drawing22.xml><?xml version="1.0" encoding="utf-8"?>
<c:userShapes xmlns:c="http://schemas.openxmlformats.org/drawingml/2006/chart">
  <cdr:relSizeAnchor xmlns:cdr="http://schemas.openxmlformats.org/drawingml/2006/chartDrawing">
    <cdr:from>
      <cdr:x>0.89225</cdr:x>
      <cdr:y>0</cdr:y>
    </cdr:from>
    <cdr:to>
      <cdr:x>0.92009</cdr:x>
      <cdr:y>0</cdr:y>
    </cdr:to>
    <cdr:pic>
      <cdr:nvPicPr>
        <cdr:cNvPr id="22529" name="Picture 1" descr="curtipotp">
          <a:extLst xmlns:a="http://schemas.openxmlformats.org/drawingml/2006/main">
            <a:ext uri="{FF2B5EF4-FFF2-40B4-BE49-F238E27FC236}">
              <a16:creationId xmlns:a16="http://schemas.microsoft.com/office/drawing/2014/main" id="{020A2EDF-DD45-41A8-8927-52A8220012E2}"/>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6097058" y="42720"/>
          <a:ext cx="740833" cy="196609"/>
        </a:xfrm>
        <a:prstGeom xmlns:a="http://schemas.openxmlformats.org/drawingml/2006/main" prst="rect">
          <a:avLst/>
        </a:prstGeom>
        <a:noFill xmlns:a="http://schemas.openxmlformats.org/drawingml/2006/main"/>
      </cdr:spPr>
    </cdr:pic>
  </cdr:relSizeAnchor>
  <cdr:relSizeAnchor xmlns:cdr="http://schemas.openxmlformats.org/drawingml/2006/chartDrawing">
    <cdr:from>
      <cdr:x>0.86971</cdr:x>
      <cdr:y>0.0087</cdr:y>
    </cdr:from>
    <cdr:to>
      <cdr:x>0.96058</cdr:x>
      <cdr:y>0.06019</cdr:y>
    </cdr:to>
    <cdr:pic>
      <cdr:nvPicPr>
        <cdr:cNvPr id="3" name="Picture 4" descr="curtipotp">
          <a:extLst xmlns:a="http://schemas.openxmlformats.org/drawingml/2006/main">
            <a:ext uri="{FF2B5EF4-FFF2-40B4-BE49-F238E27FC236}">
              <a16:creationId xmlns:a16="http://schemas.microsoft.com/office/drawing/2014/main" id="{28C4E176-F44C-4320-8A50-2EBBF894D622}"/>
            </a:ext>
          </a:extLst>
        </cdr:cNvPr>
        <cdr:cNvPicPr preferRelativeResize="0">
          <a:picLocks xmlns:a="http://schemas.openxmlformats.org/drawingml/2006/main"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5759823" y="33617"/>
          <a:ext cx="601806" cy="198906"/>
        </a:xfrm>
        <a:prstGeom xmlns:a="http://schemas.openxmlformats.org/drawingml/2006/main" prst="rect">
          <a:avLst/>
        </a:prstGeom>
        <a:noFill xmlns:a="http://schemas.openxmlformats.org/drawingml/2006/main"/>
      </cdr:spPr>
    </cdr:pic>
  </cdr:relSizeAnchor>
</c:userShapes>
</file>

<file path=xl/drawings/drawing23.xml><?xml version="1.0" encoding="utf-8"?>
<c:userShapes xmlns:c="http://schemas.openxmlformats.org/drawingml/2006/chart">
  <cdr:relSizeAnchor xmlns:cdr="http://schemas.openxmlformats.org/drawingml/2006/chartDrawing">
    <cdr:from>
      <cdr:x>0.876</cdr:x>
      <cdr:y>0</cdr:y>
    </cdr:from>
    <cdr:to>
      <cdr:x>0.89078</cdr:x>
      <cdr:y>0</cdr:y>
    </cdr:to>
    <cdr:pic>
      <cdr:nvPicPr>
        <cdr:cNvPr id="55297" name="Picture 1" descr="curtipotp">
          <a:extLst xmlns:a="http://schemas.openxmlformats.org/drawingml/2006/main">
            <a:ext uri="{FF2B5EF4-FFF2-40B4-BE49-F238E27FC236}">
              <a16:creationId xmlns:a16="http://schemas.microsoft.com/office/drawing/2014/main" id="{5347B223-BA3C-439A-8777-8ADE0FB65C27}"/>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6080688" y="35999"/>
          <a:ext cx="704288" cy="183352"/>
        </a:xfrm>
        <a:prstGeom xmlns:a="http://schemas.openxmlformats.org/drawingml/2006/main" prst="rect">
          <a:avLst/>
        </a:prstGeom>
        <a:noFill xmlns:a="http://schemas.openxmlformats.org/drawingml/2006/main"/>
      </cdr:spPr>
    </cdr:pic>
  </cdr:relSizeAnchor>
  <cdr:relSizeAnchor xmlns:cdr="http://schemas.openxmlformats.org/drawingml/2006/chartDrawing">
    <cdr:from>
      <cdr:x>0.87367</cdr:x>
      <cdr:y>0.00816</cdr:y>
    </cdr:from>
    <cdr:to>
      <cdr:x>0.95916</cdr:x>
      <cdr:y>0.0634</cdr:y>
    </cdr:to>
    <cdr:pic>
      <cdr:nvPicPr>
        <cdr:cNvPr id="3" name="Picture 4" descr="curtipotp">
          <a:extLst xmlns:a="http://schemas.openxmlformats.org/drawingml/2006/main">
            <a:ext uri="{FF2B5EF4-FFF2-40B4-BE49-F238E27FC236}">
              <a16:creationId xmlns:a16="http://schemas.microsoft.com/office/drawing/2014/main" id="{FAC15507-E3B2-4864-9C2C-A94E77CBB6E2}"/>
            </a:ext>
          </a:extLst>
        </cdr:cNvPr>
        <cdr:cNvPicPr preferRelativeResize="0">
          <a:picLocks xmlns:a="http://schemas.openxmlformats.org/drawingml/2006/main"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5766454" y="30151"/>
          <a:ext cx="564257" cy="204089"/>
        </a:xfrm>
        <a:prstGeom xmlns:a="http://schemas.openxmlformats.org/drawingml/2006/main" prst="rect">
          <a:avLst/>
        </a:prstGeom>
        <a:noFill xmlns:a="http://schemas.openxmlformats.org/drawingml/2006/main"/>
      </cdr:spPr>
    </cdr:pic>
  </cdr:relSizeAnchor>
</c:userShapes>
</file>

<file path=xl/drawings/drawing24.xml><?xml version="1.0" encoding="utf-8"?>
<xdr:wsDr xmlns:xdr="http://schemas.openxmlformats.org/drawingml/2006/spreadsheetDrawing" xmlns:a="http://schemas.openxmlformats.org/drawingml/2006/main">
  <xdr:twoCellAnchor>
    <xdr:from>
      <xdr:col>0</xdr:col>
      <xdr:colOff>0</xdr:colOff>
      <xdr:row>22</xdr:row>
      <xdr:rowOff>6569</xdr:rowOff>
    </xdr:from>
    <xdr:to>
      <xdr:col>7</xdr:col>
      <xdr:colOff>1095375</xdr:colOff>
      <xdr:row>37</xdr:row>
      <xdr:rowOff>7328</xdr:rowOff>
    </xdr:to>
    <xdr:graphicFrame macro="">
      <xdr:nvGraphicFramePr>
        <xdr:cNvPr id="5127814" name="Chart 4">
          <a:extLst>
            <a:ext uri="{FF2B5EF4-FFF2-40B4-BE49-F238E27FC236}">
              <a16:creationId xmlns:a16="http://schemas.microsoft.com/office/drawing/2014/main" id="{00000000-0008-0000-0700-0000863E4E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38100</xdr:colOff>
      <xdr:row>20</xdr:row>
      <xdr:rowOff>95250</xdr:rowOff>
    </xdr:from>
    <xdr:to>
      <xdr:col>13</xdr:col>
      <xdr:colOff>22412</xdr:colOff>
      <xdr:row>28</xdr:row>
      <xdr:rowOff>76200</xdr:rowOff>
    </xdr:to>
    <xdr:graphicFrame macro="">
      <xdr:nvGraphicFramePr>
        <xdr:cNvPr id="5127815" name="Chart 9">
          <a:extLst>
            <a:ext uri="{FF2B5EF4-FFF2-40B4-BE49-F238E27FC236}">
              <a16:creationId xmlns:a16="http://schemas.microsoft.com/office/drawing/2014/main" id="{00000000-0008-0000-0700-0000873E4E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38099</xdr:colOff>
      <xdr:row>28</xdr:row>
      <xdr:rowOff>47624</xdr:rowOff>
    </xdr:from>
    <xdr:to>
      <xdr:col>13</xdr:col>
      <xdr:colOff>22411</xdr:colOff>
      <xdr:row>37</xdr:row>
      <xdr:rowOff>14654</xdr:rowOff>
    </xdr:to>
    <xdr:graphicFrame macro="">
      <xdr:nvGraphicFramePr>
        <xdr:cNvPr id="5127818" name="Chart 2809">
          <a:extLst>
            <a:ext uri="{FF2B5EF4-FFF2-40B4-BE49-F238E27FC236}">
              <a16:creationId xmlns:a16="http://schemas.microsoft.com/office/drawing/2014/main" id="{00000000-0008-0000-0700-00008A3E4E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xdr:col>
      <xdr:colOff>234349</xdr:colOff>
      <xdr:row>0</xdr:row>
      <xdr:rowOff>285750</xdr:rowOff>
    </xdr:to>
    <xdr:pic>
      <xdr:nvPicPr>
        <xdr:cNvPr id="27" name="Picture 11" descr="curtipotp">
          <a:extLst>
            <a:ext uri="{FF2B5EF4-FFF2-40B4-BE49-F238E27FC236}">
              <a16:creationId xmlns:a16="http://schemas.microsoft.com/office/drawing/2014/main" id="{00000000-0008-0000-0700-00001B000000}"/>
            </a:ext>
          </a:extLst>
        </xdr:cNvPr>
        <xdr:cNvPicPr>
          <a:picLocks noChangeAspect="1" noChangeArrowheads="1"/>
        </xdr:cNvPicPr>
      </xdr:nvPicPr>
      <xdr:blipFill>
        <a:blip xmlns:r="http://schemas.openxmlformats.org/officeDocument/2006/relationships" r:embed="rId4"/>
        <a:srcRect/>
        <a:stretch>
          <a:fillRect/>
        </a:stretch>
      </xdr:blipFill>
      <xdr:spPr bwMode="auto">
        <a:xfrm>
          <a:off x="0" y="0"/>
          <a:ext cx="1145436" cy="28575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3</xdr:col>
          <xdr:colOff>180975</xdr:colOff>
          <xdr:row>20</xdr:row>
          <xdr:rowOff>133350</xdr:rowOff>
        </xdr:from>
        <xdr:to>
          <xdr:col>5</xdr:col>
          <xdr:colOff>276225</xdr:colOff>
          <xdr:row>21</xdr:row>
          <xdr:rowOff>133350</xdr:rowOff>
        </xdr:to>
        <xdr:sp macro="" textlink="">
          <xdr:nvSpPr>
            <xdr:cNvPr id="20179" name="Button 1747" hidden="1">
              <a:extLst>
                <a:ext uri="{63B3BB69-23CF-44E3-9099-C40C66FF867C}">
                  <a14:compatExt spid="_x0000_s20179"/>
                </a:ext>
                <a:ext uri="{FF2B5EF4-FFF2-40B4-BE49-F238E27FC236}">
                  <a16:creationId xmlns:a16="http://schemas.microsoft.com/office/drawing/2014/main" id="{00000000-0008-0000-0700-0000D34E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nl-NL" sz="1000" b="0" i="0" u="none" strike="noStrike" baseline="0">
                  <a:solidFill>
                    <a:srgbClr val="09007E"/>
                  </a:solidFill>
                  <a:latin typeface="Arial"/>
                  <a:cs typeface="Arial"/>
                </a:rPr>
                <a:t>Overlay curve fitted by Regression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66675</xdr:colOff>
          <xdr:row>20</xdr:row>
          <xdr:rowOff>142875</xdr:rowOff>
        </xdr:from>
        <xdr:to>
          <xdr:col>1</xdr:col>
          <xdr:colOff>466725</xdr:colOff>
          <xdr:row>21</xdr:row>
          <xdr:rowOff>142875</xdr:rowOff>
        </xdr:to>
        <xdr:sp macro="" textlink="">
          <xdr:nvSpPr>
            <xdr:cNvPr id="891826" name="Button 2994" hidden="1">
              <a:extLst>
                <a:ext uri="{63B3BB69-23CF-44E3-9099-C40C66FF867C}">
                  <a14:compatExt spid="_x0000_s891826"/>
                </a:ext>
                <a:ext uri="{FF2B5EF4-FFF2-40B4-BE49-F238E27FC236}">
                  <a16:creationId xmlns:a16="http://schemas.microsoft.com/office/drawing/2014/main" id="{00000000-0008-0000-0700-0000B29B0D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nl-NL" sz="1000" b="0" i="0" u="none" strike="noStrike" baseline="0">
                  <a:solidFill>
                    <a:srgbClr val="09007E"/>
                  </a:solidFill>
                  <a:latin typeface="Arial"/>
                  <a:cs typeface="Arial"/>
                </a:rPr>
                <a:t>Set </a:t>
              </a:r>
              <a:r>
                <a:rPr lang="nl-NL" sz="1000" b="0" i="0" u="none" strike="noStrike" baseline="0">
                  <a:solidFill>
                    <a:srgbClr val="09007E"/>
                  </a:solidFill>
                  <a:latin typeface="Bookman Old Style"/>
                  <a:cs typeface="Arial"/>
                </a:rPr>
                <a:t>I</a:t>
              </a:r>
              <a:r>
                <a:rPr lang="nl-NL" sz="1000" b="0" i="0" u="none" strike="noStrike" baseline="0">
                  <a:solidFill>
                    <a:srgbClr val="09007E"/>
                  </a:solidFill>
                  <a:latin typeface="Arial"/>
                  <a:cs typeface="Arial"/>
                </a:rPr>
                <a:t> = 0 and </a:t>
              </a:r>
              <a:r>
                <a:rPr lang="nl-NL" sz="1000" b="0" i="0" u="none" strike="noStrike" baseline="0">
                  <a:solidFill>
                    <a:srgbClr val="09007E"/>
                  </a:solidFill>
                  <a:latin typeface="Symbol"/>
                  <a:cs typeface="Arial"/>
                </a:rPr>
                <a:t>g</a:t>
              </a:r>
              <a:r>
                <a:rPr lang="nl-NL" sz="1000" b="0" i="0" u="none" strike="noStrike" baseline="0">
                  <a:solidFill>
                    <a:srgbClr val="09007E"/>
                  </a:solidFill>
                  <a:latin typeface="Arial"/>
                  <a:cs typeface="Arial"/>
                </a:rPr>
                <a:t>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714375</xdr:colOff>
          <xdr:row>19</xdr:row>
          <xdr:rowOff>95250</xdr:rowOff>
        </xdr:from>
        <xdr:to>
          <xdr:col>6</xdr:col>
          <xdr:colOff>914400</xdr:colOff>
          <xdr:row>20</xdr:row>
          <xdr:rowOff>76200</xdr:rowOff>
        </xdr:to>
        <xdr:sp macro="" textlink="">
          <xdr:nvSpPr>
            <xdr:cNvPr id="5127777" name="Button 6753" hidden="1">
              <a:extLst>
                <a:ext uri="{63B3BB69-23CF-44E3-9099-C40C66FF867C}">
                  <a14:compatExt spid="_x0000_s5127777"/>
                </a:ext>
                <a:ext uri="{FF2B5EF4-FFF2-40B4-BE49-F238E27FC236}">
                  <a16:creationId xmlns:a16="http://schemas.microsoft.com/office/drawing/2014/main" id="{00000000-0008-0000-0700-0000613E4E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nl-NL" sz="1000" b="0" i="0" u="none" strike="noStrike" baseline="0">
                  <a:solidFill>
                    <a:srgbClr val="09007E"/>
                  </a:solidFill>
                  <a:latin typeface="Arial"/>
                  <a:cs typeface="Arial"/>
                </a:rPr>
                <a:t>Copy Evaluation data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381000</xdr:colOff>
          <xdr:row>20</xdr:row>
          <xdr:rowOff>133350</xdr:rowOff>
        </xdr:from>
        <xdr:to>
          <xdr:col>6</xdr:col>
          <xdr:colOff>923925</xdr:colOff>
          <xdr:row>21</xdr:row>
          <xdr:rowOff>133350</xdr:rowOff>
        </xdr:to>
        <xdr:sp macro="" textlink="">
          <xdr:nvSpPr>
            <xdr:cNvPr id="20180" name="Button 1748" hidden="1">
              <a:extLst>
                <a:ext uri="{63B3BB69-23CF-44E3-9099-C40C66FF867C}">
                  <a14:compatExt spid="_x0000_s20180"/>
                </a:ext>
                <a:ext uri="{FF2B5EF4-FFF2-40B4-BE49-F238E27FC236}">
                  <a16:creationId xmlns:a16="http://schemas.microsoft.com/office/drawing/2014/main" id="{00000000-0008-0000-0700-0000D44E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nl-NL" sz="1000" b="0" i="0" u="none" strike="noStrike" baseline="0">
                  <a:solidFill>
                    <a:srgbClr val="09007E"/>
                  </a:solidFill>
                  <a:latin typeface="Arial"/>
                  <a:cs typeface="Arial"/>
                </a:rPr>
                <a:t>Clear Regression curve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428625</xdr:colOff>
          <xdr:row>19</xdr:row>
          <xdr:rowOff>104775</xdr:rowOff>
        </xdr:from>
        <xdr:to>
          <xdr:col>3</xdr:col>
          <xdr:colOff>542925</xdr:colOff>
          <xdr:row>20</xdr:row>
          <xdr:rowOff>76200</xdr:rowOff>
        </xdr:to>
        <xdr:sp macro="" textlink="">
          <xdr:nvSpPr>
            <xdr:cNvPr id="20184" name="Button 1752" hidden="1">
              <a:extLst>
                <a:ext uri="{63B3BB69-23CF-44E3-9099-C40C66FF867C}">
                  <a14:compatExt spid="_x0000_s20184"/>
                </a:ext>
                <a:ext uri="{FF2B5EF4-FFF2-40B4-BE49-F238E27FC236}">
                  <a16:creationId xmlns:a16="http://schemas.microsoft.com/office/drawing/2014/main" id="{00000000-0008-0000-0700-0000D84E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nl-NL" sz="1000" b="0" i="0" u="none" strike="noStrike" baseline="0">
                  <a:solidFill>
                    <a:srgbClr val="09007E"/>
                  </a:solidFill>
                  <a:latin typeface="Arial"/>
                  <a:cs typeface="Arial"/>
                </a:rPr>
                <a:t>Copy Simulation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47625</xdr:colOff>
          <xdr:row>19</xdr:row>
          <xdr:rowOff>85725</xdr:rowOff>
        </xdr:from>
        <xdr:to>
          <xdr:col>1</xdr:col>
          <xdr:colOff>66675</xdr:colOff>
          <xdr:row>20</xdr:row>
          <xdr:rowOff>66675</xdr:rowOff>
        </xdr:to>
        <xdr:sp macro="" textlink="">
          <xdr:nvSpPr>
            <xdr:cNvPr id="20185" name="Button 1753" hidden="1">
              <a:extLst>
                <a:ext uri="{63B3BB69-23CF-44E3-9099-C40C66FF867C}">
                  <a14:compatExt spid="_x0000_s20185"/>
                </a:ext>
                <a:ext uri="{FF2B5EF4-FFF2-40B4-BE49-F238E27FC236}">
                  <a16:creationId xmlns:a16="http://schemas.microsoft.com/office/drawing/2014/main" id="{00000000-0008-0000-0700-0000D94E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nl-NL" sz="1000" b="0" i="0" u="none" strike="noStrike" baseline="0">
                  <a:solidFill>
                    <a:srgbClr val="09007E"/>
                  </a:solidFill>
                  <a:latin typeface="Arial"/>
                  <a:cs typeface="Arial"/>
                </a:rPr>
                <a:t>Clear data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609600</xdr:colOff>
          <xdr:row>19</xdr:row>
          <xdr:rowOff>95250</xdr:rowOff>
        </xdr:from>
        <xdr:to>
          <xdr:col>5</xdr:col>
          <xdr:colOff>638175</xdr:colOff>
          <xdr:row>20</xdr:row>
          <xdr:rowOff>76200</xdr:rowOff>
        </xdr:to>
        <xdr:sp macro="" textlink="">
          <xdr:nvSpPr>
            <xdr:cNvPr id="20186" name="Button 1754" hidden="1">
              <a:extLst>
                <a:ext uri="{63B3BB69-23CF-44E3-9099-C40C66FF867C}">
                  <a14:compatExt spid="_x0000_s20186"/>
                </a:ext>
                <a:ext uri="{FF2B5EF4-FFF2-40B4-BE49-F238E27FC236}">
                  <a16:creationId xmlns:a16="http://schemas.microsoft.com/office/drawing/2014/main" id="{00000000-0008-0000-0700-0000DA4E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nl-NL" sz="1000" b="0" i="0" u="none" strike="noStrike" baseline="0">
                  <a:solidFill>
                    <a:srgbClr val="09007E"/>
                  </a:solidFill>
                  <a:latin typeface="Arial"/>
                  <a:cs typeface="Arial"/>
                </a:rPr>
                <a:t>Copy Simulation with dispersion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38100</xdr:colOff>
          <xdr:row>0</xdr:row>
          <xdr:rowOff>47625</xdr:rowOff>
        </xdr:from>
        <xdr:to>
          <xdr:col>9</xdr:col>
          <xdr:colOff>1009650</xdr:colOff>
          <xdr:row>2</xdr:row>
          <xdr:rowOff>66675</xdr:rowOff>
        </xdr:to>
        <xdr:sp macro="" textlink="">
          <xdr:nvSpPr>
            <xdr:cNvPr id="891360" name="Button 2528" hidden="1">
              <a:extLst>
                <a:ext uri="{63B3BB69-23CF-44E3-9099-C40C66FF867C}">
                  <a14:compatExt spid="_x0000_s891360"/>
                </a:ext>
                <a:ext uri="{FF2B5EF4-FFF2-40B4-BE49-F238E27FC236}">
                  <a16:creationId xmlns:a16="http://schemas.microsoft.com/office/drawing/2014/main" id="{00000000-0008-0000-0700-0000E0990D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nl-NL" sz="1000" b="1" i="0" u="none" strike="noStrike" baseline="0">
                  <a:solidFill>
                    <a:srgbClr val="09007E"/>
                  </a:solidFill>
                  <a:latin typeface="Arial"/>
                  <a:cs typeface="Arial"/>
                </a:rPr>
                <a:t>Load pKa</a:t>
              </a:r>
              <a:r>
                <a:rPr lang="nl-NL" sz="1000" b="0" i="0" u="none" strike="noStrike" baseline="0">
                  <a:solidFill>
                    <a:srgbClr val="09007E"/>
                  </a:solidFill>
                  <a:latin typeface="Arial"/>
                  <a:cs typeface="Arial"/>
                </a:rPr>
                <a:t>s </a:t>
              </a:r>
            </a:p>
            <a:p>
              <a:pPr algn="ctr" rtl="0">
                <a:defRPr sz="1000"/>
              </a:pPr>
              <a:r>
                <a:rPr lang="nl-NL" sz="1000" b="0" i="0" u="none" strike="noStrike" baseline="0">
                  <a:solidFill>
                    <a:srgbClr val="09007E"/>
                  </a:solidFill>
                  <a:latin typeface="Arial"/>
                  <a:cs typeface="Arial"/>
                </a:rPr>
                <a:t>of these H</a:t>
              </a:r>
              <a:r>
                <a:rPr lang="nl-NL" sz="1200" b="0" i="0" u="none" strike="noStrike" baseline="-25000">
                  <a:solidFill>
                    <a:srgbClr val="09007E"/>
                  </a:solidFill>
                  <a:latin typeface="Arial"/>
                  <a:cs typeface="Arial"/>
                </a:rPr>
                <a:t>i</a:t>
              </a:r>
              <a:r>
                <a:rPr lang="nl-NL" sz="1000" b="0" i="0" u="none" strike="noStrike" baseline="0">
                  <a:solidFill>
                    <a:srgbClr val="09007E"/>
                  </a:solidFill>
                  <a:latin typeface="Arial"/>
                  <a:cs typeface="Arial"/>
                </a:rPr>
                <a:t>B --&gt;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xdr:row>
          <xdr:rowOff>0</xdr:rowOff>
        </xdr:from>
        <xdr:to>
          <xdr:col>11</xdr:col>
          <xdr:colOff>628650</xdr:colOff>
          <xdr:row>2</xdr:row>
          <xdr:rowOff>0</xdr:rowOff>
        </xdr:to>
        <xdr:sp macro="" textlink="">
          <xdr:nvSpPr>
            <xdr:cNvPr id="891624" name="Drop Down 2792" hidden="1">
              <a:extLst>
                <a:ext uri="{63B3BB69-23CF-44E3-9099-C40C66FF867C}">
                  <a14:compatExt spid="_x0000_s891624"/>
                </a:ext>
                <a:ext uri="{FF2B5EF4-FFF2-40B4-BE49-F238E27FC236}">
                  <a16:creationId xmlns:a16="http://schemas.microsoft.com/office/drawing/2014/main" id="{00000000-0008-0000-0700-0000E89A0D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xdr:row>
          <xdr:rowOff>0</xdr:rowOff>
        </xdr:from>
        <xdr:to>
          <xdr:col>12</xdr:col>
          <xdr:colOff>838200</xdr:colOff>
          <xdr:row>2</xdr:row>
          <xdr:rowOff>0</xdr:rowOff>
        </xdr:to>
        <xdr:sp macro="" textlink="">
          <xdr:nvSpPr>
            <xdr:cNvPr id="891625" name="Drop Down 2793" hidden="1">
              <a:extLst>
                <a:ext uri="{63B3BB69-23CF-44E3-9099-C40C66FF867C}">
                  <a14:compatExt spid="_x0000_s891625"/>
                </a:ext>
                <a:ext uri="{FF2B5EF4-FFF2-40B4-BE49-F238E27FC236}">
                  <a16:creationId xmlns:a16="http://schemas.microsoft.com/office/drawing/2014/main" id="{00000000-0008-0000-0700-0000E99A0D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xdr:row>
          <xdr:rowOff>0</xdr:rowOff>
        </xdr:from>
        <xdr:to>
          <xdr:col>13</xdr:col>
          <xdr:colOff>809625</xdr:colOff>
          <xdr:row>2</xdr:row>
          <xdr:rowOff>0</xdr:rowOff>
        </xdr:to>
        <xdr:sp macro="" textlink="">
          <xdr:nvSpPr>
            <xdr:cNvPr id="891626" name="Drop Down 2794" hidden="1">
              <a:extLst>
                <a:ext uri="{63B3BB69-23CF-44E3-9099-C40C66FF867C}">
                  <a14:compatExt spid="_x0000_s891626"/>
                </a:ext>
                <a:ext uri="{FF2B5EF4-FFF2-40B4-BE49-F238E27FC236}">
                  <a16:creationId xmlns:a16="http://schemas.microsoft.com/office/drawing/2014/main" id="{00000000-0008-0000-0700-0000EA9A0D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xdr:row>
          <xdr:rowOff>0</xdr:rowOff>
        </xdr:from>
        <xdr:to>
          <xdr:col>14</xdr:col>
          <xdr:colOff>457200</xdr:colOff>
          <xdr:row>2</xdr:row>
          <xdr:rowOff>0</xdr:rowOff>
        </xdr:to>
        <xdr:sp macro="" textlink="">
          <xdr:nvSpPr>
            <xdr:cNvPr id="891627" name="Drop Down 2795" hidden="1">
              <a:extLst>
                <a:ext uri="{63B3BB69-23CF-44E3-9099-C40C66FF867C}">
                  <a14:compatExt spid="_x0000_s891627"/>
                </a:ext>
                <a:ext uri="{FF2B5EF4-FFF2-40B4-BE49-F238E27FC236}">
                  <a16:creationId xmlns:a16="http://schemas.microsoft.com/office/drawing/2014/main" id="{00000000-0008-0000-0700-0000EB9A0D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xdr:row>
          <xdr:rowOff>0</xdr:rowOff>
        </xdr:from>
        <xdr:to>
          <xdr:col>15</xdr:col>
          <xdr:colOff>866775</xdr:colOff>
          <xdr:row>2</xdr:row>
          <xdr:rowOff>0</xdr:rowOff>
        </xdr:to>
        <xdr:sp macro="" textlink="">
          <xdr:nvSpPr>
            <xdr:cNvPr id="891628" name="Drop Down 2796" hidden="1">
              <a:extLst>
                <a:ext uri="{63B3BB69-23CF-44E3-9099-C40C66FF867C}">
                  <a14:compatExt spid="_x0000_s891628"/>
                </a:ext>
                <a:ext uri="{FF2B5EF4-FFF2-40B4-BE49-F238E27FC236}">
                  <a16:creationId xmlns:a16="http://schemas.microsoft.com/office/drawing/2014/main" id="{00000000-0008-0000-0700-0000EC9A0D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xdr:row>
          <xdr:rowOff>0</xdr:rowOff>
        </xdr:from>
        <xdr:to>
          <xdr:col>16</xdr:col>
          <xdr:colOff>457200</xdr:colOff>
          <xdr:row>2</xdr:row>
          <xdr:rowOff>0</xdr:rowOff>
        </xdr:to>
        <xdr:sp macro="" textlink="">
          <xdr:nvSpPr>
            <xdr:cNvPr id="891629" name="Drop Down 2797" hidden="1">
              <a:extLst>
                <a:ext uri="{63B3BB69-23CF-44E3-9099-C40C66FF867C}">
                  <a14:compatExt spid="_x0000_s891629"/>
                </a:ext>
                <a:ext uri="{FF2B5EF4-FFF2-40B4-BE49-F238E27FC236}">
                  <a16:creationId xmlns:a16="http://schemas.microsoft.com/office/drawing/2014/main" id="{00000000-0008-0000-0700-0000ED9A0D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xdr:row>
          <xdr:rowOff>0</xdr:rowOff>
        </xdr:from>
        <xdr:to>
          <xdr:col>17</xdr:col>
          <xdr:colOff>209550</xdr:colOff>
          <xdr:row>2</xdr:row>
          <xdr:rowOff>0</xdr:rowOff>
        </xdr:to>
        <xdr:sp macro="" textlink="">
          <xdr:nvSpPr>
            <xdr:cNvPr id="891630" name="Drop Down 2798" hidden="1">
              <a:extLst>
                <a:ext uri="{63B3BB69-23CF-44E3-9099-C40C66FF867C}">
                  <a14:compatExt spid="_x0000_s891630"/>
                </a:ext>
                <a:ext uri="{FF2B5EF4-FFF2-40B4-BE49-F238E27FC236}">
                  <a16:creationId xmlns:a16="http://schemas.microsoft.com/office/drawing/2014/main" id="{00000000-0008-0000-0700-0000EE9A0D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571500</xdr:colOff>
          <xdr:row>20</xdr:row>
          <xdr:rowOff>142875</xdr:rowOff>
        </xdr:from>
        <xdr:to>
          <xdr:col>3</xdr:col>
          <xdr:colOff>95250</xdr:colOff>
          <xdr:row>21</xdr:row>
          <xdr:rowOff>142875</xdr:rowOff>
        </xdr:to>
        <xdr:sp macro="" textlink="">
          <xdr:nvSpPr>
            <xdr:cNvPr id="891828" name="Button 2996" hidden="1">
              <a:extLst>
                <a:ext uri="{63B3BB69-23CF-44E3-9099-C40C66FF867C}">
                  <a14:compatExt spid="_x0000_s891828"/>
                </a:ext>
                <a:ext uri="{FF2B5EF4-FFF2-40B4-BE49-F238E27FC236}">
                  <a16:creationId xmlns:a16="http://schemas.microsoft.com/office/drawing/2014/main" id="{00000000-0008-0000-0700-0000B49B0D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nl-NL" sz="1000" b="0" i="0" u="none" strike="noStrike" baseline="0">
                  <a:solidFill>
                    <a:srgbClr val="09007E"/>
                  </a:solidFill>
                  <a:latin typeface="Arial"/>
                  <a:cs typeface="Arial"/>
                </a:rPr>
                <a:t>Calculate / Update</a:t>
              </a:r>
              <a:r>
                <a:rPr lang="nl-NL" sz="1000" b="0" i="0" u="none" strike="noStrike" baseline="0">
                  <a:solidFill>
                    <a:srgbClr val="09007E"/>
                  </a:solidFill>
                  <a:latin typeface="Bookman Old Style"/>
                  <a:cs typeface="Arial"/>
                </a:rPr>
                <a:t> I</a:t>
              </a:r>
              <a:endParaRPr lang="nl-NL" sz="1000" b="0" i="0" u="none" strike="noStrike" baseline="0">
                <a:solidFill>
                  <a:srgbClr val="09007E"/>
                </a:solidFill>
                <a:latin typeface="Bookman Old Style"/>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885825</xdr:colOff>
          <xdr:row>16</xdr:row>
          <xdr:rowOff>104775</xdr:rowOff>
        </xdr:from>
        <xdr:to>
          <xdr:col>6</xdr:col>
          <xdr:colOff>847725</xdr:colOff>
          <xdr:row>17</xdr:row>
          <xdr:rowOff>152400</xdr:rowOff>
        </xdr:to>
        <xdr:sp macro="" textlink="">
          <xdr:nvSpPr>
            <xdr:cNvPr id="3988813" name="Button 5453" hidden="1">
              <a:extLst>
                <a:ext uri="{63B3BB69-23CF-44E3-9099-C40C66FF867C}">
                  <a14:compatExt spid="_x0000_s3988813"/>
                </a:ext>
                <a:ext uri="{FF2B5EF4-FFF2-40B4-BE49-F238E27FC236}">
                  <a16:creationId xmlns:a16="http://schemas.microsoft.com/office/drawing/2014/main" id="{00000000-0008-0000-0700-00004DDD3C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nl-NL" sz="1000" b="0" i="0" u="none" strike="noStrike" baseline="0">
                  <a:solidFill>
                    <a:srgbClr val="09007E"/>
                  </a:solidFill>
                  <a:latin typeface="Arial"/>
                  <a:cs typeface="Arial"/>
                </a:rPr>
                <a:t>Find titrant pH</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xdr:col>
          <xdr:colOff>133350</xdr:colOff>
          <xdr:row>21</xdr:row>
          <xdr:rowOff>238125</xdr:rowOff>
        </xdr:from>
        <xdr:to>
          <xdr:col>16</xdr:col>
          <xdr:colOff>866775</xdr:colOff>
          <xdr:row>23</xdr:row>
          <xdr:rowOff>9525</xdr:rowOff>
        </xdr:to>
        <xdr:sp macro="" textlink="">
          <xdr:nvSpPr>
            <xdr:cNvPr id="5127770" name="Button 6746" hidden="1">
              <a:extLst>
                <a:ext uri="{63B3BB69-23CF-44E3-9099-C40C66FF867C}">
                  <a14:compatExt spid="_x0000_s5127770"/>
                </a:ext>
                <a:ext uri="{FF2B5EF4-FFF2-40B4-BE49-F238E27FC236}">
                  <a16:creationId xmlns:a16="http://schemas.microsoft.com/office/drawing/2014/main" id="{00000000-0008-0000-0700-00005A3E4E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nl-NL" sz="1000" b="0" i="0" u="none" strike="noStrike" baseline="0">
                  <a:solidFill>
                    <a:srgbClr val="09007E"/>
                  </a:solidFill>
                  <a:latin typeface="Arial"/>
                  <a:cs typeface="Arial"/>
                </a:rPr>
                <a:t>Set </a:t>
              </a:r>
              <a:r>
                <a:rPr lang="nl-NL" sz="1000" b="0" i="0" u="none" strike="noStrike" baseline="0">
                  <a:solidFill>
                    <a:srgbClr val="09007E"/>
                  </a:solidFill>
                  <a:latin typeface="Bookman Old Style"/>
                  <a:cs typeface="Arial"/>
                </a:rPr>
                <a:t>I</a:t>
              </a:r>
              <a:r>
                <a:rPr lang="nl-NL" sz="1000" b="0" i="0" u="none" strike="noStrike" baseline="0">
                  <a:solidFill>
                    <a:srgbClr val="09007E"/>
                  </a:solidFill>
                  <a:latin typeface="Arial"/>
                  <a:cs typeface="Arial"/>
                </a:rPr>
                <a:t> = 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xdr:col>
          <xdr:colOff>123825</xdr:colOff>
          <xdr:row>23</xdr:row>
          <xdr:rowOff>152400</xdr:rowOff>
        </xdr:from>
        <xdr:to>
          <xdr:col>16</xdr:col>
          <xdr:colOff>866775</xdr:colOff>
          <xdr:row>25</xdr:row>
          <xdr:rowOff>104775</xdr:rowOff>
        </xdr:to>
        <xdr:sp macro="" textlink="">
          <xdr:nvSpPr>
            <xdr:cNvPr id="5127771" name="Button 6747" hidden="1">
              <a:extLst>
                <a:ext uri="{63B3BB69-23CF-44E3-9099-C40C66FF867C}">
                  <a14:compatExt spid="_x0000_s5127771"/>
                </a:ext>
                <a:ext uri="{FF2B5EF4-FFF2-40B4-BE49-F238E27FC236}">
                  <a16:creationId xmlns:a16="http://schemas.microsoft.com/office/drawing/2014/main" id="{00000000-0008-0000-0700-00005B3E4E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nl-NL" sz="1000" b="0" i="0" u="none" strike="noStrike" baseline="0">
                  <a:solidFill>
                    <a:srgbClr val="09007E"/>
                  </a:solidFill>
                  <a:latin typeface="Arial"/>
                  <a:cs typeface="Arial"/>
                </a:rPr>
                <a:t>Calculate</a:t>
              </a:r>
            </a:p>
            <a:p>
              <a:pPr algn="ctr" rtl="0">
                <a:defRPr sz="1000"/>
              </a:pPr>
              <a:r>
                <a:rPr lang="nl-NL" sz="1000" b="0" i="0" u="none" strike="noStrike" baseline="0">
                  <a:solidFill>
                    <a:srgbClr val="09007E"/>
                  </a:solidFill>
                  <a:latin typeface="Arial"/>
                  <a:cs typeface="Arial"/>
                </a:rPr>
                <a:t>/ update</a:t>
              </a:r>
              <a:r>
                <a:rPr lang="nl-NL" sz="1000" b="0" i="0" u="none" strike="noStrike" baseline="0">
                  <a:solidFill>
                    <a:srgbClr val="09007E"/>
                  </a:solidFill>
                  <a:latin typeface="Bookman Old Style"/>
                  <a:cs typeface="Arial"/>
                </a:rPr>
                <a:t> I</a:t>
              </a:r>
              <a:endParaRPr lang="nl-NL" sz="1000" b="0" i="0" u="none" strike="noStrike" baseline="0">
                <a:solidFill>
                  <a:srgbClr val="09007E"/>
                </a:solidFill>
                <a:latin typeface="Bookman Old Style"/>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123825</xdr:colOff>
          <xdr:row>19</xdr:row>
          <xdr:rowOff>104775</xdr:rowOff>
        </xdr:from>
        <xdr:to>
          <xdr:col>2</xdr:col>
          <xdr:colOff>371475</xdr:colOff>
          <xdr:row>20</xdr:row>
          <xdr:rowOff>76200</xdr:rowOff>
        </xdr:to>
        <xdr:sp macro="" textlink="">
          <xdr:nvSpPr>
            <xdr:cNvPr id="5127776" name="Button 6752" hidden="1">
              <a:extLst>
                <a:ext uri="{63B3BB69-23CF-44E3-9099-C40C66FF867C}">
                  <a14:compatExt spid="_x0000_s5127776"/>
                </a:ext>
                <a:ext uri="{FF2B5EF4-FFF2-40B4-BE49-F238E27FC236}">
                  <a16:creationId xmlns:a16="http://schemas.microsoft.com/office/drawing/2014/main" id="{00000000-0008-0000-0700-0000603E4E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nl-NL" sz="1000" b="0" i="0" u="none" strike="noStrike" baseline="0">
                  <a:solidFill>
                    <a:srgbClr val="09007E"/>
                  </a:solidFill>
                  <a:latin typeface="Arial"/>
                  <a:cs typeface="Arial"/>
                </a:rPr>
                <a:t>Copy Titration data</a:t>
              </a:r>
            </a:p>
          </xdr:txBody>
        </xdr:sp>
        <xdr:clientData fPrintsWithSheet="0"/>
      </xdr:twoCellAnchor>
    </mc:Choice>
    <mc:Fallback/>
  </mc:AlternateContent>
</xdr:wsDr>
</file>

<file path=xl/drawings/drawing25.xml><?xml version="1.0" encoding="utf-8"?>
<c:userShapes xmlns:c="http://schemas.openxmlformats.org/drawingml/2006/chart">
  <cdr:relSizeAnchor xmlns:cdr="http://schemas.openxmlformats.org/drawingml/2006/chartDrawing">
    <cdr:from>
      <cdr:x>0.87309</cdr:x>
      <cdr:y>0.00544</cdr:y>
    </cdr:from>
    <cdr:to>
      <cdr:x>0.97559</cdr:x>
      <cdr:y>0.05207</cdr:y>
    </cdr:to>
    <cdr:pic>
      <cdr:nvPicPr>
        <cdr:cNvPr id="2087937" name="Picture 1" descr="curtipotp">
          <a:extLst xmlns:a="http://schemas.openxmlformats.org/drawingml/2006/main">
            <a:ext uri="{FF2B5EF4-FFF2-40B4-BE49-F238E27FC236}">
              <a16:creationId xmlns:a16="http://schemas.microsoft.com/office/drawing/2014/main" id="{F0271E6D-A3DE-431B-B0EC-B4CB5619D090}"/>
            </a:ext>
          </a:extLst>
        </cdr:cNvPr>
        <cdr:cNvPicPr preferRelativeResize="0">
          <a:picLocks xmlns:a="http://schemas.openxmlformats.org/drawingml/2006/main"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6902452" y="20416"/>
          <a:ext cx="810339" cy="174920"/>
        </a:xfrm>
        <a:prstGeom xmlns:a="http://schemas.openxmlformats.org/drawingml/2006/main" prst="rect">
          <a:avLst/>
        </a:prstGeom>
        <a:noFill xmlns:a="http://schemas.openxmlformats.org/drawingml/2006/main"/>
      </cdr:spPr>
    </cdr:pic>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7</xdr:row>
      <xdr:rowOff>104775</xdr:rowOff>
    </xdr:from>
    <xdr:to>
      <xdr:col>14</xdr:col>
      <xdr:colOff>95250</xdr:colOff>
      <xdr:row>38</xdr:row>
      <xdr:rowOff>57150</xdr:rowOff>
    </xdr:to>
    <xdr:graphicFrame macro="">
      <xdr:nvGraphicFramePr>
        <xdr:cNvPr id="5506" name="Chart 70">
          <a:extLst>
            <a:ext uri="{FF2B5EF4-FFF2-40B4-BE49-F238E27FC236}">
              <a16:creationId xmlns:a16="http://schemas.microsoft.com/office/drawing/2014/main" id="{00000000-0008-0000-0800-0000821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49695</xdr:colOff>
      <xdr:row>19</xdr:row>
      <xdr:rowOff>24848</xdr:rowOff>
    </xdr:from>
    <xdr:to>
      <xdr:col>13</xdr:col>
      <xdr:colOff>157369</xdr:colOff>
      <xdr:row>19</xdr:row>
      <xdr:rowOff>70567</xdr:rowOff>
    </xdr:to>
    <xdr:sp macro="" textlink="">
      <xdr:nvSpPr>
        <xdr:cNvPr id="6" name="Retângulo 5">
          <a:extLst>
            <a:ext uri="{FF2B5EF4-FFF2-40B4-BE49-F238E27FC236}">
              <a16:creationId xmlns:a16="http://schemas.microsoft.com/office/drawing/2014/main" id="{00000000-0008-0000-0800-000006000000}"/>
            </a:ext>
          </a:extLst>
        </xdr:cNvPr>
        <xdr:cNvSpPr/>
      </xdr:nvSpPr>
      <xdr:spPr bwMode="auto">
        <a:xfrm>
          <a:off x="8986630" y="3594652"/>
          <a:ext cx="107674" cy="45719"/>
        </a:xfrm>
        <a:prstGeom prst="rect">
          <a:avLst/>
        </a:prstGeom>
        <a:solidFill>
          <a:schemeClr val="bg1"/>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lang="pt-BR" sz="1100"/>
        </a:p>
      </xdr:txBody>
    </xdr:sp>
    <xdr:clientData/>
  </xdr:twoCellAnchor>
  <xdr:twoCellAnchor>
    <xdr:from>
      <xdr:col>0</xdr:col>
      <xdr:colOff>0</xdr:colOff>
      <xdr:row>0</xdr:row>
      <xdr:rowOff>0</xdr:rowOff>
    </xdr:from>
    <xdr:to>
      <xdr:col>1</xdr:col>
      <xdr:colOff>408284</xdr:colOff>
      <xdr:row>0</xdr:row>
      <xdr:rowOff>285750</xdr:rowOff>
    </xdr:to>
    <xdr:pic>
      <xdr:nvPicPr>
        <xdr:cNvPr id="17" name="Picture 11" descr="curtipotp">
          <a:extLst>
            <a:ext uri="{FF2B5EF4-FFF2-40B4-BE49-F238E27FC236}">
              <a16:creationId xmlns:a16="http://schemas.microsoft.com/office/drawing/2014/main" id="{00000000-0008-0000-0800-00001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0"/>
          <a:ext cx="1145436" cy="28575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0</xdr:col>
          <xdr:colOff>228600</xdr:colOff>
          <xdr:row>2</xdr:row>
          <xdr:rowOff>0</xdr:rowOff>
        </xdr:from>
        <xdr:to>
          <xdr:col>1</xdr:col>
          <xdr:colOff>323850</xdr:colOff>
          <xdr:row>2</xdr:row>
          <xdr:rowOff>219075</xdr:rowOff>
        </xdr:to>
        <xdr:sp macro="" textlink="">
          <xdr:nvSpPr>
            <xdr:cNvPr id="5172" name="Check Box 52" hidden="1">
              <a:extLst>
                <a:ext uri="{63B3BB69-23CF-44E3-9099-C40C66FF867C}">
                  <a14:compatExt spid="_x0000_s5172"/>
                </a:ext>
                <a:ext uri="{FF2B5EF4-FFF2-40B4-BE49-F238E27FC236}">
                  <a16:creationId xmlns:a16="http://schemas.microsoft.com/office/drawing/2014/main" id="{00000000-0008-0000-0800-00003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Simulation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447675</xdr:colOff>
          <xdr:row>2</xdr:row>
          <xdr:rowOff>0</xdr:rowOff>
        </xdr:from>
        <xdr:to>
          <xdr:col>2</xdr:col>
          <xdr:colOff>28575</xdr:colOff>
          <xdr:row>2</xdr:row>
          <xdr:rowOff>219075</xdr:rowOff>
        </xdr:to>
        <xdr:sp macro="" textlink="">
          <xdr:nvSpPr>
            <xdr:cNvPr id="5173" name="Check Box 53" hidden="1">
              <a:extLst>
                <a:ext uri="{63B3BB69-23CF-44E3-9099-C40C66FF867C}">
                  <a14:compatExt spid="_x0000_s5173"/>
                </a:ext>
                <a:ext uri="{FF2B5EF4-FFF2-40B4-BE49-F238E27FC236}">
                  <a16:creationId xmlns:a16="http://schemas.microsoft.com/office/drawing/2014/main" id="{00000000-0008-0000-0800-00003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dpH/dV</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2</xdr:row>
          <xdr:rowOff>0</xdr:rowOff>
        </xdr:from>
        <xdr:to>
          <xdr:col>5</xdr:col>
          <xdr:colOff>171450</xdr:colOff>
          <xdr:row>2</xdr:row>
          <xdr:rowOff>219075</xdr:rowOff>
        </xdr:to>
        <xdr:sp macro="" textlink="">
          <xdr:nvSpPr>
            <xdr:cNvPr id="5174" name="Check Box 54" hidden="1">
              <a:extLst>
                <a:ext uri="{63B3BB69-23CF-44E3-9099-C40C66FF867C}">
                  <a14:compatExt spid="_x0000_s5174"/>
                </a:ext>
                <a:ext uri="{FF2B5EF4-FFF2-40B4-BE49-F238E27FC236}">
                  <a16:creationId xmlns:a16="http://schemas.microsoft.com/office/drawing/2014/main" id="{00000000-0008-0000-0800-00003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Simulation with dispersion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xdr:row>
          <xdr:rowOff>9525</xdr:rowOff>
        </xdr:from>
        <xdr:to>
          <xdr:col>5</xdr:col>
          <xdr:colOff>876300</xdr:colOff>
          <xdr:row>3</xdr:row>
          <xdr:rowOff>0</xdr:rowOff>
        </xdr:to>
        <xdr:sp macro="" textlink="">
          <xdr:nvSpPr>
            <xdr:cNvPr id="5175" name="Check Box 55" hidden="1">
              <a:extLst>
                <a:ext uri="{63B3BB69-23CF-44E3-9099-C40C66FF867C}">
                  <a14:compatExt spid="_x0000_s5175"/>
                </a:ext>
                <a:ext uri="{FF2B5EF4-FFF2-40B4-BE49-F238E27FC236}">
                  <a16:creationId xmlns:a16="http://schemas.microsoft.com/office/drawing/2014/main" id="{00000000-0008-0000-0800-00003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dpH/dV</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228600</xdr:colOff>
          <xdr:row>3</xdr:row>
          <xdr:rowOff>0</xdr:rowOff>
        </xdr:from>
        <xdr:to>
          <xdr:col>1</xdr:col>
          <xdr:colOff>742950</xdr:colOff>
          <xdr:row>3</xdr:row>
          <xdr:rowOff>219075</xdr:rowOff>
        </xdr:to>
        <xdr:sp macro="" textlink="">
          <xdr:nvSpPr>
            <xdr:cNvPr id="5176" name="Check Box 56" hidden="1">
              <a:extLst>
                <a:ext uri="{63B3BB69-23CF-44E3-9099-C40C66FF867C}">
                  <a14:compatExt spid="_x0000_s5176"/>
                </a:ext>
                <a:ext uri="{FF2B5EF4-FFF2-40B4-BE49-F238E27FC236}">
                  <a16:creationId xmlns:a16="http://schemas.microsoft.com/office/drawing/2014/main" id="{00000000-0008-0000-0800-00003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Evaluation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228600</xdr:colOff>
          <xdr:row>4</xdr:row>
          <xdr:rowOff>0</xdr:rowOff>
        </xdr:from>
        <xdr:to>
          <xdr:col>1</xdr:col>
          <xdr:colOff>742950</xdr:colOff>
          <xdr:row>4</xdr:row>
          <xdr:rowOff>219075</xdr:rowOff>
        </xdr:to>
        <xdr:sp macro="" textlink="">
          <xdr:nvSpPr>
            <xdr:cNvPr id="5177" name="Check Box 57" hidden="1">
              <a:extLst>
                <a:ext uri="{63B3BB69-23CF-44E3-9099-C40C66FF867C}">
                  <a14:compatExt spid="_x0000_s5177"/>
                </a:ext>
                <a:ext uri="{FF2B5EF4-FFF2-40B4-BE49-F238E27FC236}">
                  <a16:creationId xmlns:a16="http://schemas.microsoft.com/office/drawing/2014/main" id="{00000000-0008-0000-0800-00003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Regression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447675</xdr:colOff>
          <xdr:row>3</xdr:row>
          <xdr:rowOff>0</xdr:rowOff>
        </xdr:from>
        <xdr:to>
          <xdr:col>2</xdr:col>
          <xdr:colOff>76200</xdr:colOff>
          <xdr:row>3</xdr:row>
          <xdr:rowOff>219075</xdr:rowOff>
        </xdr:to>
        <xdr:sp macro="" textlink="">
          <xdr:nvSpPr>
            <xdr:cNvPr id="5178" name="Check Box 58" hidden="1">
              <a:extLst>
                <a:ext uri="{63B3BB69-23CF-44E3-9099-C40C66FF867C}">
                  <a14:compatExt spid="_x0000_s5178"/>
                </a:ext>
                <a:ext uri="{FF2B5EF4-FFF2-40B4-BE49-F238E27FC236}">
                  <a16:creationId xmlns:a16="http://schemas.microsoft.com/office/drawing/2014/main" id="{00000000-0008-0000-0800-00003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dpH/dV</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3</xdr:row>
          <xdr:rowOff>0</xdr:rowOff>
        </xdr:from>
        <xdr:to>
          <xdr:col>5</xdr:col>
          <xdr:colOff>238125</xdr:colOff>
          <xdr:row>3</xdr:row>
          <xdr:rowOff>219075</xdr:rowOff>
        </xdr:to>
        <xdr:sp macro="" textlink="">
          <xdr:nvSpPr>
            <xdr:cNvPr id="5179" name="Check Box 59" hidden="1">
              <a:extLst>
                <a:ext uri="{63B3BB69-23CF-44E3-9099-C40C66FF867C}">
                  <a14:compatExt spid="_x0000_s5179"/>
                </a:ext>
                <a:ext uri="{FF2B5EF4-FFF2-40B4-BE49-F238E27FC236}">
                  <a16:creationId xmlns:a16="http://schemas.microsoft.com/office/drawing/2014/main" id="{00000000-0008-0000-0800-00003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Evaluation with smoothing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3</xdr:row>
          <xdr:rowOff>9525</xdr:rowOff>
        </xdr:from>
        <xdr:to>
          <xdr:col>5</xdr:col>
          <xdr:colOff>885825</xdr:colOff>
          <xdr:row>4</xdr:row>
          <xdr:rowOff>0</xdr:rowOff>
        </xdr:to>
        <xdr:sp macro="" textlink="">
          <xdr:nvSpPr>
            <xdr:cNvPr id="5180" name="Check Box 60" hidden="1">
              <a:extLst>
                <a:ext uri="{63B3BB69-23CF-44E3-9099-C40C66FF867C}">
                  <a14:compatExt spid="_x0000_s5180"/>
                </a:ext>
                <a:ext uri="{FF2B5EF4-FFF2-40B4-BE49-F238E27FC236}">
                  <a16:creationId xmlns:a16="http://schemas.microsoft.com/office/drawing/2014/main" id="{00000000-0008-0000-0800-00003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dpH/dV</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447675</xdr:colOff>
          <xdr:row>4</xdr:row>
          <xdr:rowOff>0</xdr:rowOff>
        </xdr:from>
        <xdr:to>
          <xdr:col>2</xdr:col>
          <xdr:colOff>57150</xdr:colOff>
          <xdr:row>4</xdr:row>
          <xdr:rowOff>219075</xdr:rowOff>
        </xdr:to>
        <xdr:sp macro="" textlink="">
          <xdr:nvSpPr>
            <xdr:cNvPr id="5181" name="Check Box 61" hidden="1">
              <a:extLst>
                <a:ext uri="{63B3BB69-23CF-44E3-9099-C40C66FF867C}">
                  <a14:compatExt spid="_x0000_s5181"/>
                </a:ext>
                <a:ext uri="{FF2B5EF4-FFF2-40B4-BE49-F238E27FC236}">
                  <a16:creationId xmlns:a16="http://schemas.microsoft.com/office/drawing/2014/main" id="{00000000-0008-0000-0800-00003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dpH/dV</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4</xdr:row>
          <xdr:rowOff>0</xdr:rowOff>
        </xdr:from>
        <xdr:to>
          <xdr:col>5</xdr:col>
          <xdr:colOff>200025</xdr:colOff>
          <xdr:row>4</xdr:row>
          <xdr:rowOff>219075</xdr:rowOff>
        </xdr:to>
        <xdr:sp macro="" textlink="">
          <xdr:nvSpPr>
            <xdr:cNvPr id="5182" name="Check Box 62" hidden="1">
              <a:extLst>
                <a:ext uri="{63B3BB69-23CF-44E3-9099-C40C66FF867C}">
                  <a14:compatExt spid="_x0000_s5182"/>
                </a:ext>
                <a:ext uri="{FF2B5EF4-FFF2-40B4-BE49-F238E27FC236}">
                  <a16:creationId xmlns:a16="http://schemas.microsoft.com/office/drawing/2014/main" id="{00000000-0008-0000-0800-00003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Fitted regression curve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4</xdr:row>
          <xdr:rowOff>0</xdr:rowOff>
        </xdr:from>
        <xdr:to>
          <xdr:col>5</xdr:col>
          <xdr:colOff>885825</xdr:colOff>
          <xdr:row>4</xdr:row>
          <xdr:rowOff>219075</xdr:rowOff>
        </xdr:to>
        <xdr:sp macro="" textlink="">
          <xdr:nvSpPr>
            <xdr:cNvPr id="5183" name="Check Box 63" hidden="1">
              <a:extLst>
                <a:ext uri="{63B3BB69-23CF-44E3-9099-C40C66FF867C}">
                  <a14:compatExt spid="_x0000_s5183"/>
                </a:ext>
                <a:ext uri="{FF2B5EF4-FFF2-40B4-BE49-F238E27FC236}">
                  <a16:creationId xmlns:a16="http://schemas.microsoft.com/office/drawing/2014/main" id="{00000000-0008-0000-0800-00003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dpH/dV</a:t>
              </a:r>
            </a:p>
          </xdr:txBody>
        </xdr:sp>
        <xdr:clientData/>
      </xdr:twoCellAnchor>
    </mc:Choice>
    <mc:Fallback/>
  </mc:AlternateContent>
</xdr:wsDr>
</file>

<file path=xl/drawings/drawing27.xml><?xml version="1.0" encoding="utf-8"?>
<c:userShapes xmlns:c="http://schemas.openxmlformats.org/drawingml/2006/chart">
  <cdr:relSizeAnchor xmlns:cdr="http://schemas.openxmlformats.org/drawingml/2006/chartDrawing">
    <cdr:from>
      <cdr:x>0.85655</cdr:x>
      <cdr:y>0.0071</cdr:y>
    </cdr:from>
    <cdr:to>
      <cdr:x>0.96967</cdr:x>
      <cdr:y>0.06455</cdr:y>
    </cdr:to>
    <cdr:pic>
      <cdr:nvPicPr>
        <cdr:cNvPr id="113665" name="Picture 1025" descr="curtipotp">
          <a:extLst xmlns:a="http://schemas.openxmlformats.org/drawingml/2006/main">
            <a:ext uri="{FF2B5EF4-FFF2-40B4-BE49-F238E27FC236}">
              <a16:creationId xmlns:a16="http://schemas.microsoft.com/office/drawing/2014/main" id="{190C4D34-8373-4C0E-B6E4-20584BB225C0}"/>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8232297" y="35450"/>
          <a:ext cx="1087192" cy="286886"/>
        </a:xfrm>
        <a:prstGeom xmlns:a="http://schemas.openxmlformats.org/drawingml/2006/main" prst="rect">
          <a:avLst/>
        </a:prstGeom>
        <a:noFill xmlns:a="http://schemas.openxmlformats.org/drawingml/2006/main"/>
      </cdr:spPr>
    </cdr:pic>
  </cdr:relSizeAnchor>
  <cdr:relSizeAnchor xmlns:cdr="http://schemas.openxmlformats.org/drawingml/2006/chartDrawing">
    <cdr:from>
      <cdr:x>0.92417</cdr:x>
      <cdr:y>0.3735</cdr:y>
    </cdr:from>
    <cdr:to>
      <cdr:x>0.92985</cdr:x>
      <cdr:y>0.3735</cdr:y>
    </cdr:to>
    <cdr:sp macro="" textlink="">
      <cdr:nvSpPr>
        <cdr:cNvPr id="113666" name="Text Box 1026"/>
        <cdr:cNvSpPr txBox="1">
          <a:spLocks xmlns:a="http://schemas.openxmlformats.org/drawingml/2006/main" noChangeArrowheads="1"/>
        </cdr:cNvSpPr>
      </cdr:nvSpPr>
      <cdr:spPr bwMode="auto">
        <a:xfrm xmlns:a="http://schemas.openxmlformats.org/drawingml/2006/main">
          <a:off x="8496300" y="1877546"/>
          <a:ext cx="336702" cy="81511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vert="vert270" wrap="square" lIns="36576" tIns="36576" rIns="0" bIns="0" anchor="t" upright="1"/>
        <a:lstStyle xmlns:a="http://schemas.openxmlformats.org/drawingml/2006/main"/>
        <a:p xmlns:a="http://schemas.openxmlformats.org/drawingml/2006/main">
          <a:pPr algn="r" rtl="0">
            <a:defRPr sz="1000"/>
          </a:pPr>
          <a:r>
            <a:rPr lang="pt-BR" sz="1575" b="0" i="0" strike="noStrike">
              <a:solidFill>
                <a:srgbClr val="000000"/>
              </a:solidFill>
              <a:latin typeface="Symbol"/>
            </a:rPr>
            <a:t>D</a:t>
          </a:r>
          <a:r>
            <a:rPr lang="pt-BR" sz="1575" b="0" i="0" strike="noStrike">
              <a:solidFill>
                <a:srgbClr val="000000"/>
              </a:solidFill>
              <a:latin typeface="Arial"/>
              <a:cs typeface="Arial"/>
            </a:rPr>
            <a:t>pH/</a:t>
          </a:r>
          <a:r>
            <a:rPr lang="pt-BR" sz="1575" b="0" i="0" strike="noStrike">
              <a:solidFill>
                <a:srgbClr val="000000"/>
              </a:solidFill>
              <a:latin typeface="Symbol"/>
            </a:rPr>
            <a:t>D</a:t>
          </a:r>
          <a:r>
            <a:rPr lang="pt-BR" sz="1575" b="0" i="0" strike="noStrike">
              <a:solidFill>
                <a:srgbClr val="000000"/>
              </a:solidFill>
              <a:latin typeface="Arial"/>
              <a:cs typeface="Arial"/>
            </a:rPr>
            <a:t>V</a:t>
          </a:r>
        </a:p>
        <a:p xmlns:a="http://schemas.openxmlformats.org/drawingml/2006/main">
          <a:pPr algn="r" rtl="0">
            <a:defRPr sz="1000"/>
          </a:pPr>
          <a:endParaRPr lang="pt-BR" sz="1575" b="0" i="0" strike="noStrike">
            <a:solidFill>
              <a:srgbClr val="000000"/>
            </a:solidFill>
            <a:latin typeface="Arial"/>
            <a:cs typeface="Arial"/>
          </a:endParaRP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5</xdr:col>
      <xdr:colOff>663518</xdr:colOff>
      <xdr:row>15</xdr:row>
      <xdr:rowOff>64735</xdr:rowOff>
    </xdr:from>
    <xdr:to>
      <xdr:col>8</xdr:col>
      <xdr:colOff>337556</xdr:colOff>
      <xdr:row>17</xdr:row>
      <xdr:rowOff>140506</xdr:rowOff>
    </xdr:to>
    <xdr:pic>
      <xdr:nvPicPr>
        <xdr:cNvPr id="1926238" name="Picture 9" descr="davies_eq">
          <a:extLst>
            <a:ext uri="{FF2B5EF4-FFF2-40B4-BE49-F238E27FC236}">
              <a16:creationId xmlns:a16="http://schemas.microsoft.com/office/drawing/2014/main" id="{00000000-0008-0000-0900-00005E641D00}"/>
            </a:ext>
          </a:extLst>
        </xdr:cNvPr>
        <xdr:cNvPicPr>
          <a:picLocks noChangeAspect="1" noChangeArrowheads="1"/>
        </xdr:cNvPicPr>
      </xdr:nvPicPr>
      <xdr:blipFill>
        <a:blip xmlns:r="http://schemas.openxmlformats.org/officeDocument/2006/relationships" r:embed="rId1">
          <a:lum bright="-10000" contrast="22000"/>
        </a:blip>
        <a:srcRect/>
        <a:stretch>
          <a:fillRect/>
        </a:stretch>
      </xdr:blipFill>
      <xdr:spPr bwMode="auto">
        <a:xfrm>
          <a:off x="4383871" y="3336853"/>
          <a:ext cx="2228979" cy="501594"/>
        </a:xfrm>
        <a:prstGeom prst="rect">
          <a:avLst/>
        </a:prstGeom>
        <a:noFill/>
        <a:ln w="9525">
          <a:noFill/>
          <a:miter lim="800000"/>
          <a:headEnd/>
          <a:tailEnd/>
        </a:ln>
      </xdr:spPr>
    </xdr:pic>
    <xdr:clientData/>
  </xdr:twoCellAnchor>
  <xdr:twoCellAnchor editAs="oneCell">
    <xdr:from>
      <xdr:col>10</xdr:col>
      <xdr:colOff>64389</xdr:colOff>
      <xdr:row>15</xdr:row>
      <xdr:rowOff>158001</xdr:rowOff>
    </xdr:from>
    <xdr:to>
      <xdr:col>11</xdr:col>
      <xdr:colOff>330270</xdr:colOff>
      <xdr:row>17</xdr:row>
      <xdr:rowOff>128997</xdr:rowOff>
    </xdr:to>
    <xdr:pic>
      <xdr:nvPicPr>
        <xdr:cNvPr id="1926239" name="Picture 10" descr="IonicStrength">
          <a:extLst>
            <a:ext uri="{FF2B5EF4-FFF2-40B4-BE49-F238E27FC236}">
              <a16:creationId xmlns:a16="http://schemas.microsoft.com/office/drawing/2014/main" id="{00000000-0008-0000-0900-00005F641D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8042977" y="3430119"/>
          <a:ext cx="1117528" cy="396819"/>
        </a:xfrm>
        <a:prstGeom prst="rect">
          <a:avLst/>
        </a:prstGeom>
        <a:noFill/>
        <a:ln w="9525">
          <a:noFill/>
          <a:miter lim="800000"/>
          <a:headEnd/>
          <a:tailEnd/>
        </a:ln>
      </xdr:spPr>
    </xdr:pic>
    <xdr:clientData/>
  </xdr:twoCellAnchor>
  <xdr:twoCellAnchor>
    <xdr:from>
      <xdr:col>0</xdr:col>
      <xdr:colOff>0</xdr:colOff>
      <xdr:row>0</xdr:row>
      <xdr:rowOff>0</xdr:rowOff>
    </xdr:from>
    <xdr:to>
      <xdr:col>2</xdr:col>
      <xdr:colOff>507675</xdr:colOff>
      <xdr:row>0</xdr:row>
      <xdr:rowOff>285750</xdr:rowOff>
    </xdr:to>
    <xdr:pic>
      <xdr:nvPicPr>
        <xdr:cNvPr id="5" name="Picture 11" descr="curtipotp">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3"/>
        <a:srcRect/>
        <a:stretch>
          <a:fillRect/>
        </a:stretch>
      </xdr:blipFill>
      <xdr:spPr bwMode="auto">
        <a:xfrm>
          <a:off x="0" y="0"/>
          <a:ext cx="1145436" cy="28575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426983</xdr:colOff>
      <xdr:row>19</xdr:row>
      <xdr:rowOff>52552</xdr:rowOff>
    </xdr:from>
    <xdr:to>
      <xdr:col>1</xdr:col>
      <xdr:colOff>558994</xdr:colOff>
      <xdr:row>19</xdr:row>
      <xdr:rowOff>190500</xdr:rowOff>
    </xdr:to>
    <xdr:sp macro="" textlink="">
      <xdr:nvSpPr>
        <xdr:cNvPr id="41" name="Sol 40">
          <a:extLst>
            <a:ext uri="{FF2B5EF4-FFF2-40B4-BE49-F238E27FC236}">
              <a16:creationId xmlns:a16="http://schemas.microsoft.com/office/drawing/2014/main" id="{00000000-0008-0000-0200-000029000000}"/>
            </a:ext>
          </a:extLst>
        </xdr:cNvPr>
        <xdr:cNvSpPr/>
      </xdr:nvSpPr>
      <xdr:spPr bwMode="auto">
        <a:xfrm>
          <a:off x="1398533" y="4272127"/>
          <a:ext cx="132011" cy="137948"/>
        </a:xfrm>
        <a:prstGeom prst="sun">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pt-BR" sz="1100"/>
        </a:p>
      </xdr:txBody>
    </xdr:sp>
    <xdr:clientData/>
  </xdr:twoCellAnchor>
  <xdr:twoCellAnchor>
    <xdr:from>
      <xdr:col>1</xdr:col>
      <xdr:colOff>549519</xdr:colOff>
      <xdr:row>19</xdr:row>
      <xdr:rowOff>58614</xdr:rowOff>
    </xdr:from>
    <xdr:to>
      <xdr:col>1</xdr:col>
      <xdr:colOff>776653</xdr:colOff>
      <xdr:row>19</xdr:row>
      <xdr:rowOff>175845</xdr:rowOff>
    </xdr:to>
    <xdr:sp macro="" textlink="">
      <xdr:nvSpPr>
        <xdr:cNvPr id="43" name="Seta para a esquerda e para a direita 42">
          <a:extLst>
            <a:ext uri="{FF2B5EF4-FFF2-40B4-BE49-F238E27FC236}">
              <a16:creationId xmlns:a16="http://schemas.microsoft.com/office/drawing/2014/main" id="{00000000-0008-0000-0200-00002B000000}"/>
            </a:ext>
          </a:extLst>
        </xdr:cNvPr>
        <xdr:cNvSpPr/>
      </xdr:nvSpPr>
      <xdr:spPr bwMode="auto">
        <a:xfrm>
          <a:off x="1521069" y="4278189"/>
          <a:ext cx="227134" cy="117231"/>
        </a:xfrm>
        <a:prstGeom prst="leftRightArrow">
          <a:avLst/>
        </a:prstGeom>
        <a:noFill/>
        <a:ln w="1270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pt-BR" sz="1100"/>
        </a:p>
      </xdr:txBody>
    </xdr:sp>
    <xdr:clientData/>
  </xdr:twoCellAnchor>
  <xdr:twoCellAnchor>
    <xdr:from>
      <xdr:col>3</xdr:col>
      <xdr:colOff>551581</xdr:colOff>
      <xdr:row>20</xdr:row>
      <xdr:rowOff>11051</xdr:rowOff>
    </xdr:from>
    <xdr:to>
      <xdr:col>3</xdr:col>
      <xdr:colOff>655570</xdr:colOff>
      <xdr:row>20</xdr:row>
      <xdr:rowOff>226566</xdr:rowOff>
    </xdr:to>
    <xdr:sp macro="" textlink="">
      <xdr:nvSpPr>
        <xdr:cNvPr id="44" name="Seta para a direita 43">
          <a:extLst>
            <a:ext uri="{FF2B5EF4-FFF2-40B4-BE49-F238E27FC236}">
              <a16:creationId xmlns:a16="http://schemas.microsoft.com/office/drawing/2014/main" id="{00000000-0008-0000-0200-00002C000000}"/>
            </a:ext>
          </a:extLst>
        </xdr:cNvPr>
        <xdr:cNvSpPr/>
      </xdr:nvSpPr>
      <xdr:spPr bwMode="auto">
        <a:xfrm rot="3226156">
          <a:off x="3043075" y="4410214"/>
          <a:ext cx="215515" cy="103989"/>
        </a:xfrm>
        <a:prstGeom prst="rightArrow">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pt-BR" sz="1100"/>
        </a:p>
      </xdr:txBody>
    </xdr:sp>
    <xdr:clientData/>
  </xdr:twoCellAnchor>
  <xdr:twoCellAnchor>
    <xdr:from>
      <xdr:col>3</xdr:col>
      <xdr:colOff>545345</xdr:colOff>
      <xdr:row>19</xdr:row>
      <xdr:rowOff>63434</xdr:rowOff>
    </xdr:from>
    <xdr:to>
      <xdr:col>3</xdr:col>
      <xdr:colOff>761353</xdr:colOff>
      <xdr:row>19</xdr:row>
      <xdr:rowOff>165820</xdr:rowOff>
    </xdr:to>
    <xdr:sp macro="" textlink="">
      <xdr:nvSpPr>
        <xdr:cNvPr id="45" name="Seta para a direita 44">
          <a:extLst>
            <a:ext uri="{FF2B5EF4-FFF2-40B4-BE49-F238E27FC236}">
              <a16:creationId xmlns:a16="http://schemas.microsoft.com/office/drawing/2014/main" id="{00000000-0008-0000-0200-00002D000000}"/>
            </a:ext>
          </a:extLst>
        </xdr:cNvPr>
        <xdr:cNvSpPr/>
      </xdr:nvSpPr>
      <xdr:spPr bwMode="auto">
        <a:xfrm rot="10079123">
          <a:off x="3092602" y="4167348"/>
          <a:ext cx="216008" cy="102386"/>
        </a:xfrm>
        <a:prstGeom prst="rightArrow">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pt-BR" sz="1100"/>
        </a:p>
      </xdr:txBody>
    </xdr:sp>
    <xdr:clientData/>
  </xdr:twoCellAnchor>
  <xdr:twoCellAnchor>
    <xdr:from>
      <xdr:col>5</xdr:col>
      <xdr:colOff>381000</xdr:colOff>
      <xdr:row>29</xdr:row>
      <xdr:rowOff>22412</xdr:rowOff>
    </xdr:from>
    <xdr:to>
      <xdr:col>5</xdr:col>
      <xdr:colOff>761999</xdr:colOff>
      <xdr:row>35</xdr:row>
      <xdr:rowOff>246784</xdr:rowOff>
    </xdr:to>
    <xdr:sp macro="" textlink="">
      <xdr:nvSpPr>
        <xdr:cNvPr id="46" name="Chave esquerda 45">
          <a:extLst>
            <a:ext uri="{FF2B5EF4-FFF2-40B4-BE49-F238E27FC236}">
              <a16:creationId xmlns:a16="http://schemas.microsoft.com/office/drawing/2014/main" id="{00000000-0008-0000-0200-00002E000000}"/>
            </a:ext>
          </a:extLst>
        </xdr:cNvPr>
        <xdr:cNvSpPr/>
      </xdr:nvSpPr>
      <xdr:spPr bwMode="auto">
        <a:xfrm>
          <a:off x="4450773" y="6096764"/>
          <a:ext cx="380999" cy="1536225"/>
        </a:xfrm>
        <a:prstGeom prst="leftBrace">
          <a:avLst>
            <a:gd name="adj1" fmla="val 78921"/>
            <a:gd name="adj2" fmla="val 50000"/>
          </a:avLst>
        </a:prstGeom>
        <a:noFill/>
        <a:ln w="19050" cap="flat" cmpd="sng" algn="ctr">
          <a:solidFill>
            <a:schemeClr val="tx1">
              <a:lumMod val="50000"/>
              <a:lumOff val="50000"/>
            </a:schemeClr>
          </a:solidFill>
          <a:prstDash val="sysDash"/>
          <a:round/>
          <a:headEnd type="none" w="med" len="med"/>
          <a:tailEnd type="none" w="med" len="med"/>
        </a:ln>
        <a:effectLst/>
      </xdr:spPr>
      <xdr:txBody>
        <a:bodyPr vertOverflow="clip" horzOverflow="clip" wrap="square" lIns="18288" tIns="0" rIns="0" bIns="0" rtlCol="0" anchor="t" upright="1"/>
        <a:lstStyle/>
        <a:p>
          <a:pPr algn="l"/>
          <a:endParaRPr lang="pt-BR" sz="1100"/>
        </a:p>
      </xdr:txBody>
    </xdr:sp>
    <xdr:clientData/>
  </xdr:twoCellAnchor>
  <xdr:twoCellAnchor>
    <xdr:from>
      <xdr:col>4</xdr:col>
      <xdr:colOff>571501</xdr:colOff>
      <xdr:row>32</xdr:row>
      <xdr:rowOff>145780</xdr:rowOff>
    </xdr:from>
    <xdr:to>
      <xdr:col>5</xdr:col>
      <xdr:colOff>381000</xdr:colOff>
      <xdr:row>34</xdr:row>
      <xdr:rowOff>74544</xdr:rowOff>
    </xdr:to>
    <xdr:cxnSp macro="">
      <xdr:nvCxnSpPr>
        <xdr:cNvPr id="47" name="Conector de seta reta 46">
          <a:extLst>
            <a:ext uri="{FF2B5EF4-FFF2-40B4-BE49-F238E27FC236}">
              <a16:creationId xmlns:a16="http://schemas.microsoft.com/office/drawing/2014/main" id="{00000000-0008-0000-0200-00002F000000}"/>
            </a:ext>
          </a:extLst>
        </xdr:cNvPr>
        <xdr:cNvCxnSpPr>
          <a:stCxn id="46" idx="1"/>
        </xdr:cNvCxnSpPr>
      </xdr:nvCxnSpPr>
      <xdr:spPr bwMode="auto">
        <a:xfrm flipH="1">
          <a:off x="3859697" y="6879541"/>
          <a:ext cx="588064" cy="392590"/>
        </a:xfrm>
        <a:prstGeom prst="straightConnector1">
          <a:avLst/>
        </a:prstGeom>
        <a:solidFill>
          <a:srgbClr val="FFFFFF"/>
        </a:solidFill>
        <a:ln w="19050" cap="flat" cmpd="sng" algn="ctr">
          <a:solidFill>
            <a:schemeClr val="tx1">
              <a:lumMod val="50000"/>
              <a:lumOff val="50000"/>
            </a:schemeClr>
          </a:solidFill>
          <a:prstDash val="sysDash"/>
          <a:round/>
          <a:headEnd type="none" w="med" len="med"/>
          <a:tailEnd type="arrow"/>
        </a:ln>
        <a:effectLst/>
      </xdr:spPr>
    </xdr:cxnSp>
    <xdr:clientData/>
  </xdr:twoCellAnchor>
  <xdr:twoCellAnchor>
    <xdr:from>
      <xdr:col>1</xdr:col>
      <xdr:colOff>755430</xdr:colOff>
      <xdr:row>34</xdr:row>
      <xdr:rowOff>249621</xdr:rowOff>
    </xdr:from>
    <xdr:to>
      <xdr:col>2</xdr:col>
      <xdr:colOff>308740</xdr:colOff>
      <xdr:row>37</xdr:row>
      <xdr:rowOff>6955</xdr:rowOff>
    </xdr:to>
    <xdr:sp macro="" textlink="">
      <xdr:nvSpPr>
        <xdr:cNvPr id="48" name="Chave esquerda 47">
          <a:extLst>
            <a:ext uri="{FF2B5EF4-FFF2-40B4-BE49-F238E27FC236}">
              <a16:creationId xmlns:a16="http://schemas.microsoft.com/office/drawing/2014/main" id="{00000000-0008-0000-0200-000030000000}"/>
            </a:ext>
          </a:extLst>
        </xdr:cNvPr>
        <xdr:cNvSpPr/>
      </xdr:nvSpPr>
      <xdr:spPr bwMode="auto">
        <a:xfrm flipH="1">
          <a:off x="1726980" y="8088696"/>
          <a:ext cx="334360" cy="481234"/>
        </a:xfrm>
        <a:prstGeom prst="leftBrace">
          <a:avLst>
            <a:gd name="adj1" fmla="val 24172"/>
            <a:gd name="adj2" fmla="val 45042"/>
          </a:avLst>
        </a:prstGeom>
        <a:noFill/>
        <a:ln w="19050" cap="flat" cmpd="sng" algn="ctr">
          <a:solidFill>
            <a:schemeClr val="tx1">
              <a:lumMod val="50000"/>
              <a:lumOff val="50000"/>
            </a:schemeClr>
          </a:solidFill>
          <a:prstDash val="sysDash"/>
          <a:round/>
          <a:headEnd type="none" w="med" len="med"/>
          <a:tailEnd type="none" w="med" len="med"/>
        </a:ln>
        <a:effectLst/>
      </xdr:spPr>
      <xdr:txBody>
        <a:bodyPr vertOverflow="clip" horzOverflow="clip" wrap="square" lIns="18288" tIns="0" rIns="0" bIns="0" rtlCol="0" anchor="t" upright="1"/>
        <a:lstStyle/>
        <a:p>
          <a:pPr algn="l"/>
          <a:endParaRPr lang="pt-BR" sz="1100"/>
        </a:p>
      </xdr:txBody>
    </xdr:sp>
    <xdr:clientData/>
  </xdr:twoCellAnchor>
  <xdr:twoCellAnchor>
    <xdr:from>
      <xdr:col>2</xdr:col>
      <xdr:colOff>308740</xdr:colOff>
      <xdr:row>34</xdr:row>
      <xdr:rowOff>39414</xdr:rowOff>
    </xdr:from>
    <xdr:to>
      <xdr:col>3</xdr:col>
      <xdr:colOff>229914</xdr:colOff>
      <xdr:row>35</xdr:row>
      <xdr:rowOff>209597</xdr:rowOff>
    </xdr:to>
    <xdr:cxnSp macro="">
      <xdr:nvCxnSpPr>
        <xdr:cNvPr id="49" name="Conector de seta reta 48">
          <a:extLst>
            <a:ext uri="{FF2B5EF4-FFF2-40B4-BE49-F238E27FC236}">
              <a16:creationId xmlns:a16="http://schemas.microsoft.com/office/drawing/2014/main" id="{00000000-0008-0000-0200-000031000000}"/>
            </a:ext>
          </a:extLst>
        </xdr:cNvPr>
        <xdr:cNvCxnSpPr>
          <a:stCxn id="48" idx="1"/>
        </xdr:cNvCxnSpPr>
      </xdr:nvCxnSpPr>
      <xdr:spPr bwMode="auto">
        <a:xfrm flipV="1">
          <a:off x="2061340" y="7878489"/>
          <a:ext cx="702224" cy="427358"/>
        </a:xfrm>
        <a:prstGeom prst="straightConnector1">
          <a:avLst/>
        </a:prstGeom>
        <a:solidFill>
          <a:srgbClr val="FFFFFF"/>
        </a:solidFill>
        <a:ln w="19050" cap="flat" cmpd="sng" algn="ctr">
          <a:solidFill>
            <a:schemeClr val="tx1">
              <a:lumMod val="50000"/>
              <a:lumOff val="50000"/>
            </a:schemeClr>
          </a:solidFill>
          <a:prstDash val="sysDash"/>
          <a:round/>
          <a:headEnd type="none" w="med" len="med"/>
          <a:tailEnd type="arrow"/>
        </a:ln>
        <a:effectLst/>
      </xdr:spPr>
    </xdr:cxnSp>
    <xdr:clientData/>
  </xdr:twoCellAnchor>
  <xdr:twoCellAnchor>
    <xdr:from>
      <xdr:col>4</xdr:col>
      <xdr:colOff>245423</xdr:colOff>
      <xdr:row>20</xdr:row>
      <xdr:rowOff>53193</xdr:rowOff>
    </xdr:from>
    <xdr:to>
      <xdr:col>5</xdr:col>
      <xdr:colOff>446172</xdr:colOff>
      <xdr:row>33</xdr:row>
      <xdr:rowOff>190500</xdr:rowOff>
    </xdr:to>
    <xdr:grpSp>
      <xdr:nvGrpSpPr>
        <xdr:cNvPr id="12" name="Grupo 11">
          <a:extLst>
            <a:ext uri="{FF2B5EF4-FFF2-40B4-BE49-F238E27FC236}">
              <a16:creationId xmlns:a16="http://schemas.microsoft.com/office/drawing/2014/main" id="{00000000-0008-0000-0200-00000C000000}"/>
            </a:ext>
          </a:extLst>
        </xdr:cNvPr>
        <xdr:cNvGrpSpPr/>
      </xdr:nvGrpSpPr>
      <xdr:grpSpPr>
        <a:xfrm>
          <a:off x="3584776" y="4389869"/>
          <a:ext cx="985161" cy="3129278"/>
          <a:chOff x="3572369" y="4359854"/>
          <a:chExt cx="983160" cy="3144485"/>
        </a:xfrm>
      </xdr:grpSpPr>
      <xdr:sp macro="" textlink="">
        <xdr:nvSpPr>
          <xdr:cNvPr id="27" name="Elipse 26">
            <a:extLst>
              <a:ext uri="{FF2B5EF4-FFF2-40B4-BE49-F238E27FC236}">
                <a16:creationId xmlns:a16="http://schemas.microsoft.com/office/drawing/2014/main" id="{00000000-0008-0000-0200-00001B000000}"/>
              </a:ext>
            </a:extLst>
          </xdr:cNvPr>
          <xdr:cNvSpPr/>
        </xdr:nvSpPr>
        <xdr:spPr bwMode="auto">
          <a:xfrm>
            <a:off x="3572369" y="7243662"/>
            <a:ext cx="256391" cy="260677"/>
          </a:xfrm>
          <a:prstGeom prst="ellipse">
            <a:avLst/>
          </a:prstGeom>
          <a:solidFill>
            <a:schemeClr val="tx1">
              <a:lumMod val="50000"/>
              <a:lumOff val="50000"/>
              <a:alpha val="34000"/>
            </a:schemeClr>
          </a:solidFill>
          <a:ln w="19050">
            <a:solidFill>
              <a:schemeClr val="dk1">
                <a:alpha val="71000"/>
              </a:schemeClr>
            </a:solidFill>
            <a:headEnd type="none" w="med" len="med"/>
            <a:tailEnd type="none" w="med" len="med"/>
          </a:ln>
          <a:scene3d>
            <a:camera prst="orthographicFront"/>
            <a:lightRig rig="threePt" dir="t"/>
          </a:scene3d>
          <a:sp3d>
            <a:bevelT/>
          </a:sp3d>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lang="pt-BR" sz="1100"/>
          </a:p>
        </xdr:txBody>
      </xdr:sp>
      <xdr:sp macro="" textlink="">
        <xdr:nvSpPr>
          <xdr:cNvPr id="28" name="Retângulo 27">
            <a:extLst>
              <a:ext uri="{FF2B5EF4-FFF2-40B4-BE49-F238E27FC236}">
                <a16:creationId xmlns:a16="http://schemas.microsoft.com/office/drawing/2014/main" id="{00000000-0008-0000-0200-00001C000000}"/>
              </a:ext>
            </a:extLst>
          </xdr:cNvPr>
          <xdr:cNvSpPr/>
        </xdr:nvSpPr>
        <xdr:spPr bwMode="auto">
          <a:xfrm>
            <a:off x="3605988" y="5567249"/>
            <a:ext cx="174401" cy="1698824"/>
          </a:xfrm>
          <a:prstGeom prst="rect">
            <a:avLst/>
          </a:prstGeom>
          <a:solidFill>
            <a:schemeClr val="tx1">
              <a:lumMod val="50000"/>
              <a:lumOff val="50000"/>
              <a:alpha val="32000"/>
            </a:schemeClr>
          </a:solidFill>
          <a:ln w="19050">
            <a:solidFill>
              <a:schemeClr val="tx1">
                <a:alpha val="64000"/>
              </a:schemeClr>
            </a:solidFill>
            <a:headEnd type="none" w="med" len="med"/>
            <a:tailEnd type="none" w="med" len="med"/>
          </a:ln>
          <a:scene3d>
            <a:camera prst="orthographicFront"/>
            <a:lightRig rig="threePt" dir="t"/>
          </a:scene3d>
          <a:sp3d>
            <a:bevelT w="114300" prst="artDeco"/>
          </a:sp3d>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lang="pt-BR" sz="1100"/>
          </a:p>
        </xdr:txBody>
      </xdr:sp>
      <xdr:sp macro="" textlink="">
        <xdr:nvSpPr>
          <xdr:cNvPr id="29" name="Arco 28">
            <a:extLst>
              <a:ext uri="{FF2B5EF4-FFF2-40B4-BE49-F238E27FC236}">
                <a16:creationId xmlns:a16="http://schemas.microsoft.com/office/drawing/2014/main" id="{00000000-0008-0000-0200-00001D000000}"/>
              </a:ext>
            </a:extLst>
          </xdr:cNvPr>
          <xdr:cNvSpPr/>
        </xdr:nvSpPr>
        <xdr:spPr bwMode="auto">
          <a:xfrm>
            <a:off x="3686176" y="4426404"/>
            <a:ext cx="869353" cy="2089376"/>
          </a:xfrm>
          <a:prstGeom prst="arc">
            <a:avLst>
              <a:gd name="adj1" fmla="val 10058851"/>
              <a:gd name="adj2" fmla="val 16158529"/>
            </a:avLst>
          </a:prstGeom>
          <a:noFill/>
          <a:ln w="38100" cap="flat" cmpd="sng" algn="ctr">
            <a:solidFill>
              <a:schemeClr val="tx1">
                <a:lumMod val="50000"/>
                <a:lumOff val="50000"/>
              </a:schemeClr>
            </a:solidFill>
            <a:prstDash val="solid"/>
            <a:round/>
            <a:headEnd type="none" w="med" len="med"/>
            <a:tailEnd type="none" w="med" len="med"/>
          </a:ln>
          <a:effectLst/>
        </xdr:spPr>
        <xdr:txBody>
          <a:bodyPr vertOverflow="clip" horzOverflow="clip" wrap="square" lIns="18288" tIns="0" rIns="0" bIns="0" rtlCol="0" anchor="t" upright="1"/>
          <a:lstStyle/>
          <a:p>
            <a:pPr algn="l"/>
            <a:endParaRPr lang="pt-BR" sz="1100"/>
          </a:p>
        </xdr:txBody>
      </xdr:sp>
      <xdr:sp macro="" textlink="">
        <xdr:nvSpPr>
          <xdr:cNvPr id="31" name="Retângulo 30">
            <a:extLst>
              <a:ext uri="{FF2B5EF4-FFF2-40B4-BE49-F238E27FC236}">
                <a16:creationId xmlns:a16="http://schemas.microsoft.com/office/drawing/2014/main" id="{00000000-0008-0000-0200-00001F000000}"/>
              </a:ext>
            </a:extLst>
          </xdr:cNvPr>
          <xdr:cNvSpPr/>
        </xdr:nvSpPr>
        <xdr:spPr bwMode="auto">
          <a:xfrm>
            <a:off x="3670382" y="5567762"/>
            <a:ext cx="59028" cy="1698824"/>
          </a:xfrm>
          <a:prstGeom prst="rect">
            <a:avLst/>
          </a:prstGeom>
          <a:solidFill>
            <a:schemeClr val="tx1">
              <a:lumMod val="50000"/>
              <a:lumOff val="50000"/>
              <a:alpha val="32000"/>
            </a:schemeClr>
          </a:solidFill>
          <a:ln w="19050">
            <a:solidFill>
              <a:schemeClr val="tx1">
                <a:alpha val="64000"/>
              </a:schemeClr>
            </a:solidFill>
            <a:headEnd type="none" w="med" len="med"/>
            <a:tailEnd type="none" w="med" len="med"/>
          </a:ln>
          <a:scene3d>
            <a:camera prst="orthographicFront"/>
            <a:lightRig rig="threePt" dir="t"/>
          </a:scene3d>
          <a:sp3d>
            <a:bevelT w="114300" prst="artDeco"/>
          </a:sp3d>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lang="pt-BR" sz="1100"/>
          </a:p>
        </xdr:txBody>
      </xdr:sp>
      <xdr:cxnSp macro="">
        <xdr:nvCxnSpPr>
          <xdr:cNvPr id="32" name="Conector reto 31">
            <a:extLst>
              <a:ext uri="{FF2B5EF4-FFF2-40B4-BE49-F238E27FC236}">
                <a16:creationId xmlns:a16="http://schemas.microsoft.com/office/drawing/2014/main" id="{00000000-0008-0000-0200-000020000000}"/>
              </a:ext>
            </a:extLst>
          </xdr:cNvPr>
          <xdr:cNvCxnSpPr/>
        </xdr:nvCxnSpPr>
        <xdr:spPr bwMode="auto">
          <a:xfrm>
            <a:off x="3697213" y="5567762"/>
            <a:ext cx="2733" cy="1889811"/>
          </a:xfrm>
          <a:prstGeom prst="line">
            <a:avLst/>
          </a:prstGeom>
          <a:solidFill>
            <a:srgbClr val="FFFFFF"/>
          </a:solidFill>
          <a:ln w="19050" cap="flat" cmpd="sng" algn="ctr">
            <a:solidFill>
              <a:schemeClr val="tx1">
                <a:lumMod val="75000"/>
                <a:lumOff val="25000"/>
              </a:schemeClr>
            </a:solidFill>
            <a:prstDash val="solid"/>
            <a:round/>
            <a:headEnd type="none" w="med" len="med"/>
            <a:tailEnd type="none" w="med" len="med"/>
          </a:ln>
          <a:effectLst/>
        </xdr:spPr>
      </xdr:cxnSp>
      <xdr:cxnSp macro="">
        <xdr:nvCxnSpPr>
          <xdr:cNvPr id="33" name="Conector reto 32">
            <a:extLst>
              <a:ext uri="{FF2B5EF4-FFF2-40B4-BE49-F238E27FC236}">
                <a16:creationId xmlns:a16="http://schemas.microsoft.com/office/drawing/2014/main" id="{00000000-0008-0000-0200-000021000000}"/>
              </a:ext>
            </a:extLst>
          </xdr:cNvPr>
          <xdr:cNvCxnSpPr/>
        </xdr:nvCxnSpPr>
        <xdr:spPr bwMode="auto">
          <a:xfrm>
            <a:off x="3640258" y="5559952"/>
            <a:ext cx="796" cy="1524044"/>
          </a:xfrm>
          <a:prstGeom prst="line">
            <a:avLst/>
          </a:prstGeom>
          <a:solidFill>
            <a:srgbClr val="FFFFFF"/>
          </a:solidFill>
          <a:ln w="19050" cap="flat" cmpd="sng" algn="ctr">
            <a:solidFill>
              <a:schemeClr val="tx1">
                <a:lumMod val="75000"/>
                <a:lumOff val="25000"/>
              </a:schemeClr>
            </a:solidFill>
            <a:prstDash val="solid"/>
            <a:round/>
            <a:headEnd type="none" w="med" len="med"/>
            <a:tailEnd type="none" w="med" len="med"/>
          </a:ln>
          <a:effectLst/>
        </xdr:spPr>
      </xdr:cxnSp>
      <xdr:sp macro="" textlink="">
        <xdr:nvSpPr>
          <xdr:cNvPr id="34" name="Retângulo 33">
            <a:extLst>
              <a:ext uri="{FF2B5EF4-FFF2-40B4-BE49-F238E27FC236}">
                <a16:creationId xmlns:a16="http://schemas.microsoft.com/office/drawing/2014/main" id="{00000000-0008-0000-0200-000022000000}"/>
              </a:ext>
            </a:extLst>
          </xdr:cNvPr>
          <xdr:cNvSpPr/>
        </xdr:nvSpPr>
        <xdr:spPr bwMode="auto">
          <a:xfrm>
            <a:off x="3583137" y="5559102"/>
            <a:ext cx="229912" cy="251499"/>
          </a:xfrm>
          <a:prstGeom prst="rect">
            <a:avLst/>
          </a:prstGeom>
          <a:solidFill>
            <a:schemeClr val="tx1">
              <a:lumMod val="65000"/>
              <a:lumOff val="35000"/>
            </a:schemeClr>
          </a:solidFill>
          <a:ln w="3175">
            <a:solidFill>
              <a:schemeClr val="tx1">
                <a:alpha val="64000"/>
              </a:schemeClr>
            </a:solidFill>
            <a:headEnd type="none" w="med" len="med"/>
            <a:tailEnd type="none" w="med" len="med"/>
          </a:ln>
          <a:scene3d>
            <a:camera prst="orthographicFront"/>
            <a:lightRig rig="threePt" dir="t"/>
          </a:scene3d>
          <a:sp3d>
            <a:bevelT/>
          </a:sp3d>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lang="pt-BR" sz="1100"/>
          </a:p>
        </xdr:txBody>
      </xdr:sp>
      <xdr:sp macro="" textlink="">
        <xdr:nvSpPr>
          <xdr:cNvPr id="35" name="Retângulo 34">
            <a:extLst>
              <a:ext uri="{FF2B5EF4-FFF2-40B4-BE49-F238E27FC236}">
                <a16:creationId xmlns:a16="http://schemas.microsoft.com/office/drawing/2014/main" id="{00000000-0008-0000-0200-000023000000}"/>
              </a:ext>
            </a:extLst>
          </xdr:cNvPr>
          <xdr:cNvSpPr/>
        </xdr:nvSpPr>
        <xdr:spPr bwMode="auto">
          <a:xfrm>
            <a:off x="3586360" y="7187634"/>
            <a:ext cx="45719" cy="45719"/>
          </a:xfrm>
          <a:prstGeom prst="rect">
            <a:avLst/>
          </a:prstGeom>
          <a:solidFill>
            <a:schemeClr val="bg1">
              <a:lumMod val="75000"/>
              <a:alpha val="82000"/>
            </a:schemeClr>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pt-BR" sz="1100"/>
          </a:p>
        </xdr:txBody>
      </xdr:sp>
      <xdr:sp macro="" textlink="">
        <xdr:nvSpPr>
          <xdr:cNvPr id="36" name="Retângulo 35">
            <a:extLst>
              <a:ext uri="{FF2B5EF4-FFF2-40B4-BE49-F238E27FC236}">
                <a16:creationId xmlns:a16="http://schemas.microsoft.com/office/drawing/2014/main" id="{00000000-0008-0000-0200-000024000000}"/>
              </a:ext>
            </a:extLst>
          </xdr:cNvPr>
          <xdr:cNvSpPr/>
        </xdr:nvSpPr>
        <xdr:spPr bwMode="auto">
          <a:xfrm>
            <a:off x="4105292" y="4359854"/>
            <a:ext cx="90218" cy="130097"/>
          </a:xfrm>
          <a:prstGeom prst="rect">
            <a:avLst/>
          </a:prstGeom>
          <a:solidFill>
            <a:schemeClr val="tx1">
              <a:lumMod val="65000"/>
              <a:lumOff val="35000"/>
            </a:schemeClr>
          </a:solidFill>
          <a:ln w="3175">
            <a:solidFill>
              <a:schemeClr val="tx1">
                <a:alpha val="64000"/>
              </a:schemeClr>
            </a:solidFill>
            <a:headEnd type="none" w="med" len="med"/>
            <a:tailEnd type="none" w="med" len="med"/>
          </a:ln>
          <a:scene3d>
            <a:camera prst="orthographicFront"/>
            <a:lightRig rig="threePt" dir="t"/>
          </a:scene3d>
          <a:sp3d>
            <a:bevelT/>
          </a:sp3d>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lang="pt-BR" sz="1100"/>
          </a:p>
        </xdr:txBody>
      </xdr:sp>
      <xdr:sp macro="" textlink="">
        <xdr:nvSpPr>
          <xdr:cNvPr id="40" name="Retângulo 39">
            <a:extLst>
              <a:ext uri="{FF2B5EF4-FFF2-40B4-BE49-F238E27FC236}">
                <a16:creationId xmlns:a16="http://schemas.microsoft.com/office/drawing/2014/main" id="{00000000-0008-0000-0200-000028000000}"/>
              </a:ext>
            </a:extLst>
          </xdr:cNvPr>
          <xdr:cNvSpPr/>
        </xdr:nvSpPr>
        <xdr:spPr bwMode="auto">
          <a:xfrm flipV="1">
            <a:off x="3780076" y="5885622"/>
            <a:ext cx="79837" cy="66822"/>
          </a:xfrm>
          <a:prstGeom prst="rect">
            <a:avLst/>
          </a:prstGeom>
          <a:solidFill>
            <a:schemeClr val="bg1">
              <a:lumMod val="65000"/>
              <a:alpha val="82000"/>
            </a:schemeClr>
          </a:solidFill>
          <a:ln w="19050" cap="flat" cmpd="sng" algn="ctr">
            <a:solidFill>
              <a:schemeClr val="tx1">
                <a:lumMod val="65000"/>
                <a:lumOff val="35000"/>
              </a:schemeClr>
            </a:solidFill>
            <a:prstDash val="solid"/>
            <a:round/>
            <a:headEnd type="none" w="med" len="med"/>
            <a:tailEnd type="none" w="med" len="med"/>
          </a:ln>
          <a:effectLst/>
        </xdr:spPr>
        <xdr:txBody>
          <a:bodyPr vertOverflow="clip" horzOverflow="clip" wrap="square" lIns="18288" tIns="0" rIns="0" bIns="0" rtlCol="0" anchor="t" upright="1"/>
          <a:lstStyle/>
          <a:p>
            <a:pPr algn="l"/>
            <a:endParaRPr lang="pt-BR" sz="1100"/>
          </a:p>
        </xdr:txBody>
      </xdr:sp>
      <xdr:sp macro="" textlink="">
        <xdr:nvSpPr>
          <xdr:cNvPr id="61" name="Retângulo 60">
            <a:extLst>
              <a:ext uri="{FF2B5EF4-FFF2-40B4-BE49-F238E27FC236}">
                <a16:creationId xmlns:a16="http://schemas.microsoft.com/office/drawing/2014/main" id="{00000000-0008-0000-0200-00003D000000}"/>
              </a:ext>
            </a:extLst>
          </xdr:cNvPr>
          <xdr:cNvSpPr/>
        </xdr:nvSpPr>
        <xdr:spPr bwMode="auto">
          <a:xfrm flipV="1">
            <a:off x="3765050" y="5896809"/>
            <a:ext cx="102976" cy="43895"/>
          </a:xfrm>
          <a:prstGeom prst="rect">
            <a:avLst/>
          </a:prstGeom>
          <a:solidFill>
            <a:schemeClr val="bg1">
              <a:lumMod val="75000"/>
              <a:alpha val="82000"/>
            </a:schemeClr>
          </a:solidFill>
          <a:ln w="19050"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pt-BR" sz="1100"/>
          </a:p>
        </xdr:txBody>
      </xdr:sp>
    </xdr:grpSp>
    <xdr:clientData/>
  </xdr:twoCellAnchor>
  <xdr:twoCellAnchor>
    <xdr:from>
      <xdr:col>3</xdr:col>
      <xdr:colOff>504825</xdr:colOff>
      <xdr:row>34</xdr:row>
      <xdr:rowOff>50800</xdr:rowOff>
    </xdr:from>
    <xdr:to>
      <xdr:col>4</xdr:col>
      <xdr:colOff>231775</xdr:colOff>
      <xdr:row>34</xdr:row>
      <xdr:rowOff>203200</xdr:rowOff>
    </xdr:to>
    <xdr:sp macro="" textlink="">
      <xdr:nvSpPr>
        <xdr:cNvPr id="42" name="Retângulo 41">
          <a:extLst>
            <a:ext uri="{FF2B5EF4-FFF2-40B4-BE49-F238E27FC236}">
              <a16:creationId xmlns:a16="http://schemas.microsoft.com/office/drawing/2014/main" id="{00000000-0008-0000-0200-00002A000000}"/>
            </a:ext>
          </a:extLst>
        </xdr:cNvPr>
        <xdr:cNvSpPr/>
      </xdr:nvSpPr>
      <xdr:spPr bwMode="auto">
        <a:xfrm>
          <a:off x="3048000" y="7594600"/>
          <a:ext cx="508000" cy="152400"/>
        </a:xfrm>
        <a:prstGeom prst="rect">
          <a:avLst/>
        </a:prstGeom>
        <a:solidFill>
          <a:schemeClr val="tx1">
            <a:lumMod val="65000"/>
            <a:lumOff val="35000"/>
          </a:schemeClr>
        </a:solidFill>
        <a:ln w="3175">
          <a:solidFill>
            <a:schemeClr val="tx1">
              <a:alpha val="64000"/>
            </a:schemeClr>
          </a:solidFill>
          <a:headEnd type="none" w="med" len="med"/>
          <a:tailEnd type="none" w="med" len="med"/>
        </a:ln>
        <a:scene3d>
          <a:camera prst="orthographicFront"/>
          <a:lightRig rig="threePt" dir="t"/>
        </a:scene3d>
        <a:sp3d>
          <a:bevelT/>
        </a:sp3d>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lang="pt-BR" sz="1100"/>
        </a:p>
      </xdr:txBody>
    </xdr:sp>
    <xdr:clientData/>
  </xdr:twoCellAnchor>
  <xdr:twoCellAnchor>
    <xdr:from>
      <xdr:col>2</xdr:col>
      <xdr:colOff>198210</xdr:colOff>
      <xdr:row>10</xdr:row>
      <xdr:rowOff>177070</xdr:rowOff>
    </xdr:from>
    <xdr:to>
      <xdr:col>9</xdr:col>
      <xdr:colOff>367062</xdr:colOff>
      <xdr:row>32</xdr:row>
      <xdr:rowOff>166477</xdr:rowOff>
    </xdr:to>
    <xdr:grpSp>
      <xdr:nvGrpSpPr>
        <xdr:cNvPr id="16" name="Grupo 15">
          <a:extLst>
            <a:ext uri="{FF2B5EF4-FFF2-40B4-BE49-F238E27FC236}">
              <a16:creationId xmlns:a16="http://schemas.microsoft.com/office/drawing/2014/main" id="{00000000-0008-0000-0200-000010000000}"/>
            </a:ext>
          </a:extLst>
        </xdr:cNvPr>
        <xdr:cNvGrpSpPr/>
      </xdr:nvGrpSpPr>
      <xdr:grpSpPr>
        <a:xfrm>
          <a:off x="1968739" y="2373423"/>
          <a:ext cx="5659735" cy="4897583"/>
          <a:chOff x="1968739" y="2395835"/>
          <a:chExt cx="5659669" cy="4695878"/>
        </a:xfrm>
      </xdr:grpSpPr>
      <xdr:sp macro="" textlink="">
        <xdr:nvSpPr>
          <xdr:cNvPr id="63" name="Arco 62">
            <a:extLst>
              <a:ext uri="{FF2B5EF4-FFF2-40B4-BE49-F238E27FC236}">
                <a16:creationId xmlns:a16="http://schemas.microsoft.com/office/drawing/2014/main" id="{00000000-0008-0000-0200-00003F000000}"/>
              </a:ext>
            </a:extLst>
          </xdr:cNvPr>
          <xdr:cNvSpPr/>
        </xdr:nvSpPr>
        <xdr:spPr bwMode="auto">
          <a:xfrm flipH="1" flipV="1">
            <a:off x="2498910" y="3921773"/>
            <a:ext cx="4840453" cy="813639"/>
          </a:xfrm>
          <a:prstGeom prst="arc">
            <a:avLst>
              <a:gd name="adj1" fmla="val 277875"/>
              <a:gd name="adj2" fmla="val 8765411"/>
            </a:avLst>
          </a:prstGeom>
          <a:noFill/>
          <a:ln w="63500" cap="flat" cmpd="dbl" algn="ctr">
            <a:solidFill>
              <a:schemeClr val="tx1">
                <a:lumMod val="50000"/>
                <a:lumOff val="50000"/>
              </a:schemeClr>
            </a:solidFill>
            <a:prstDash val="solid"/>
            <a:round/>
            <a:headEnd type="none" w="med" len="med"/>
            <a:tailEnd type="none" w="med" len="med"/>
          </a:ln>
          <a:effectLst/>
        </xdr:spPr>
        <xdr:txBody>
          <a:bodyPr vertOverflow="clip" horzOverflow="clip" wrap="square" lIns="18288" tIns="0" rIns="0" bIns="0" rtlCol="0" anchor="t" upright="1"/>
          <a:lstStyle/>
          <a:p>
            <a:pPr algn="l"/>
            <a:endParaRPr lang="pt-BR" sz="1100"/>
          </a:p>
        </xdr:txBody>
      </xdr:sp>
      <xdr:sp macro="" textlink="">
        <xdr:nvSpPr>
          <xdr:cNvPr id="30" name="Arco 29">
            <a:extLst>
              <a:ext uri="{FF2B5EF4-FFF2-40B4-BE49-F238E27FC236}">
                <a16:creationId xmlns:a16="http://schemas.microsoft.com/office/drawing/2014/main" id="{00000000-0008-0000-0200-00001E000000}"/>
              </a:ext>
            </a:extLst>
          </xdr:cNvPr>
          <xdr:cNvSpPr/>
        </xdr:nvSpPr>
        <xdr:spPr bwMode="auto">
          <a:xfrm flipH="1">
            <a:off x="1968739" y="4185681"/>
            <a:ext cx="1405070" cy="2906032"/>
          </a:xfrm>
          <a:prstGeom prst="arc">
            <a:avLst>
              <a:gd name="adj1" fmla="val 7266175"/>
              <a:gd name="adj2" fmla="val 16212669"/>
            </a:avLst>
          </a:prstGeom>
          <a:noFill/>
          <a:ln w="63500" cap="flat" cmpd="dbl" algn="ctr">
            <a:solidFill>
              <a:schemeClr val="tx1">
                <a:lumMod val="50000"/>
                <a:lumOff val="50000"/>
              </a:schemeClr>
            </a:solidFill>
            <a:prstDash val="solid"/>
            <a:round/>
            <a:headEnd type="none" w="med" len="med"/>
            <a:tailEnd type="none" w="med" len="med"/>
          </a:ln>
          <a:effectLst/>
        </xdr:spPr>
        <xdr:txBody>
          <a:bodyPr vertOverflow="clip" horzOverflow="clip" wrap="square" lIns="18288" tIns="0" rIns="0" bIns="0" rtlCol="0" anchor="t" upright="1"/>
          <a:lstStyle/>
          <a:p>
            <a:pPr algn="l"/>
            <a:endParaRPr lang="pt-BR" sz="1100"/>
          </a:p>
        </xdr:txBody>
      </xdr:sp>
      <xdr:sp macro="" textlink="">
        <xdr:nvSpPr>
          <xdr:cNvPr id="38" name="Retângulo 37">
            <a:extLst>
              <a:ext uri="{FF2B5EF4-FFF2-40B4-BE49-F238E27FC236}">
                <a16:creationId xmlns:a16="http://schemas.microsoft.com/office/drawing/2014/main" id="{00000000-0008-0000-0200-000026000000}"/>
              </a:ext>
            </a:extLst>
          </xdr:cNvPr>
          <xdr:cNvSpPr/>
        </xdr:nvSpPr>
        <xdr:spPr bwMode="auto">
          <a:xfrm>
            <a:off x="2548323" y="4105335"/>
            <a:ext cx="202710" cy="143031"/>
          </a:xfrm>
          <a:prstGeom prst="rect">
            <a:avLst/>
          </a:prstGeom>
          <a:solidFill>
            <a:schemeClr val="tx1">
              <a:lumMod val="65000"/>
              <a:lumOff val="35000"/>
            </a:schemeClr>
          </a:solidFill>
          <a:ln w="3175">
            <a:solidFill>
              <a:schemeClr val="tx1">
                <a:alpha val="64000"/>
              </a:schemeClr>
            </a:solidFill>
            <a:headEnd type="none" w="med" len="med"/>
            <a:tailEnd type="none" w="med" len="med"/>
          </a:ln>
          <a:scene3d>
            <a:camera prst="orthographicFront"/>
            <a:lightRig rig="threePt" dir="t"/>
          </a:scene3d>
          <a:sp3d>
            <a:bevelT/>
          </a:sp3d>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lang="pt-BR" sz="1100"/>
          </a:p>
        </xdr:txBody>
      </xdr:sp>
      <xdr:sp macro="" textlink="">
        <xdr:nvSpPr>
          <xdr:cNvPr id="64" name="Arco 63">
            <a:extLst>
              <a:ext uri="{FF2B5EF4-FFF2-40B4-BE49-F238E27FC236}">
                <a16:creationId xmlns:a16="http://schemas.microsoft.com/office/drawing/2014/main" id="{00000000-0008-0000-0200-000040000000}"/>
              </a:ext>
            </a:extLst>
          </xdr:cNvPr>
          <xdr:cNvSpPr/>
        </xdr:nvSpPr>
        <xdr:spPr bwMode="auto">
          <a:xfrm flipH="1" flipV="1">
            <a:off x="3608322" y="2395835"/>
            <a:ext cx="3933073" cy="1537430"/>
          </a:xfrm>
          <a:prstGeom prst="arc">
            <a:avLst>
              <a:gd name="adj1" fmla="val 10864170"/>
              <a:gd name="adj2" fmla="val 16713239"/>
            </a:avLst>
          </a:prstGeom>
          <a:noFill/>
          <a:ln w="63500" cap="flat" cmpd="dbl" algn="ctr">
            <a:solidFill>
              <a:schemeClr val="tx1">
                <a:lumMod val="50000"/>
                <a:lumOff val="50000"/>
              </a:schemeClr>
            </a:solidFill>
            <a:prstDash val="solid"/>
            <a:round/>
            <a:headEnd type="none" w="med" len="med"/>
            <a:tailEnd type="none" w="med" len="med"/>
          </a:ln>
          <a:effectLst/>
        </xdr:spPr>
        <xdr:txBody>
          <a:bodyPr vertOverflow="clip" horzOverflow="clip" wrap="square" lIns="18288" tIns="0" rIns="0" bIns="0" rtlCol="0" anchor="t" upright="1"/>
          <a:lstStyle/>
          <a:p>
            <a:pPr algn="l"/>
            <a:endParaRPr lang="pt-BR" sz="1100"/>
          </a:p>
        </xdr:txBody>
      </xdr:sp>
      <xdr:sp macro="" textlink="">
        <xdr:nvSpPr>
          <xdr:cNvPr id="57" name="Retângulo 56">
            <a:extLst>
              <a:ext uri="{FF2B5EF4-FFF2-40B4-BE49-F238E27FC236}">
                <a16:creationId xmlns:a16="http://schemas.microsoft.com/office/drawing/2014/main" id="{00000000-0008-0000-0200-000039000000}"/>
              </a:ext>
            </a:extLst>
          </xdr:cNvPr>
          <xdr:cNvSpPr/>
        </xdr:nvSpPr>
        <xdr:spPr bwMode="auto">
          <a:xfrm>
            <a:off x="7439453" y="3118981"/>
            <a:ext cx="188955" cy="92194"/>
          </a:xfrm>
          <a:prstGeom prst="rect">
            <a:avLst/>
          </a:prstGeom>
          <a:solidFill>
            <a:schemeClr val="tx1">
              <a:lumMod val="65000"/>
              <a:lumOff val="35000"/>
            </a:schemeClr>
          </a:solidFill>
          <a:ln w="3175">
            <a:solidFill>
              <a:schemeClr val="tx1">
                <a:alpha val="64000"/>
              </a:schemeClr>
            </a:solidFill>
            <a:headEnd type="none" w="med" len="med"/>
            <a:tailEnd type="none" w="med" len="med"/>
          </a:ln>
          <a:scene3d>
            <a:camera prst="orthographicFront"/>
            <a:lightRig rig="threePt" dir="t"/>
          </a:scene3d>
          <a:sp3d>
            <a:bevelT/>
          </a:sp3d>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lang="pt-BR" sz="1100"/>
          </a:p>
        </xdr:txBody>
      </xdr:sp>
    </xdr:grpSp>
    <xdr:clientData/>
  </xdr:twoCellAnchor>
  <xdr:twoCellAnchor>
    <xdr:from>
      <xdr:col>8</xdr:col>
      <xdr:colOff>145676</xdr:colOff>
      <xdr:row>16</xdr:row>
      <xdr:rowOff>31668</xdr:rowOff>
    </xdr:from>
    <xdr:to>
      <xdr:col>15</xdr:col>
      <xdr:colOff>750794</xdr:colOff>
      <xdr:row>37</xdr:row>
      <xdr:rowOff>127161</xdr:rowOff>
    </xdr:to>
    <xdr:grpSp>
      <xdr:nvGrpSpPr>
        <xdr:cNvPr id="15" name="Grupo 14">
          <a:extLst>
            <a:ext uri="{FF2B5EF4-FFF2-40B4-BE49-F238E27FC236}">
              <a16:creationId xmlns:a16="http://schemas.microsoft.com/office/drawing/2014/main" id="{00000000-0008-0000-0200-00000F000000}"/>
            </a:ext>
          </a:extLst>
        </xdr:cNvPr>
        <xdr:cNvGrpSpPr/>
      </xdr:nvGrpSpPr>
      <xdr:grpSpPr>
        <a:xfrm>
          <a:off x="6622676" y="3371021"/>
          <a:ext cx="7698442" cy="4981258"/>
          <a:chOff x="6734248" y="3394408"/>
          <a:chExt cx="8663122" cy="4816580"/>
        </a:xfrm>
      </xdr:grpSpPr>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6734248" y="3394408"/>
          <a:ext cx="8663122" cy="4816580"/>
        </xdr:xfrm>
        <a:graphic>
          <a:graphicData uri="http://schemas.openxmlformats.org/drawingml/2006/chart">
            <c:chart xmlns:c="http://schemas.openxmlformats.org/drawingml/2006/chart" xmlns:r="http://schemas.openxmlformats.org/officeDocument/2006/relationships" r:id="rId1"/>
          </a:graphicData>
        </a:graphic>
      </xdr:graphicFrame>
      <xdr:pic>
        <xdr:nvPicPr>
          <xdr:cNvPr id="3" name="Picture 2" descr="curtipotp">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4352476" y="3470177"/>
            <a:ext cx="994742" cy="263210"/>
          </a:xfrm>
          <a:prstGeom prst="rect">
            <a:avLst/>
          </a:prstGeom>
          <a:noFill/>
          <a:ln w="9525">
            <a:noFill/>
            <a:miter lim="800000"/>
            <a:headEnd/>
            <a:tailEnd/>
          </a:ln>
        </xdr:spPr>
      </xdr:pic>
    </xdr:grpSp>
    <xdr:clientData/>
  </xdr:twoCellAnchor>
  <xdr:twoCellAnchor>
    <xdr:from>
      <xdr:col>0</xdr:col>
      <xdr:colOff>0</xdr:colOff>
      <xdr:row>0</xdr:row>
      <xdr:rowOff>0</xdr:rowOff>
    </xdr:from>
    <xdr:to>
      <xdr:col>1</xdr:col>
      <xdr:colOff>168088</xdr:colOff>
      <xdr:row>0</xdr:row>
      <xdr:rowOff>285750</xdr:rowOff>
    </xdr:to>
    <xdr:pic>
      <xdr:nvPicPr>
        <xdr:cNvPr id="56" name="Picture 11" descr="curtipotp">
          <a:extLst>
            <a:ext uri="{FF2B5EF4-FFF2-40B4-BE49-F238E27FC236}">
              <a16:creationId xmlns:a16="http://schemas.microsoft.com/office/drawing/2014/main" id="{00000000-0008-0000-0200-00003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0"/>
          <a:ext cx="1154206" cy="28575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1</xdr:col>
          <xdr:colOff>247650</xdr:colOff>
          <xdr:row>18</xdr:row>
          <xdr:rowOff>85725</xdr:rowOff>
        </xdr:from>
        <xdr:to>
          <xdr:col>2</xdr:col>
          <xdr:colOff>257175</xdr:colOff>
          <xdr:row>18</xdr:row>
          <xdr:rowOff>314325</xdr:rowOff>
        </xdr:to>
        <xdr:sp macro="" textlink="">
          <xdr:nvSpPr>
            <xdr:cNvPr id="5529699" name="Button 99" hidden="1">
              <a:extLst>
                <a:ext uri="{63B3BB69-23CF-44E3-9099-C40C66FF867C}">
                  <a14:compatExt spid="_x0000_s5529699"/>
                </a:ext>
                <a:ext uri="{FF2B5EF4-FFF2-40B4-BE49-F238E27FC236}">
                  <a16:creationId xmlns:a16="http://schemas.microsoft.com/office/drawing/2014/main" id="{00000000-0008-0000-0200-000063605400}"/>
                </a:ext>
              </a:extLst>
            </xdr:cNvPr>
            <xdr:cNvSpPr/>
          </xdr:nvSpPr>
          <xdr:spPr bwMode="auto">
            <a:xfrm>
              <a:off x="0" y="0"/>
              <a:ext cx="0" cy="0"/>
            </a:xfrm>
            <a:prstGeom prst="rect">
              <a:avLst/>
            </a:prstGeom>
            <a:noFill/>
            <a:ln w="9525">
              <a:miter lim="800000"/>
              <a:headEnd/>
              <a:tailEnd/>
            </a:ln>
          </xdr:spPr>
          <xdr:txBody>
            <a:bodyPr vertOverflow="clip" wrap="square" lIns="90000" tIns="46800" rIns="90000" bIns="46800" anchor="ctr" upright="1"/>
            <a:lstStyle/>
            <a:p>
              <a:pPr algn="ctr" rtl="0">
                <a:defRPr sz="1000"/>
              </a:pPr>
              <a:r>
                <a:rPr lang="nl-NL" sz="1000" b="1" i="0" u="none" strike="noStrike" baseline="0">
                  <a:solidFill>
                    <a:srgbClr val="09007E"/>
                  </a:solidFill>
                  <a:latin typeface="Arial"/>
                  <a:cs typeface="Arial"/>
                </a:rPr>
                <a:t>Generate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28575</xdr:colOff>
          <xdr:row>0</xdr:row>
          <xdr:rowOff>57150</xdr:rowOff>
        </xdr:from>
        <xdr:to>
          <xdr:col>9</xdr:col>
          <xdr:colOff>1019175</xdr:colOff>
          <xdr:row>2</xdr:row>
          <xdr:rowOff>85725</xdr:rowOff>
        </xdr:to>
        <xdr:sp macro="" textlink="">
          <xdr:nvSpPr>
            <xdr:cNvPr id="5529607" name="Button 7" hidden="1">
              <a:extLst>
                <a:ext uri="{63B3BB69-23CF-44E3-9099-C40C66FF867C}">
                  <a14:compatExt spid="_x0000_s5529607"/>
                </a:ext>
                <a:ext uri="{FF2B5EF4-FFF2-40B4-BE49-F238E27FC236}">
                  <a16:creationId xmlns:a16="http://schemas.microsoft.com/office/drawing/2014/main" id="{00000000-0008-0000-0200-0000076054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nl-NL" sz="1000" b="1" i="0" u="none" strike="noStrike" baseline="0">
                  <a:solidFill>
                    <a:srgbClr val="09007E"/>
                  </a:solidFill>
                  <a:latin typeface="Arial"/>
                  <a:cs typeface="Arial"/>
                </a:rPr>
                <a:t>Load pKa</a:t>
              </a:r>
              <a:r>
                <a:rPr lang="nl-NL" sz="1000" b="0" i="0" u="none" strike="noStrike" baseline="0">
                  <a:solidFill>
                    <a:srgbClr val="09007E"/>
                  </a:solidFill>
                  <a:latin typeface="Arial"/>
                  <a:cs typeface="Arial"/>
                </a:rPr>
                <a:t>s </a:t>
              </a:r>
            </a:p>
            <a:p>
              <a:pPr algn="ctr" rtl="0">
                <a:defRPr sz="1000"/>
              </a:pPr>
              <a:r>
                <a:rPr lang="nl-NL" sz="1000" b="0" i="0" u="none" strike="noStrike" baseline="0">
                  <a:solidFill>
                    <a:srgbClr val="09007E"/>
                  </a:solidFill>
                  <a:latin typeface="Arial"/>
                  <a:cs typeface="Arial"/>
                </a:rPr>
                <a:t>of these H</a:t>
              </a:r>
              <a:r>
                <a:rPr lang="nl-NL" sz="1200" b="0" i="0" u="none" strike="noStrike" baseline="-25000">
                  <a:solidFill>
                    <a:srgbClr val="09007E"/>
                  </a:solidFill>
                  <a:latin typeface="Arial"/>
                  <a:cs typeface="Arial"/>
                </a:rPr>
                <a:t>i</a:t>
              </a:r>
              <a:r>
                <a:rPr lang="nl-NL" sz="1000" b="0" i="0" u="none" strike="noStrike" baseline="0">
                  <a:solidFill>
                    <a:srgbClr val="09007E"/>
                  </a:solidFill>
                  <a:latin typeface="Arial"/>
                  <a:cs typeface="Arial"/>
                </a:rPr>
                <a:t>B --&gt;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xdr:row>
          <xdr:rowOff>0</xdr:rowOff>
        </xdr:from>
        <xdr:to>
          <xdr:col>11</xdr:col>
          <xdr:colOff>523875</xdr:colOff>
          <xdr:row>2</xdr:row>
          <xdr:rowOff>0</xdr:rowOff>
        </xdr:to>
        <xdr:sp macro="" textlink="">
          <xdr:nvSpPr>
            <xdr:cNvPr id="5529608" name="Drop Down 8" hidden="1">
              <a:extLst>
                <a:ext uri="{63B3BB69-23CF-44E3-9099-C40C66FF867C}">
                  <a14:compatExt spid="_x0000_s5529608"/>
                </a:ext>
                <a:ext uri="{FF2B5EF4-FFF2-40B4-BE49-F238E27FC236}">
                  <a16:creationId xmlns:a16="http://schemas.microsoft.com/office/drawing/2014/main" id="{00000000-0008-0000-0200-000008605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xdr:row>
          <xdr:rowOff>0</xdr:rowOff>
        </xdr:from>
        <xdr:to>
          <xdr:col>12</xdr:col>
          <xdr:colOff>571500</xdr:colOff>
          <xdr:row>2</xdr:row>
          <xdr:rowOff>0</xdr:rowOff>
        </xdr:to>
        <xdr:sp macro="" textlink="">
          <xdr:nvSpPr>
            <xdr:cNvPr id="5529609" name="Drop Down 9" hidden="1">
              <a:extLst>
                <a:ext uri="{63B3BB69-23CF-44E3-9099-C40C66FF867C}">
                  <a14:compatExt spid="_x0000_s5529609"/>
                </a:ext>
                <a:ext uri="{FF2B5EF4-FFF2-40B4-BE49-F238E27FC236}">
                  <a16:creationId xmlns:a16="http://schemas.microsoft.com/office/drawing/2014/main" id="{00000000-0008-0000-0200-000009605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1</xdr:row>
          <xdr:rowOff>0</xdr:rowOff>
        </xdr:from>
        <xdr:to>
          <xdr:col>13</xdr:col>
          <xdr:colOff>561975</xdr:colOff>
          <xdr:row>2</xdr:row>
          <xdr:rowOff>0</xdr:rowOff>
        </xdr:to>
        <xdr:sp macro="" textlink="">
          <xdr:nvSpPr>
            <xdr:cNvPr id="5529610" name="Drop Down 10" hidden="1">
              <a:extLst>
                <a:ext uri="{63B3BB69-23CF-44E3-9099-C40C66FF867C}">
                  <a14:compatExt spid="_x0000_s5529610"/>
                </a:ext>
                <a:ext uri="{FF2B5EF4-FFF2-40B4-BE49-F238E27FC236}">
                  <a16:creationId xmlns:a16="http://schemas.microsoft.com/office/drawing/2014/main" id="{00000000-0008-0000-0200-00000A605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xdr:row>
          <xdr:rowOff>0</xdr:rowOff>
        </xdr:from>
        <xdr:to>
          <xdr:col>14</xdr:col>
          <xdr:colOff>571500</xdr:colOff>
          <xdr:row>2</xdr:row>
          <xdr:rowOff>0</xdr:rowOff>
        </xdr:to>
        <xdr:sp macro="" textlink="">
          <xdr:nvSpPr>
            <xdr:cNvPr id="5529611" name="Drop Down 11" hidden="1">
              <a:extLst>
                <a:ext uri="{63B3BB69-23CF-44E3-9099-C40C66FF867C}">
                  <a14:compatExt spid="_x0000_s5529611"/>
                </a:ext>
                <a:ext uri="{FF2B5EF4-FFF2-40B4-BE49-F238E27FC236}">
                  <a16:creationId xmlns:a16="http://schemas.microsoft.com/office/drawing/2014/main" id="{00000000-0008-0000-0200-00000B605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xdr:row>
          <xdr:rowOff>0</xdr:rowOff>
        </xdr:from>
        <xdr:to>
          <xdr:col>15</xdr:col>
          <xdr:colOff>600075</xdr:colOff>
          <xdr:row>2</xdr:row>
          <xdr:rowOff>0</xdr:rowOff>
        </xdr:to>
        <xdr:sp macro="" textlink="">
          <xdr:nvSpPr>
            <xdr:cNvPr id="5529612" name="Drop Down 12" hidden="1">
              <a:extLst>
                <a:ext uri="{63B3BB69-23CF-44E3-9099-C40C66FF867C}">
                  <a14:compatExt spid="_x0000_s5529612"/>
                </a:ext>
                <a:ext uri="{FF2B5EF4-FFF2-40B4-BE49-F238E27FC236}">
                  <a16:creationId xmlns:a16="http://schemas.microsoft.com/office/drawing/2014/main" id="{00000000-0008-0000-0200-00000C605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1</xdr:row>
          <xdr:rowOff>0</xdr:rowOff>
        </xdr:from>
        <xdr:to>
          <xdr:col>16</xdr:col>
          <xdr:colOff>628650</xdr:colOff>
          <xdr:row>2</xdr:row>
          <xdr:rowOff>0</xdr:rowOff>
        </xdr:to>
        <xdr:sp macro="" textlink="">
          <xdr:nvSpPr>
            <xdr:cNvPr id="5529613" name="Drop Down 13" hidden="1">
              <a:extLst>
                <a:ext uri="{63B3BB69-23CF-44E3-9099-C40C66FF867C}">
                  <a14:compatExt spid="_x0000_s5529613"/>
                </a:ext>
                <a:ext uri="{FF2B5EF4-FFF2-40B4-BE49-F238E27FC236}">
                  <a16:creationId xmlns:a16="http://schemas.microsoft.com/office/drawing/2014/main" id="{00000000-0008-0000-0200-00000D605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1</xdr:row>
          <xdr:rowOff>0</xdr:rowOff>
        </xdr:from>
        <xdr:to>
          <xdr:col>17</xdr:col>
          <xdr:colOff>247650</xdr:colOff>
          <xdr:row>2</xdr:row>
          <xdr:rowOff>0</xdr:rowOff>
        </xdr:to>
        <xdr:sp macro="" textlink="">
          <xdr:nvSpPr>
            <xdr:cNvPr id="5529614" name="Drop Down 14" hidden="1">
              <a:extLst>
                <a:ext uri="{63B3BB69-23CF-44E3-9099-C40C66FF867C}">
                  <a14:compatExt spid="_x0000_s5529614"/>
                </a:ext>
                <a:ext uri="{FF2B5EF4-FFF2-40B4-BE49-F238E27FC236}">
                  <a16:creationId xmlns:a16="http://schemas.microsoft.com/office/drawing/2014/main" id="{00000000-0008-0000-0200-00000E605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85725</xdr:colOff>
          <xdr:row>21</xdr:row>
          <xdr:rowOff>66675</xdr:rowOff>
        </xdr:from>
        <xdr:to>
          <xdr:col>0</xdr:col>
          <xdr:colOff>400050</xdr:colOff>
          <xdr:row>25</xdr:row>
          <xdr:rowOff>104775</xdr:rowOff>
        </xdr:to>
        <xdr:sp macro="" textlink="">
          <xdr:nvSpPr>
            <xdr:cNvPr id="5529675" name="Button 75" hidden="1">
              <a:extLst>
                <a:ext uri="{63B3BB69-23CF-44E3-9099-C40C66FF867C}">
                  <a14:compatExt spid="_x0000_s5529675"/>
                </a:ext>
                <a:ext uri="{FF2B5EF4-FFF2-40B4-BE49-F238E27FC236}">
                  <a16:creationId xmlns:a16="http://schemas.microsoft.com/office/drawing/2014/main" id="{00000000-0008-0000-0200-00004B605400}"/>
                </a:ext>
              </a:extLst>
            </xdr:cNvPr>
            <xdr:cNvSpPr/>
          </xdr:nvSpPr>
          <xdr:spPr bwMode="auto">
            <a:xfrm>
              <a:off x="0" y="0"/>
              <a:ext cx="0" cy="0"/>
            </a:xfrm>
            <a:prstGeom prst="rect">
              <a:avLst/>
            </a:prstGeom>
            <a:noFill/>
            <a:ln w="9525">
              <a:miter lim="800000"/>
              <a:headEnd/>
              <a:tailEnd/>
            </a:ln>
          </xdr:spPr>
          <xdr:txBody>
            <a:bodyPr vertOverflow="clip" vert="vert270" wrap="square" lIns="90000" tIns="46800" rIns="90000" bIns="46800" anchor="ctr" upright="1"/>
            <a:lstStyle/>
            <a:p>
              <a:pPr algn="ctr" rtl="0">
                <a:defRPr sz="1000"/>
              </a:pPr>
              <a:r>
                <a:rPr lang="nl-NL" sz="1100" b="1" i="0" u="none" strike="noStrike" baseline="0">
                  <a:solidFill>
                    <a:srgbClr val="09007E"/>
                  </a:solidFill>
                  <a:latin typeface="Arial"/>
                  <a:cs typeface="Arial"/>
                </a:rPr>
                <a:t>Reset</a:t>
              </a:r>
              <a:r>
                <a:rPr lang="nl-NL" sz="900" b="1" i="0" u="none" strike="noStrike" baseline="0">
                  <a:solidFill>
                    <a:srgbClr val="09007E"/>
                  </a:solidFill>
                  <a:latin typeface="Arial"/>
                  <a:cs typeface="Arial"/>
                </a:rPr>
                <a:t> </a:t>
              </a:r>
              <a:r>
                <a:rPr lang="nl-NL" sz="900" b="0" i="0" u="none" strike="noStrike" baseline="0">
                  <a:solidFill>
                    <a:srgbClr val="09007E"/>
                  </a:solidFill>
                  <a:latin typeface="Arial"/>
                  <a:cs typeface="Arial"/>
                </a:rPr>
                <a:t>(Vol=0)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581025</xdr:colOff>
          <xdr:row>24</xdr:row>
          <xdr:rowOff>123825</xdr:rowOff>
        </xdr:from>
        <xdr:to>
          <xdr:col>2</xdr:col>
          <xdr:colOff>304800</xdr:colOff>
          <xdr:row>25</xdr:row>
          <xdr:rowOff>142875</xdr:rowOff>
        </xdr:to>
        <xdr:sp macro="" textlink="">
          <xdr:nvSpPr>
            <xdr:cNvPr id="5529676" name="Button 76" hidden="1">
              <a:extLst>
                <a:ext uri="{63B3BB69-23CF-44E3-9099-C40C66FF867C}">
                  <a14:compatExt spid="_x0000_s5529676"/>
                </a:ext>
                <a:ext uri="{FF2B5EF4-FFF2-40B4-BE49-F238E27FC236}">
                  <a16:creationId xmlns:a16="http://schemas.microsoft.com/office/drawing/2014/main" id="{00000000-0008-0000-0200-00004C605400}"/>
                </a:ext>
              </a:extLst>
            </xdr:cNvPr>
            <xdr:cNvSpPr/>
          </xdr:nvSpPr>
          <xdr:spPr bwMode="auto">
            <a:xfrm>
              <a:off x="0" y="0"/>
              <a:ext cx="0" cy="0"/>
            </a:xfrm>
            <a:prstGeom prst="rect">
              <a:avLst/>
            </a:prstGeom>
            <a:noFill/>
            <a:ln w="9525">
              <a:miter lim="800000"/>
              <a:headEnd/>
              <a:tailEnd/>
            </a:ln>
          </xdr:spPr>
          <xdr:txBody>
            <a:bodyPr vertOverflow="clip" wrap="square" lIns="90000" tIns="46800" rIns="90000" bIns="46800" anchor="ctr" upright="1"/>
            <a:lstStyle/>
            <a:p>
              <a:pPr algn="ctr" rtl="0">
                <a:defRPr sz="1000"/>
              </a:pPr>
              <a:r>
                <a:rPr lang="nl-NL" sz="1000" b="1" i="0" u="none" strike="noStrike" baseline="0">
                  <a:solidFill>
                    <a:srgbClr val="09007E"/>
                  </a:solidFill>
                  <a:latin typeface="Arial"/>
                  <a:cs typeface="Arial"/>
                </a:rPr>
                <a:t>0.01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38100</xdr:colOff>
          <xdr:row>24</xdr:row>
          <xdr:rowOff>123825</xdr:rowOff>
        </xdr:from>
        <xdr:to>
          <xdr:col>1</xdr:col>
          <xdr:colOff>542925</xdr:colOff>
          <xdr:row>25</xdr:row>
          <xdr:rowOff>142875</xdr:rowOff>
        </xdr:to>
        <xdr:sp macro="" textlink="">
          <xdr:nvSpPr>
            <xdr:cNvPr id="5529677" name="Button 77" hidden="1">
              <a:extLst>
                <a:ext uri="{63B3BB69-23CF-44E3-9099-C40C66FF867C}">
                  <a14:compatExt spid="_x0000_s5529677"/>
                </a:ext>
                <a:ext uri="{FF2B5EF4-FFF2-40B4-BE49-F238E27FC236}">
                  <a16:creationId xmlns:a16="http://schemas.microsoft.com/office/drawing/2014/main" id="{00000000-0008-0000-0200-00004D605400}"/>
                </a:ext>
              </a:extLst>
            </xdr:cNvPr>
            <xdr:cNvSpPr/>
          </xdr:nvSpPr>
          <xdr:spPr bwMode="auto">
            <a:xfrm>
              <a:off x="0" y="0"/>
              <a:ext cx="0" cy="0"/>
            </a:xfrm>
            <a:prstGeom prst="rect">
              <a:avLst/>
            </a:prstGeom>
            <a:noFill/>
            <a:ln w="9525">
              <a:miter lim="800000"/>
              <a:headEnd/>
              <a:tailEnd/>
            </a:ln>
          </xdr:spPr>
          <xdr:txBody>
            <a:bodyPr vertOverflow="clip" wrap="square" lIns="90000" tIns="46800" rIns="90000" bIns="46800" anchor="ctr" upright="1"/>
            <a:lstStyle/>
            <a:p>
              <a:pPr algn="ctr" rtl="0">
                <a:defRPr sz="1000"/>
              </a:pPr>
              <a:r>
                <a:rPr lang="nl-NL" sz="1000" b="1" i="0" u="none" strike="noStrike" baseline="0">
                  <a:solidFill>
                    <a:srgbClr val="09007E"/>
                  </a:solidFill>
                  <a:latin typeface="Arial"/>
                  <a:cs typeface="Arial"/>
                </a:rPr>
                <a:t>0.02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457200</xdr:colOff>
          <xdr:row>24</xdr:row>
          <xdr:rowOff>123825</xdr:rowOff>
        </xdr:from>
        <xdr:to>
          <xdr:col>0</xdr:col>
          <xdr:colOff>962025</xdr:colOff>
          <xdr:row>25</xdr:row>
          <xdr:rowOff>142875</xdr:rowOff>
        </xdr:to>
        <xdr:sp macro="" textlink="">
          <xdr:nvSpPr>
            <xdr:cNvPr id="5529678" name="Button 78" hidden="1">
              <a:extLst>
                <a:ext uri="{63B3BB69-23CF-44E3-9099-C40C66FF867C}">
                  <a14:compatExt spid="_x0000_s5529678"/>
                </a:ext>
                <a:ext uri="{FF2B5EF4-FFF2-40B4-BE49-F238E27FC236}">
                  <a16:creationId xmlns:a16="http://schemas.microsoft.com/office/drawing/2014/main" id="{00000000-0008-0000-0200-00004E605400}"/>
                </a:ext>
              </a:extLst>
            </xdr:cNvPr>
            <xdr:cNvSpPr/>
          </xdr:nvSpPr>
          <xdr:spPr bwMode="auto">
            <a:xfrm>
              <a:off x="0" y="0"/>
              <a:ext cx="0" cy="0"/>
            </a:xfrm>
            <a:prstGeom prst="rect">
              <a:avLst/>
            </a:prstGeom>
            <a:noFill/>
            <a:ln w="9525">
              <a:miter lim="800000"/>
              <a:headEnd/>
              <a:tailEnd/>
            </a:ln>
          </xdr:spPr>
          <xdr:txBody>
            <a:bodyPr vertOverflow="clip" wrap="square" lIns="90000" tIns="46800" rIns="90000" bIns="46800" anchor="ctr" upright="1"/>
            <a:lstStyle/>
            <a:p>
              <a:pPr algn="ctr" rtl="0">
                <a:defRPr sz="1000"/>
              </a:pPr>
              <a:r>
                <a:rPr lang="nl-NL" sz="1000" b="1" i="0" u="none" strike="noStrike" baseline="0">
                  <a:solidFill>
                    <a:srgbClr val="09007E"/>
                  </a:solidFill>
                  <a:latin typeface="Arial"/>
                  <a:cs typeface="Arial"/>
                </a:rPr>
                <a:t>0.05</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581025</xdr:colOff>
          <xdr:row>23</xdr:row>
          <xdr:rowOff>57150</xdr:rowOff>
        </xdr:from>
        <xdr:to>
          <xdr:col>2</xdr:col>
          <xdr:colOff>304800</xdr:colOff>
          <xdr:row>24</xdr:row>
          <xdr:rowOff>76200</xdr:rowOff>
        </xdr:to>
        <xdr:sp macro="" textlink="">
          <xdr:nvSpPr>
            <xdr:cNvPr id="5529679" name="Button 79" hidden="1">
              <a:extLst>
                <a:ext uri="{63B3BB69-23CF-44E3-9099-C40C66FF867C}">
                  <a14:compatExt spid="_x0000_s5529679"/>
                </a:ext>
                <a:ext uri="{FF2B5EF4-FFF2-40B4-BE49-F238E27FC236}">
                  <a16:creationId xmlns:a16="http://schemas.microsoft.com/office/drawing/2014/main" id="{00000000-0008-0000-0200-00004F605400}"/>
                </a:ext>
              </a:extLst>
            </xdr:cNvPr>
            <xdr:cNvSpPr/>
          </xdr:nvSpPr>
          <xdr:spPr bwMode="auto">
            <a:xfrm>
              <a:off x="0" y="0"/>
              <a:ext cx="0" cy="0"/>
            </a:xfrm>
            <a:prstGeom prst="rect">
              <a:avLst/>
            </a:prstGeom>
            <a:noFill/>
            <a:ln w="9525">
              <a:miter lim="800000"/>
              <a:headEnd/>
              <a:tailEnd/>
            </a:ln>
          </xdr:spPr>
          <xdr:txBody>
            <a:bodyPr vertOverflow="clip" wrap="square" lIns="90000" tIns="46800" rIns="90000" bIns="46800" anchor="ctr" upright="1"/>
            <a:lstStyle/>
            <a:p>
              <a:pPr algn="ctr" rtl="0">
                <a:defRPr sz="1000"/>
              </a:pPr>
              <a:r>
                <a:rPr lang="nl-NL" sz="1000" b="1" i="0" u="none" strike="noStrike" baseline="0">
                  <a:solidFill>
                    <a:srgbClr val="09007E"/>
                  </a:solidFill>
                  <a:latin typeface="Arial"/>
                  <a:cs typeface="Arial"/>
                </a:rPr>
                <a:t>0.10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28575</xdr:colOff>
          <xdr:row>23</xdr:row>
          <xdr:rowOff>57150</xdr:rowOff>
        </xdr:from>
        <xdr:to>
          <xdr:col>1</xdr:col>
          <xdr:colOff>533400</xdr:colOff>
          <xdr:row>24</xdr:row>
          <xdr:rowOff>76200</xdr:rowOff>
        </xdr:to>
        <xdr:sp macro="" textlink="">
          <xdr:nvSpPr>
            <xdr:cNvPr id="5529680" name="Button 80" hidden="1">
              <a:extLst>
                <a:ext uri="{63B3BB69-23CF-44E3-9099-C40C66FF867C}">
                  <a14:compatExt spid="_x0000_s5529680"/>
                </a:ext>
                <a:ext uri="{FF2B5EF4-FFF2-40B4-BE49-F238E27FC236}">
                  <a16:creationId xmlns:a16="http://schemas.microsoft.com/office/drawing/2014/main" id="{00000000-0008-0000-0200-000050605400}"/>
                </a:ext>
              </a:extLst>
            </xdr:cNvPr>
            <xdr:cNvSpPr/>
          </xdr:nvSpPr>
          <xdr:spPr bwMode="auto">
            <a:xfrm>
              <a:off x="0" y="0"/>
              <a:ext cx="0" cy="0"/>
            </a:xfrm>
            <a:prstGeom prst="rect">
              <a:avLst/>
            </a:prstGeom>
            <a:noFill/>
            <a:ln w="9525">
              <a:miter lim="800000"/>
              <a:headEnd/>
              <a:tailEnd/>
            </a:ln>
          </xdr:spPr>
          <xdr:txBody>
            <a:bodyPr vertOverflow="clip" wrap="square" lIns="90000" tIns="46800" rIns="90000" bIns="46800" anchor="ctr" upright="1"/>
            <a:lstStyle/>
            <a:p>
              <a:pPr algn="ctr" rtl="0">
                <a:defRPr sz="1000"/>
              </a:pPr>
              <a:r>
                <a:rPr lang="nl-NL" sz="1000" b="1" i="0" u="none" strike="noStrike" baseline="0">
                  <a:solidFill>
                    <a:srgbClr val="09007E"/>
                  </a:solidFill>
                  <a:latin typeface="Arial"/>
                  <a:cs typeface="Arial"/>
                </a:rPr>
                <a:t>0.20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457200</xdr:colOff>
          <xdr:row>23</xdr:row>
          <xdr:rowOff>57150</xdr:rowOff>
        </xdr:from>
        <xdr:to>
          <xdr:col>0</xdr:col>
          <xdr:colOff>962025</xdr:colOff>
          <xdr:row>24</xdr:row>
          <xdr:rowOff>76200</xdr:rowOff>
        </xdr:to>
        <xdr:sp macro="" textlink="">
          <xdr:nvSpPr>
            <xdr:cNvPr id="5529681" name="Button 81" hidden="1">
              <a:extLst>
                <a:ext uri="{63B3BB69-23CF-44E3-9099-C40C66FF867C}">
                  <a14:compatExt spid="_x0000_s5529681"/>
                </a:ext>
                <a:ext uri="{FF2B5EF4-FFF2-40B4-BE49-F238E27FC236}">
                  <a16:creationId xmlns:a16="http://schemas.microsoft.com/office/drawing/2014/main" id="{00000000-0008-0000-0200-000051605400}"/>
                </a:ext>
              </a:extLst>
            </xdr:cNvPr>
            <xdr:cNvSpPr/>
          </xdr:nvSpPr>
          <xdr:spPr bwMode="auto">
            <a:xfrm>
              <a:off x="0" y="0"/>
              <a:ext cx="0" cy="0"/>
            </a:xfrm>
            <a:prstGeom prst="rect">
              <a:avLst/>
            </a:prstGeom>
            <a:noFill/>
            <a:ln w="9525">
              <a:miter lim="800000"/>
              <a:headEnd/>
              <a:tailEnd/>
            </a:ln>
          </xdr:spPr>
          <xdr:txBody>
            <a:bodyPr vertOverflow="clip" wrap="square" lIns="90000" tIns="46800" rIns="90000" bIns="46800" anchor="ctr" upright="1"/>
            <a:lstStyle/>
            <a:p>
              <a:pPr algn="ctr" rtl="0">
                <a:defRPr sz="1000"/>
              </a:pPr>
              <a:r>
                <a:rPr lang="nl-NL" sz="1000" b="1" i="0" u="none" strike="noStrike" baseline="0">
                  <a:solidFill>
                    <a:srgbClr val="09007E"/>
                  </a:solidFill>
                  <a:latin typeface="Arial"/>
                  <a:cs typeface="Arial"/>
                </a:rPr>
                <a:t>0.50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581025</xdr:colOff>
          <xdr:row>21</xdr:row>
          <xdr:rowOff>209550</xdr:rowOff>
        </xdr:from>
        <xdr:to>
          <xdr:col>2</xdr:col>
          <xdr:colOff>304800</xdr:colOff>
          <xdr:row>23</xdr:row>
          <xdr:rowOff>0</xdr:rowOff>
        </xdr:to>
        <xdr:sp macro="" textlink="">
          <xdr:nvSpPr>
            <xdr:cNvPr id="5529682" name="Button 82" hidden="1">
              <a:extLst>
                <a:ext uri="{63B3BB69-23CF-44E3-9099-C40C66FF867C}">
                  <a14:compatExt spid="_x0000_s5529682"/>
                </a:ext>
                <a:ext uri="{FF2B5EF4-FFF2-40B4-BE49-F238E27FC236}">
                  <a16:creationId xmlns:a16="http://schemas.microsoft.com/office/drawing/2014/main" id="{00000000-0008-0000-0200-000052605400}"/>
                </a:ext>
              </a:extLst>
            </xdr:cNvPr>
            <xdr:cNvSpPr/>
          </xdr:nvSpPr>
          <xdr:spPr bwMode="auto">
            <a:xfrm>
              <a:off x="0" y="0"/>
              <a:ext cx="0" cy="0"/>
            </a:xfrm>
            <a:prstGeom prst="rect">
              <a:avLst/>
            </a:prstGeom>
            <a:noFill/>
            <a:ln w="9525">
              <a:miter lim="800000"/>
              <a:headEnd/>
              <a:tailEnd/>
            </a:ln>
          </xdr:spPr>
          <xdr:txBody>
            <a:bodyPr vertOverflow="clip" wrap="square" lIns="90000" tIns="46800" rIns="90000" bIns="46800" anchor="ctr" upright="1"/>
            <a:lstStyle/>
            <a:p>
              <a:pPr algn="ctr" rtl="0">
                <a:defRPr sz="1000"/>
              </a:pPr>
              <a:r>
                <a:rPr lang="nl-NL" sz="1000" b="1" i="0" u="none" strike="noStrike" baseline="0">
                  <a:solidFill>
                    <a:srgbClr val="09007E"/>
                  </a:solidFill>
                  <a:latin typeface="Arial"/>
                  <a:cs typeface="Arial"/>
                </a:rPr>
                <a:t>1.00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28575</xdr:colOff>
          <xdr:row>21</xdr:row>
          <xdr:rowOff>209550</xdr:rowOff>
        </xdr:from>
        <xdr:to>
          <xdr:col>1</xdr:col>
          <xdr:colOff>533400</xdr:colOff>
          <xdr:row>23</xdr:row>
          <xdr:rowOff>0</xdr:rowOff>
        </xdr:to>
        <xdr:sp macro="" textlink="">
          <xdr:nvSpPr>
            <xdr:cNvPr id="5529683" name="Button 83" hidden="1">
              <a:extLst>
                <a:ext uri="{63B3BB69-23CF-44E3-9099-C40C66FF867C}">
                  <a14:compatExt spid="_x0000_s5529683"/>
                </a:ext>
                <a:ext uri="{FF2B5EF4-FFF2-40B4-BE49-F238E27FC236}">
                  <a16:creationId xmlns:a16="http://schemas.microsoft.com/office/drawing/2014/main" id="{00000000-0008-0000-0200-000053605400}"/>
                </a:ext>
              </a:extLst>
            </xdr:cNvPr>
            <xdr:cNvSpPr/>
          </xdr:nvSpPr>
          <xdr:spPr bwMode="auto">
            <a:xfrm>
              <a:off x="0" y="0"/>
              <a:ext cx="0" cy="0"/>
            </a:xfrm>
            <a:prstGeom prst="rect">
              <a:avLst/>
            </a:prstGeom>
            <a:noFill/>
            <a:ln w="9525">
              <a:miter lim="800000"/>
              <a:headEnd/>
              <a:tailEnd/>
            </a:ln>
          </xdr:spPr>
          <xdr:txBody>
            <a:bodyPr vertOverflow="clip" wrap="square" lIns="90000" tIns="46800" rIns="90000" bIns="46800" anchor="ctr" upright="1"/>
            <a:lstStyle/>
            <a:p>
              <a:pPr algn="ctr" rtl="0">
                <a:defRPr sz="1000"/>
              </a:pPr>
              <a:r>
                <a:rPr lang="nl-NL" sz="1000" b="1" i="0" u="none" strike="noStrike" baseline="0">
                  <a:solidFill>
                    <a:srgbClr val="09007E"/>
                  </a:solidFill>
                  <a:latin typeface="Arial"/>
                  <a:cs typeface="Arial"/>
                </a:rPr>
                <a:t>2.00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457200</xdr:colOff>
          <xdr:row>21</xdr:row>
          <xdr:rowOff>209550</xdr:rowOff>
        </xdr:from>
        <xdr:to>
          <xdr:col>0</xdr:col>
          <xdr:colOff>962025</xdr:colOff>
          <xdr:row>23</xdr:row>
          <xdr:rowOff>0</xdr:rowOff>
        </xdr:to>
        <xdr:sp macro="" textlink="">
          <xdr:nvSpPr>
            <xdr:cNvPr id="5529684" name="Button 84" hidden="1">
              <a:extLst>
                <a:ext uri="{63B3BB69-23CF-44E3-9099-C40C66FF867C}">
                  <a14:compatExt spid="_x0000_s5529684"/>
                </a:ext>
                <a:ext uri="{FF2B5EF4-FFF2-40B4-BE49-F238E27FC236}">
                  <a16:creationId xmlns:a16="http://schemas.microsoft.com/office/drawing/2014/main" id="{00000000-0008-0000-0200-000054605400}"/>
                </a:ext>
              </a:extLst>
            </xdr:cNvPr>
            <xdr:cNvSpPr/>
          </xdr:nvSpPr>
          <xdr:spPr bwMode="auto">
            <a:xfrm>
              <a:off x="0" y="0"/>
              <a:ext cx="0" cy="0"/>
            </a:xfrm>
            <a:prstGeom prst="rect">
              <a:avLst/>
            </a:prstGeom>
            <a:noFill/>
            <a:ln w="9525">
              <a:miter lim="800000"/>
              <a:headEnd/>
              <a:tailEnd/>
            </a:ln>
          </xdr:spPr>
          <xdr:txBody>
            <a:bodyPr vertOverflow="clip" wrap="square" lIns="90000" tIns="46800" rIns="90000" bIns="46800" anchor="ctr" upright="1"/>
            <a:lstStyle/>
            <a:p>
              <a:pPr algn="ctr" rtl="0">
                <a:defRPr sz="1000"/>
              </a:pPr>
              <a:r>
                <a:rPr lang="nl-NL" sz="1000" b="1" i="0" u="none" strike="noStrike" baseline="0">
                  <a:solidFill>
                    <a:srgbClr val="09007E"/>
                  </a:solidFill>
                  <a:latin typeface="Arial"/>
                  <a:cs typeface="Arial"/>
                </a:rPr>
                <a:t>5.00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381000</xdr:colOff>
          <xdr:row>21</xdr:row>
          <xdr:rowOff>180975</xdr:rowOff>
        </xdr:from>
        <xdr:to>
          <xdr:col>2</xdr:col>
          <xdr:colOff>685800</xdr:colOff>
          <xdr:row>25</xdr:row>
          <xdr:rowOff>114300</xdr:rowOff>
        </xdr:to>
        <xdr:sp macro="" textlink="">
          <xdr:nvSpPr>
            <xdr:cNvPr id="5529685" name="Button 85" hidden="1">
              <a:extLst>
                <a:ext uri="{63B3BB69-23CF-44E3-9099-C40C66FF867C}">
                  <a14:compatExt spid="_x0000_s5529685"/>
                </a:ext>
                <a:ext uri="{FF2B5EF4-FFF2-40B4-BE49-F238E27FC236}">
                  <a16:creationId xmlns:a16="http://schemas.microsoft.com/office/drawing/2014/main" id="{00000000-0008-0000-0200-000055605400}"/>
                </a:ext>
              </a:extLst>
            </xdr:cNvPr>
            <xdr:cNvSpPr/>
          </xdr:nvSpPr>
          <xdr:spPr bwMode="auto">
            <a:xfrm>
              <a:off x="0" y="0"/>
              <a:ext cx="0" cy="0"/>
            </a:xfrm>
            <a:prstGeom prst="rect">
              <a:avLst/>
            </a:prstGeom>
            <a:noFill/>
            <a:ln w="9525">
              <a:miter lim="800000"/>
              <a:headEnd/>
              <a:tailEnd/>
            </a:ln>
          </xdr:spPr>
          <xdr:txBody>
            <a:bodyPr vertOverflow="clip" vert="vert270" wrap="square" lIns="90000" tIns="46800" rIns="90000" bIns="46800" anchor="ctr" upright="1"/>
            <a:lstStyle/>
            <a:p>
              <a:pPr algn="ctr" rtl="0">
                <a:defRPr sz="1000"/>
              </a:pPr>
              <a:r>
                <a:rPr lang="nl-NL" sz="1000" b="1" i="0" u="none" strike="noStrike" baseline="0">
                  <a:solidFill>
                    <a:srgbClr val="09007E"/>
                  </a:solidFill>
                  <a:latin typeface="Arial"/>
                  <a:cs typeface="Arial"/>
                </a:rPr>
                <a:t>Step back</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447675</xdr:colOff>
          <xdr:row>24</xdr:row>
          <xdr:rowOff>9525</xdr:rowOff>
        </xdr:from>
        <xdr:to>
          <xdr:col>6</xdr:col>
          <xdr:colOff>19050</xdr:colOff>
          <xdr:row>24</xdr:row>
          <xdr:rowOff>171450</xdr:rowOff>
        </xdr:to>
        <xdr:sp macro="" textlink="">
          <xdr:nvSpPr>
            <xdr:cNvPr id="5529686" name="Check Box 86" hidden="1">
              <a:extLst>
                <a:ext uri="{63B3BB69-23CF-44E3-9099-C40C66FF867C}">
                  <a14:compatExt spid="_x0000_s5529686"/>
                </a:ext>
                <a:ext uri="{FF2B5EF4-FFF2-40B4-BE49-F238E27FC236}">
                  <a16:creationId xmlns:a16="http://schemas.microsoft.com/office/drawing/2014/main" id="{00000000-0008-0000-0200-000056605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447675</xdr:colOff>
          <xdr:row>25</xdr:row>
          <xdr:rowOff>0</xdr:rowOff>
        </xdr:from>
        <xdr:to>
          <xdr:col>5</xdr:col>
          <xdr:colOff>752475</xdr:colOff>
          <xdr:row>25</xdr:row>
          <xdr:rowOff>161925</xdr:rowOff>
        </xdr:to>
        <xdr:sp macro="" textlink="">
          <xdr:nvSpPr>
            <xdr:cNvPr id="5529687" name="Check Box 87" hidden="1">
              <a:extLst>
                <a:ext uri="{63B3BB69-23CF-44E3-9099-C40C66FF867C}">
                  <a14:compatExt spid="_x0000_s5529687"/>
                </a:ext>
                <a:ext uri="{FF2B5EF4-FFF2-40B4-BE49-F238E27FC236}">
                  <a16:creationId xmlns:a16="http://schemas.microsoft.com/office/drawing/2014/main" id="{00000000-0008-0000-0200-000057605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371475</xdr:colOff>
          <xdr:row>18</xdr:row>
          <xdr:rowOff>85725</xdr:rowOff>
        </xdr:from>
        <xdr:to>
          <xdr:col>3</xdr:col>
          <xdr:colOff>257175</xdr:colOff>
          <xdr:row>18</xdr:row>
          <xdr:rowOff>314325</xdr:rowOff>
        </xdr:to>
        <xdr:sp macro="" textlink="">
          <xdr:nvSpPr>
            <xdr:cNvPr id="5529701" name="Button 101" hidden="1">
              <a:extLst>
                <a:ext uri="{63B3BB69-23CF-44E3-9099-C40C66FF867C}">
                  <a14:compatExt spid="_x0000_s5529701"/>
                </a:ext>
                <a:ext uri="{FF2B5EF4-FFF2-40B4-BE49-F238E27FC236}">
                  <a16:creationId xmlns:a16="http://schemas.microsoft.com/office/drawing/2014/main" id="{00000000-0008-0000-0200-000065605400}"/>
                </a:ext>
              </a:extLst>
            </xdr:cNvPr>
            <xdr:cNvSpPr/>
          </xdr:nvSpPr>
          <xdr:spPr bwMode="auto">
            <a:xfrm>
              <a:off x="0" y="0"/>
              <a:ext cx="0" cy="0"/>
            </a:xfrm>
            <a:prstGeom prst="rect">
              <a:avLst/>
            </a:prstGeom>
            <a:noFill/>
            <a:ln w="9525">
              <a:miter lim="800000"/>
              <a:headEnd/>
              <a:tailEnd/>
            </a:ln>
          </xdr:spPr>
          <xdr:txBody>
            <a:bodyPr vertOverflow="clip" wrap="square" lIns="90000" tIns="46800" rIns="90000" bIns="46800" anchor="ctr" upright="1"/>
            <a:lstStyle/>
            <a:p>
              <a:pPr algn="ctr" rtl="0">
                <a:defRPr sz="1000"/>
              </a:pPr>
              <a:r>
                <a:rPr lang="nl-NL" sz="1000" b="1" i="0" u="none" strike="noStrike" baseline="0">
                  <a:solidFill>
                    <a:srgbClr val="09007E"/>
                  </a:solidFill>
                  <a:latin typeface="Arial"/>
                  <a:cs typeface="Arial"/>
                </a:rPr>
                <a:t>Show</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2</xdr:col>
      <xdr:colOff>145676</xdr:colOff>
      <xdr:row>20</xdr:row>
      <xdr:rowOff>67235</xdr:rowOff>
    </xdr:from>
    <xdr:to>
      <xdr:col>11</xdr:col>
      <xdr:colOff>1042146</xdr:colOff>
      <xdr:row>37</xdr:row>
      <xdr:rowOff>112058</xdr:rowOff>
    </xdr:to>
    <xdr:grpSp>
      <xdr:nvGrpSpPr>
        <xdr:cNvPr id="5" name="Grupo 4">
          <a:extLst>
            <a:ext uri="{FF2B5EF4-FFF2-40B4-BE49-F238E27FC236}">
              <a16:creationId xmlns:a16="http://schemas.microsoft.com/office/drawing/2014/main" id="{00000000-0008-0000-0300-000005000000}"/>
            </a:ext>
          </a:extLst>
        </xdr:cNvPr>
        <xdr:cNvGrpSpPr/>
      </xdr:nvGrpSpPr>
      <xdr:grpSpPr>
        <a:xfrm>
          <a:off x="1826558" y="4247029"/>
          <a:ext cx="8796617" cy="4235823"/>
          <a:chOff x="1826558" y="4247029"/>
          <a:chExt cx="8796617" cy="4235823"/>
        </a:xfrm>
      </xdr:grpSpPr>
      <xdr:graphicFrame macro="">
        <xdr:nvGraphicFramePr>
          <xdr:cNvPr id="148397" name="Chart 1">
            <a:extLst>
              <a:ext uri="{FF2B5EF4-FFF2-40B4-BE49-F238E27FC236}">
                <a16:creationId xmlns:a16="http://schemas.microsoft.com/office/drawing/2014/main" id="{00000000-0008-0000-0300-0000AD430200}"/>
              </a:ext>
            </a:extLst>
          </xdr:cNvPr>
          <xdr:cNvGraphicFramePr>
            <a:graphicFrameLocks/>
          </xdr:cNvGraphicFramePr>
        </xdr:nvGraphicFramePr>
        <xdr:xfrm>
          <a:off x="1826558" y="4247029"/>
          <a:ext cx="8796617" cy="4235823"/>
        </xdr:xfrm>
        <a:graphic>
          <a:graphicData uri="http://schemas.openxmlformats.org/drawingml/2006/chart">
            <c:chart xmlns:c="http://schemas.openxmlformats.org/drawingml/2006/chart" xmlns:r="http://schemas.openxmlformats.org/officeDocument/2006/relationships" r:id="rId1"/>
          </a:graphicData>
        </a:graphic>
      </xdr:graphicFrame>
      <xdr:pic>
        <xdr:nvPicPr>
          <xdr:cNvPr id="148398" name="Picture 2" descr="curtipotp">
            <a:extLst>
              <a:ext uri="{FF2B5EF4-FFF2-40B4-BE49-F238E27FC236}">
                <a16:creationId xmlns:a16="http://schemas.microsoft.com/office/drawing/2014/main" id="{00000000-0008-0000-0300-0000AE4302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9438714" y="4336677"/>
            <a:ext cx="996203" cy="235323"/>
          </a:xfrm>
          <a:prstGeom prst="rect">
            <a:avLst/>
          </a:prstGeom>
          <a:noFill/>
          <a:ln w="9525">
            <a:noFill/>
            <a:miter lim="800000"/>
            <a:headEnd/>
            <a:tailEnd/>
          </a:ln>
        </xdr:spPr>
      </xdr:pic>
    </xdr:grpSp>
    <xdr:clientData/>
  </xdr:twoCellAnchor>
  <xdr:twoCellAnchor>
    <xdr:from>
      <xdr:col>0</xdr:col>
      <xdr:colOff>1</xdr:colOff>
      <xdr:row>0</xdr:row>
      <xdr:rowOff>0</xdr:rowOff>
    </xdr:from>
    <xdr:to>
      <xdr:col>1</xdr:col>
      <xdr:colOff>257736</xdr:colOff>
      <xdr:row>0</xdr:row>
      <xdr:rowOff>285750</xdr:rowOff>
    </xdr:to>
    <xdr:pic>
      <xdr:nvPicPr>
        <xdr:cNvPr id="148399" name="Picture 11" descr="curtipotp">
          <a:extLst>
            <a:ext uri="{FF2B5EF4-FFF2-40B4-BE49-F238E27FC236}">
              <a16:creationId xmlns:a16="http://schemas.microsoft.com/office/drawing/2014/main" id="{00000000-0008-0000-0300-0000AF4302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 y="0"/>
          <a:ext cx="1154206" cy="28575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0</xdr:col>
          <xdr:colOff>114300</xdr:colOff>
          <xdr:row>23</xdr:row>
          <xdr:rowOff>142875</xdr:rowOff>
        </xdr:from>
        <xdr:to>
          <xdr:col>2</xdr:col>
          <xdr:colOff>19050</xdr:colOff>
          <xdr:row>26</xdr:row>
          <xdr:rowOff>76200</xdr:rowOff>
        </xdr:to>
        <xdr:sp macro="" textlink="">
          <xdr:nvSpPr>
            <xdr:cNvPr id="147461" name="Button 5" hidden="1">
              <a:extLst>
                <a:ext uri="{63B3BB69-23CF-44E3-9099-C40C66FF867C}">
                  <a14:compatExt spid="_x0000_s147461"/>
                </a:ext>
                <a:ext uri="{FF2B5EF4-FFF2-40B4-BE49-F238E27FC236}">
                  <a16:creationId xmlns:a16="http://schemas.microsoft.com/office/drawing/2014/main" id="{00000000-0008-0000-0300-000005400200}"/>
                </a:ext>
              </a:extLst>
            </xdr:cNvPr>
            <xdr:cNvSpPr/>
          </xdr:nvSpPr>
          <xdr:spPr bwMode="auto">
            <a:xfrm>
              <a:off x="0" y="0"/>
              <a:ext cx="0" cy="0"/>
            </a:xfrm>
            <a:prstGeom prst="rect">
              <a:avLst/>
            </a:prstGeom>
            <a:noFill/>
            <a:ln w="9525">
              <a:miter lim="800000"/>
              <a:headEnd/>
              <a:tailEnd/>
            </a:ln>
          </xdr:spPr>
          <xdr:txBody>
            <a:bodyPr vertOverflow="clip" wrap="square" lIns="90000" tIns="46800" rIns="108000" bIns="46800" anchor="ctr" upright="1"/>
            <a:lstStyle/>
            <a:p>
              <a:pPr algn="ctr" rtl="0">
                <a:defRPr sz="1000"/>
              </a:pPr>
              <a:r>
                <a:rPr lang="nl-NL" sz="1000" b="1" i="0" u="none" strike="noStrike" baseline="0">
                  <a:solidFill>
                    <a:srgbClr val="09007E"/>
                  </a:solidFill>
                  <a:latin typeface="Arial"/>
                  <a:cs typeface="Arial"/>
                </a:rPr>
                <a:t>Titrate </a:t>
              </a:r>
              <a:r>
                <a:rPr lang="nl-NL" sz="1000" b="0" i="0" u="none" strike="noStrike" baseline="0">
                  <a:solidFill>
                    <a:srgbClr val="09007E"/>
                  </a:solidFill>
                  <a:latin typeface="Arial"/>
                  <a:cs typeface="Arial"/>
                </a:rPr>
                <a:t>with constant</a:t>
              </a:r>
            </a:p>
            <a:p>
              <a:pPr algn="ctr" rtl="0">
                <a:defRPr sz="1000"/>
              </a:pPr>
              <a:r>
                <a:rPr lang="nl-NL" sz="1000" b="1" i="0" u="none" strike="noStrike" baseline="0">
                  <a:solidFill>
                    <a:srgbClr val="09007E"/>
                  </a:solidFill>
                  <a:latin typeface="Arial"/>
                  <a:cs typeface="Arial"/>
                </a:rPr>
                <a:t>pH</a:t>
              </a:r>
              <a:r>
                <a:rPr lang="nl-NL" sz="1000" b="0" i="0" u="none" strike="noStrike" baseline="0">
                  <a:solidFill>
                    <a:srgbClr val="09007E"/>
                  </a:solidFill>
                  <a:latin typeface="Arial"/>
                  <a:cs typeface="Arial"/>
                </a:rPr>
                <a:t> increments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95250</xdr:colOff>
          <xdr:row>26</xdr:row>
          <xdr:rowOff>142875</xdr:rowOff>
        </xdr:from>
        <xdr:to>
          <xdr:col>2</xdr:col>
          <xdr:colOff>19050</xdr:colOff>
          <xdr:row>29</xdr:row>
          <xdr:rowOff>85725</xdr:rowOff>
        </xdr:to>
        <xdr:sp macro="" textlink="">
          <xdr:nvSpPr>
            <xdr:cNvPr id="147460" name="Button 4" hidden="1">
              <a:extLst>
                <a:ext uri="{63B3BB69-23CF-44E3-9099-C40C66FF867C}">
                  <a14:compatExt spid="_x0000_s147460"/>
                </a:ext>
                <a:ext uri="{FF2B5EF4-FFF2-40B4-BE49-F238E27FC236}">
                  <a16:creationId xmlns:a16="http://schemas.microsoft.com/office/drawing/2014/main" id="{00000000-0008-0000-0300-000004400200}"/>
                </a:ext>
              </a:extLst>
            </xdr:cNvPr>
            <xdr:cNvSpPr/>
          </xdr:nvSpPr>
          <xdr:spPr bwMode="auto">
            <a:xfrm>
              <a:off x="0" y="0"/>
              <a:ext cx="0" cy="0"/>
            </a:xfrm>
            <a:prstGeom prst="rect">
              <a:avLst/>
            </a:prstGeom>
            <a:noFill/>
            <a:ln w="9525">
              <a:miter lim="800000"/>
              <a:headEnd/>
              <a:tailEnd/>
            </a:ln>
          </xdr:spPr>
          <xdr:txBody>
            <a:bodyPr vertOverflow="clip" wrap="square" lIns="90000" tIns="46800" rIns="90000" bIns="46800" anchor="ctr" upright="1"/>
            <a:lstStyle/>
            <a:p>
              <a:pPr algn="ctr" rtl="0">
                <a:defRPr sz="1000"/>
              </a:pPr>
              <a:r>
                <a:rPr lang="nl-NL" sz="1000" b="1" i="0" u="none" strike="noStrike" baseline="0">
                  <a:solidFill>
                    <a:srgbClr val="09007E"/>
                  </a:solidFill>
                  <a:latin typeface="Arial"/>
                  <a:cs typeface="Arial"/>
                </a:rPr>
                <a:t>Titrate </a:t>
              </a:r>
              <a:r>
                <a:rPr lang="nl-NL" sz="1000" b="0" i="0" u="none" strike="noStrike" baseline="0">
                  <a:solidFill>
                    <a:srgbClr val="09007E"/>
                  </a:solidFill>
                  <a:latin typeface="Arial"/>
                  <a:cs typeface="Arial"/>
                </a:rPr>
                <a:t>with constant </a:t>
              </a:r>
            </a:p>
            <a:p>
              <a:pPr algn="ctr" rtl="0">
                <a:defRPr sz="1000"/>
              </a:pPr>
              <a:r>
                <a:rPr lang="nl-NL" sz="1000" b="1" i="0" u="none" strike="noStrike" baseline="0">
                  <a:solidFill>
                    <a:srgbClr val="09007E"/>
                  </a:solidFill>
                  <a:latin typeface="Arial"/>
                  <a:cs typeface="Arial"/>
                </a:rPr>
                <a:t>Volume</a:t>
              </a:r>
              <a:r>
                <a:rPr lang="nl-NL" sz="1000" b="0" i="0" u="none" strike="noStrike" baseline="0">
                  <a:solidFill>
                    <a:srgbClr val="09007E"/>
                  </a:solidFill>
                  <a:latin typeface="Arial"/>
                  <a:cs typeface="Arial"/>
                </a:rPr>
                <a:t> additions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95250</xdr:colOff>
          <xdr:row>29</xdr:row>
          <xdr:rowOff>161925</xdr:rowOff>
        </xdr:from>
        <xdr:to>
          <xdr:col>2</xdr:col>
          <xdr:colOff>19050</xdr:colOff>
          <xdr:row>30</xdr:row>
          <xdr:rowOff>228600</xdr:rowOff>
        </xdr:to>
        <xdr:sp macro="" textlink="">
          <xdr:nvSpPr>
            <xdr:cNvPr id="147462" name="Button 6" hidden="1">
              <a:extLst>
                <a:ext uri="{63B3BB69-23CF-44E3-9099-C40C66FF867C}">
                  <a14:compatExt spid="_x0000_s147462"/>
                </a:ext>
                <a:ext uri="{FF2B5EF4-FFF2-40B4-BE49-F238E27FC236}">
                  <a16:creationId xmlns:a16="http://schemas.microsoft.com/office/drawing/2014/main" id="{00000000-0008-0000-0300-0000064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nl-NL" sz="1000" b="1" i="0" u="none" strike="noStrike" baseline="0">
                  <a:solidFill>
                    <a:srgbClr val="09007E"/>
                  </a:solidFill>
                  <a:latin typeface="Arial"/>
                  <a:cs typeface="Arial"/>
                </a:rPr>
                <a:t>Retain </a:t>
              </a:r>
              <a:r>
                <a:rPr lang="nl-NL" sz="1000" b="0" i="0" u="none" strike="noStrike" baseline="0">
                  <a:solidFill>
                    <a:srgbClr val="09007E"/>
                  </a:solidFill>
                  <a:latin typeface="Arial"/>
                  <a:cs typeface="Arial"/>
                </a:rPr>
                <a:t>curve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95250</xdr:colOff>
          <xdr:row>31</xdr:row>
          <xdr:rowOff>66675</xdr:rowOff>
        </xdr:from>
        <xdr:to>
          <xdr:col>2</xdr:col>
          <xdr:colOff>9525</xdr:colOff>
          <xdr:row>32</xdr:row>
          <xdr:rowOff>142875</xdr:rowOff>
        </xdr:to>
        <xdr:sp macro="" textlink="">
          <xdr:nvSpPr>
            <xdr:cNvPr id="147463" name="Button 7" hidden="1">
              <a:extLst>
                <a:ext uri="{63B3BB69-23CF-44E3-9099-C40C66FF867C}">
                  <a14:compatExt spid="_x0000_s147463"/>
                </a:ext>
                <a:ext uri="{FF2B5EF4-FFF2-40B4-BE49-F238E27FC236}">
                  <a16:creationId xmlns:a16="http://schemas.microsoft.com/office/drawing/2014/main" id="{00000000-0008-0000-0300-0000074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nl-NL" sz="1000" b="1" i="0" u="none" strike="noStrike" baseline="0">
                  <a:solidFill>
                    <a:srgbClr val="09007E"/>
                  </a:solidFill>
                  <a:latin typeface="Arial"/>
                  <a:cs typeface="Arial"/>
                </a:rPr>
                <a:t>Delete</a:t>
              </a:r>
              <a:r>
                <a:rPr lang="nl-NL" sz="1000" b="0" i="0" u="none" strike="noStrike" baseline="0">
                  <a:solidFill>
                    <a:srgbClr val="09007E"/>
                  </a:solidFill>
                  <a:latin typeface="Arial"/>
                  <a:cs typeface="Arial"/>
                </a:rPr>
                <a:t> retained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18</xdr:row>
          <xdr:rowOff>19050</xdr:rowOff>
        </xdr:from>
        <xdr:to>
          <xdr:col>13</xdr:col>
          <xdr:colOff>257175</xdr:colOff>
          <xdr:row>19</xdr:row>
          <xdr:rowOff>200025</xdr:rowOff>
        </xdr:to>
        <xdr:sp macro="" textlink="">
          <xdr:nvSpPr>
            <xdr:cNvPr id="147465" name="Spinner 9" hidden="1">
              <a:extLst>
                <a:ext uri="{63B3BB69-23CF-44E3-9099-C40C66FF867C}">
                  <a14:compatExt spid="_x0000_s147465"/>
                </a:ext>
                <a:ext uri="{FF2B5EF4-FFF2-40B4-BE49-F238E27FC236}">
                  <a16:creationId xmlns:a16="http://schemas.microsoft.com/office/drawing/2014/main" id="{00000000-0008-0000-0300-0000094002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47625</xdr:colOff>
          <xdr:row>0</xdr:row>
          <xdr:rowOff>57150</xdr:rowOff>
        </xdr:from>
        <xdr:to>
          <xdr:col>9</xdr:col>
          <xdr:colOff>1019175</xdr:colOff>
          <xdr:row>2</xdr:row>
          <xdr:rowOff>85725</xdr:rowOff>
        </xdr:to>
        <xdr:sp macro="" textlink="">
          <xdr:nvSpPr>
            <xdr:cNvPr id="148336" name="Button 880" hidden="1">
              <a:extLst>
                <a:ext uri="{63B3BB69-23CF-44E3-9099-C40C66FF867C}">
                  <a14:compatExt spid="_x0000_s148336"/>
                </a:ext>
                <a:ext uri="{FF2B5EF4-FFF2-40B4-BE49-F238E27FC236}">
                  <a16:creationId xmlns:a16="http://schemas.microsoft.com/office/drawing/2014/main" id="{00000000-0008-0000-0300-00007043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nl-NL" sz="1000" b="1" i="0" u="none" strike="noStrike" baseline="0">
                  <a:solidFill>
                    <a:srgbClr val="09007E"/>
                  </a:solidFill>
                  <a:latin typeface="Arial"/>
                  <a:cs typeface="Arial"/>
                </a:rPr>
                <a:t>Load pKa</a:t>
              </a:r>
              <a:r>
                <a:rPr lang="nl-NL" sz="1000" b="0" i="0" u="none" strike="noStrike" baseline="0">
                  <a:solidFill>
                    <a:srgbClr val="09007E"/>
                  </a:solidFill>
                  <a:latin typeface="Arial"/>
                  <a:cs typeface="Arial"/>
                </a:rPr>
                <a:t>s </a:t>
              </a:r>
            </a:p>
            <a:p>
              <a:pPr algn="ctr" rtl="0">
                <a:defRPr sz="1000"/>
              </a:pPr>
              <a:r>
                <a:rPr lang="nl-NL" sz="1000" b="0" i="0" u="none" strike="noStrike" baseline="0">
                  <a:solidFill>
                    <a:srgbClr val="09007E"/>
                  </a:solidFill>
                  <a:latin typeface="Arial"/>
                  <a:cs typeface="Arial"/>
                </a:rPr>
                <a:t>of these H</a:t>
              </a:r>
              <a:r>
                <a:rPr lang="nl-NL" sz="1200" b="0" i="0" u="none" strike="noStrike" baseline="-25000">
                  <a:solidFill>
                    <a:srgbClr val="09007E"/>
                  </a:solidFill>
                  <a:latin typeface="Arial"/>
                  <a:cs typeface="Arial"/>
                </a:rPr>
                <a:t>i</a:t>
              </a:r>
              <a:r>
                <a:rPr lang="nl-NL" sz="1000" b="0" i="0" u="none" strike="noStrike" baseline="0">
                  <a:solidFill>
                    <a:srgbClr val="09007E"/>
                  </a:solidFill>
                  <a:latin typeface="Arial"/>
                  <a:cs typeface="Arial"/>
                </a:rPr>
                <a:t>B --&gt;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xdr:row>
          <xdr:rowOff>0</xdr:rowOff>
        </xdr:from>
        <xdr:to>
          <xdr:col>11</xdr:col>
          <xdr:colOff>533400</xdr:colOff>
          <xdr:row>2</xdr:row>
          <xdr:rowOff>0</xdr:rowOff>
        </xdr:to>
        <xdr:sp macro="" textlink="">
          <xdr:nvSpPr>
            <xdr:cNvPr id="148346" name="Drop Down 890" hidden="1">
              <a:extLst>
                <a:ext uri="{63B3BB69-23CF-44E3-9099-C40C66FF867C}">
                  <a14:compatExt spid="_x0000_s148346"/>
                </a:ext>
                <a:ext uri="{FF2B5EF4-FFF2-40B4-BE49-F238E27FC236}">
                  <a16:creationId xmlns:a16="http://schemas.microsoft.com/office/drawing/2014/main" id="{00000000-0008-0000-0300-00007A43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xdr:row>
          <xdr:rowOff>0</xdr:rowOff>
        </xdr:from>
        <xdr:to>
          <xdr:col>12</xdr:col>
          <xdr:colOff>523875</xdr:colOff>
          <xdr:row>2</xdr:row>
          <xdr:rowOff>0</xdr:rowOff>
        </xdr:to>
        <xdr:sp macro="" textlink="">
          <xdr:nvSpPr>
            <xdr:cNvPr id="148347" name="Drop Down 891" hidden="1">
              <a:extLst>
                <a:ext uri="{63B3BB69-23CF-44E3-9099-C40C66FF867C}">
                  <a14:compatExt spid="_x0000_s148347"/>
                </a:ext>
                <a:ext uri="{FF2B5EF4-FFF2-40B4-BE49-F238E27FC236}">
                  <a16:creationId xmlns:a16="http://schemas.microsoft.com/office/drawing/2014/main" id="{00000000-0008-0000-0300-00007B43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xdr:row>
          <xdr:rowOff>0</xdr:rowOff>
        </xdr:from>
        <xdr:to>
          <xdr:col>13</xdr:col>
          <xdr:colOff>552450</xdr:colOff>
          <xdr:row>2</xdr:row>
          <xdr:rowOff>0</xdr:rowOff>
        </xdr:to>
        <xdr:sp macro="" textlink="">
          <xdr:nvSpPr>
            <xdr:cNvPr id="148348" name="Drop Down 892" hidden="1">
              <a:extLst>
                <a:ext uri="{63B3BB69-23CF-44E3-9099-C40C66FF867C}">
                  <a14:compatExt spid="_x0000_s148348"/>
                </a:ext>
                <a:ext uri="{FF2B5EF4-FFF2-40B4-BE49-F238E27FC236}">
                  <a16:creationId xmlns:a16="http://schemas.microsoft.com/office/drawing/2014/main" id="{00000000-0008-0000-0300-00007C43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xdr:row>
          <xdr:rowOff>0</xdr:rowOff>
        </xdr:from>
        <xdr:to>
          <xdr:col>14</xdr:col>
          <xdr:colOff>457200</xdr:colOff>
          <xdr:row>2</xdr:row>
          <xdr:rowOff>0</xdr:rowOff>
        </xdr:to>
        <xdr:sp macro="" textlink="">
          <xdr:nvSpPr>
            <xdr:cNvPr id="148349" name="Drop Down 893" hidden="1">
              <a:extLst>
                <a:ext uri="{63B3BB69-23CF-44E3-9099-C40C66FF867C}">
                  <a14:compatExt spid="_x0000_s148349"/>
                </a:ext>
                <a:ext uri="{FF2B5EF4-FFF2-40B4-BE49-F238E27FC236}">
                  <a16:creationId xmlns:a16="http://schemas.microsoft.com/office/drawing/2014/main" id="{00000000-0008-0000-0300-00007D43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xdr:row>
          <xdr:rowOff>0</xdr:rowOff>
        </xdr:from>
        <xdr:to>
          <xdr:col>15</xdr:col>
          <xdr:colOff>542925</xdr:colOff>
          <xdr:row>2</xdr:row>
          <xdr:rowOff>0</xdr:rowOff>
        </xdr:to>
        <xdr:sp macro="" textlink="">
          <xdr:nvSpPr>
            <xdr:cNvPr id="148350" name="Drop Down 894" hidden="1">
              <a:extLst>
                <a:ext uri="{63B3BB69-23CF-44E3-9099-C40C66FF867C}">
                  <a14:compatExt spid="_x0000_s148350"/>
                </a:ext>
                <a:ext uri="{FF2B5EF4-FFF2-40B4-BE49-F238E27FC236}">
                  <a16:creationId xmlns:a16="http://schemas.microsoft.com/office/drawing/2014/main" id="{00000000-0008-0000-0300-00007E43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xdr:row>
          <xdr:rowOff>0</xdr:rowOff>
        </xdr:from>
        <xdr:to>
          <xdr:col>16</xdr:col>
          <xdr:colOff>457200</xdr:colOff>
          <xdr:row>2</xdr:row>
          <xdr:rowOff>0</xdr:rowOff>
        </xdr:to>
        <xdr:sp macro="" textlink="">
          <xdr:nvSpPr>
            <xdr:cNvPr id="148351" name="Drop Down 895" hidden="1">
              <a:extLst>
                <a:ext uri="{63B3BB69-23CF-44E3-9099-C40C66FF867C}">
                  <a14:compatExt spid="_x0000_s148351"/>
                </a:ext>
                <a:ext uri="{FF2B5EF4-FFF2-40B4-BE49-F238E27FC236}">
                  <a16:creationId xmlns:a16="http://schemas.microsoft.com/office/drawing/2014/main" id="{00000000-0008-0000-0300-00007F43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xdr:row>
          <xdr:rowOff>0</xdr:rowOff>
        </xdr:from>
        <xdr:to>
          <xdr:col>17</xdr:col>
          <xdr:colOff>228600</xdr:colOff>
          <xdr:row>2</xdr:row>
          <xdr:rowOff>0</xdr:rowOff>
        </xdr:to>
        <xdr:sp macro="" textlink="">
          <xdr:nvSpPr>
            <xdr:cNvPr id="148352" name="Drop Down 896" hidden="1">
              <a:extLst>
                <a:ext uri="{63B3BB69-23CF-44E3-9099-C40C66FF867C}">
                  <a14:compatExt spid="_x0000_s148352"/>
                </a:ext>
                <a:ext uri="{FF2B5EF4-FFF2-40B4-BE49-F238E27FC236}">
                  <a16:creationId xmlns:a16="http://schemas.microsoft.com/office/drawing/2014/main" id="{00000000-0008-0000-0300-00008043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20</xdr:row>
          <xdr:rowOff>171450</xdr:rowOff>
        </xdr:from>
        <xdr:to>
          <xdr:col>2</xdr:col>
          <xdr:colOff>38100</xdr:colOff>
          <xdr:row>23</xdr:row>
          <xdr:rowOff>66675</xdr:rowOff>
        </xdr:to>
        <xdr:sp macro="" textlink="">
          <xdr:nvSpPr>
            <xdr:cNvPr id="148391" name="Group Box 935" hidden="1">
              <a:extLst>
                <a:ext uri="{63B3BB69-23CF-44E3-9099-C40C66FF867C}">
                  <a14:compatExt spid="_x0000_s148391"/>
                </a:ext>
                <a:ext uri="{FF2B5EF4-FFF2-40B4-BE49-F238E27FC236}">
                  <a16:creationId xmlns:a16="http://schemas.microsoft.com/office/drawing/2014/main" id="{00000000-0008-0000-0300-0000A743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nl-NL" sz="800" b="0" i="0" u="none" strike="noStrike" baseline="0">
                  <a:solidFill>
                    <a:srgbClr val="000000"/>
                  </a:solidFill>
                  <a:latin typeface="Tahoma"/>
                  <a:ea typeface="Tahoma"/>
                  <a:cs typeface="Tahoma"/>
                </a:rPr>
                <a:t>Concentrations or activities?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21</xdr:row>
          <xdr:rowOff>38100</xdr:rowOff>
        </xdr:from>
        <xdr:to>
          <xdr:col>1</xdr:col>
          <xdr:colOff>609600</xdr:colOff>
          <xdr:row>22</xdr:row>
          <xdr:rowOff>9525</xdr:rowOff>
        </xdr:to>
        <xdr:sp macro="" textlink="">
          <xdr:nvSpPr>
            <xdr:cNvPr id="148392" name="Option Button 936" hidden="1">
              <a:extLst>
                <a:ext uri="{63B3BB69-23CF-44E3-9099-C40C66FF867C}">
                  <a14:compatExt spid="_x0000_s148392"/>
                </a:ext>
                <a:ext uri="{FF2B5EF4-FFF2-40B4-BE49-F238E27FC236}">
                  <a16:creationId xmlns:a16="http://schemas.microsoft.com/office/drawing/2014/main" id="{00000000-0008-0000-0300-0000A843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 Concentr.,  plot "pH"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22</xdr:row>
          <xdr:rowOff>47625</xdr:rowOff>
        </xdr:from>
        <xdr:to>
          <xdr:col>1</xdr:col>
          <xdr:colOff>581025</xdr:colOff>
          <xdr:row>23</xdr:row>
          <xdr:rowOff>0</xdr:rowOff>
        </xdr:to>
        <xdr:sp macro="" textlink="">
          <xdr:nvSpPr>
            <xdr:cNvPr id="148393" name="Option Button 937" hidden="1">
              <a:extLst>
                <a:ext uri="{63B3BB69-23CF-44E3-9099-C40C66FF867C}">
                  <a14:compatExt spid="_x0000_s148393"/>
                </a:ext>
                <a:ext uri="{FF2B5EF4-FFF2-40B4-BE49-F238E27FC236}">
                  <a16:creationId xmlns:a16="http://schemas.microsoft.com/office/drawing/2014/main" id="{00000000-0008-0000-0300-0000A943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 Activities,  plot   pH</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0</xdr:col>
      <xdr:colOff>0</xdr:colOff>
      <xdr:row>12</xdr:row>
      <xdr:rowOff>76200</xdr:rowOff>
    </xdr:from>
    <xdr:to>
      <xdr:col>7</xdr:col>
      <xdr:colOff>381000</xdr:colOff>
      <xdr:row>35</xdr:row>
      <xdr:rowOff>85725</xdr:rowOff>
    </xdr:to>
    <xdr:graphicFrame macro="">
      <xdr:nvGraphicFramePr>
        <xdr:cNvPr id="5521139" name="Chart 1">
          <a:extLst>
            <a:ext uri="{FF2B5EF4-FFF2-40B4-BE49-F238E27FC236}">
              <a16:creationId xmlns:a16="http://schemas.microsoft.com/office/drawing/2014/main" id="{00000000-0008-0000-0400-0000F33E5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105</xdr:row>
      <xdr:rowOff>123825</xdr:rowOff>
    </xdr:from>
    <xdr:to>
      <xdr:col>7</xdr:col>
      <xdr:colOff>400050</xdr:colOff>
      <xdr:row>129</xdr:row>
      <xdr:rowOff>142875</xdr:rowOff>
    </xdr:to>
    <xdr:graphicFrame macro="">
      <xdr:nvGraphicFramePr>
        <xdr:cNvPr id="5521140" name="Chart 2">
          <a:extLst>
            <a:ext uri="{FF2B5EF4-FFF2-40B4-BE49-F238E27FC236}">
              <a16:creationId xmlns:a16="http://schemas.microsoft.com/office/drawing/2014/main" id="{00000000-0008-0000-0400-0000F43E5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495300</xdr:colOff>
      <xdr:row>12</xdr:row>
      <xdr:rowOff>76200</xdr:rowOff>
    </xdr:from>
    <xdr:to>
      <xdr:col>13</xdr:col>
      <xdr:colOff>361950</xdr:colOff>
      <xdr:row>35</xdr:row>
      <xdr:rowOff>95250</xdr:rowOff>
    </xdr:to>
    <xdr:graphicFrame macro="">
      <xdr:nvGraphicFramePr>
        <xdr:cNvPr id="5521141" name="Chart 30">
          <a:extLst>
            <a:ext uri="{FF2B5EF4-FFF2-40B4-BE49-F238E27FC236}">
              <a16:creationId xmlns:a16="http://schemas.microsoft.com/office/drawing/2014/main" id="{00000000-0008-0000-0400-0000F53E5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523875</xdr:colOff>
      <xdr:row>105</xdr:row>
      <xdr:rowOff>133350</xdr:rowOff>
    </xdr:from>
    <xdr:to>
      <xdr:col>13</xdr:col>
      <xdr:colOff>438150</xdr:colOff>
      <xdr:row>129</xdr:row>
      <xdr:rowOff>152400</xdr:rowOff>
    </xdr:to>
    <xdr:graphicFrame macro="">
      <xdr:nvGraphicFramePr>
        <xdr:cNvPr id="5521142" name="Chart 31">
          <a:extLst>
            <a:ext uri="{FF2B5EF4-FFF2-40B4-BE49-F238E27FC236}">
              <a16:creationId xmlns:a16="http://schemas.microsoft.com/office/drawing/2014/main" id="{00000000-0008-0000-0400-0000F63E5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59</xdr:row>
      <xdr:rowOff>85725</xdr:rowOff>
    </xdr:from>
    <xdr:to>
      <xdr:col>7</xdr:col>
      <xdr:colOff>400050</xdr:colOff>
      <xdr:row>81</xdr:row>
      <xdr:rowOff>133350</xdr:rowOff>
    </xdr:to>
    <xdr:graphicFrame macro="">
      <xdr:nvGraphicFramePr>
        <xdr:cNvPr id="5521143" name="Chart 34">
          <a:extLst>
            <a:ext uri="{FF2B5EF4-FFF2-40B4-BE49-F238E27FC236}">
              <a16:creationId xmlns:a16="http://schemas.microsoft.com/office/drawing/2014/main" id="{00000000-0008-0000-0400-0000F73E5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504825</xdr:colOff>
      <xdr:row>59</xdr:row>
      <xdr:rowOff>85725</xdr:rowOff>
    </xdr:from>
    <xdr:to>
      <xdr:col>13</xdr:col>
      <xdr:colOff>400050</xdr:colOff>
      <xdr:row>81</xdr:row>
      <xdr:rowOff>133350</xdr:rowOff>
    </xdr:to>
    <xdr:graphicFrame macro="">
      <xdr:nvGraphicFramePr>
        <xdr:cNvPr id="5521144" name="Chart 34">
          <a:extLst>
            <a:ext uri="{FF2B5EF4-FFF2-40B4-BE49-F238E27FC236}">
              <a16:creationId xmlns:a16="http://schemas.microsoft.com/office/drawing/2014/main" id="{00000000-0008-0000-0400-0000F83E5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36</xdr:row>
      <xdr:rowOff>57150</xdr:rowOff>
    </xdr:from>
    <xdr:to>
      <xdr:col>7</xdr:col>
      <xdr:colOff>400050</xdr:colOff>
      <xdr:row>58</xdr:row>
      <xdr:rowOff>133350</xdr:rowOff>
    </xdr:to>
    <xdr:graphicFrame macro="">
      <xdr:nvGraphicFramePr>
        <xdr:cNvPr id="5521153" name="Chart 2">
          <a:extLst>
            <a:ext uri="{FF2B5EF4-FFF2-40B4-BE49-F238E27FC236}">
              <a16:creationId xmlns:a16="http://schemas.microsoft.com/office/drawing/2014/main" id="{00000000-0008-0000-0400-0000013F5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495300</xdr:colOff>
      <xdr:row>36</xdr:row>
      <xdr:rowOff>57150</xdr:rowOff>
    </xdr:from>
    <xdr:to>
      <xdr:col>13</xdr:col>
      <xdr:colOff>381000</xdr:colOff>
      <xdr:row>58</xdr:row>
      <xdr:rowOff>142875</xdr:rowOff>
    </xdr:to>
    <xdr:graphicFrame macro="">
      <xdr:nvGraphicFramePr>
        <xdr:cNvPr id="5521154" name="Chart 31">
          <a:extLst>
            <a:ext uri="{FF2B5EF4-FFF2-40B4-BE49-F238E27FC236}">
              <a16:creationId xmlns:a16="http://schemas.microsoft.com/office/drawing/2014/main" id="{00000000-0008-0000-0400-0000023F5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82</xdr:row>
      <xdr:rowOff>66675</xdr:rowOff>
    </xdr:from>
    <xdr:to>
      <xdr:col>7</xdr:col>
      <xdr:colOff>400050</xdr:colOff>
      <xdr:row>105</xdr:row>
      <xdr:rowOff>38100</xdr:rowOff>
    </xdr:to>
    <xdr:graphicFrame macro="">
      <xdr:nvGraphicFramePr>
        <xdr:cNvPr id="5521155" name="Chart 2">
          <a:extLst>
            <a:ext uri="{FF2B5EF4-FFF2-40B4-BE49-F238E27FC236}">
              <a16:creationId xmlns:a16="http://schemas.microsoft.com/office/drawing/2014/main" id="{00000000-0008-0000-0400-0000033F5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514350</xdr:colOff>
      <xdr:row>82</xdr:row>
      <xdr:rowOff>66675</xdr:rowOff>
    </xdr:from>
    <xdr:to>
      <xdr:col>13</xdr:col>
      <xdr:colOff>419100</xdr:colOff>
      <xdr:row>105</xdr:row>
      <xdr:rowOff>47625</xdr:rowOff>
    </xdr:to>
    <xdr:graphicFrame macro="">
      <xdr:nvGraphicFramePr>
        <xdr:cNvPr id="5521156" name="Chart 31">
          <a:extLst>
            <a:ext uri="{FF2B5EF4-FFF2-40B4-BE49-F238E27FC236}">
              <a16:creationId xmlns:a16="http://schemas.microsoft.com/office/drawing/2014/main" id="{00000000-0008-0000-0400-0000043F5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130</xdr:row>
      <xdr:rowOff>95250</xdr:rowOff>
    </xdr:from>
    <xdr:to>
      <xdr:col>7</xdr:col>
      <xdr:colOff>409575</xdr:colOff>
      <xdr:row>154</xdr:row>
      <xdr:rowOff>104775</xdr:rowOff>
    </xdr:to>
    <xdr:graphicFrame macro="">
      <xdr:nvGraphicFramePr>
        <xdr:cNvPr id="5521157" name="Chart 2">
          <a:extLst>
            <a:ext uri="{FF2B5EF4-FFF2-40B4-BE49-F238E27FC236}">
              <a16:creationId xmlns:a16="http://schemas.microsoft.com/office/drawing/2014/main" id="{00000000-0008-0000-0400-0000053F5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523875</xdr:colOff>
      <xdr:row>130</xdr:row>
      <xdr:rowOff>104775</xdr:rowOff>
    </xdr:from>
    <xdr:to>
      <xdr:col>13</xdr:col>
      <xdr:colOff>466725</xdr:colOff>
      <xdr:row>154</xdr:row>
      <xdr:rowOff>133350</xdr:rowOff>
    </xdr:to>
    <xdr:graphicFrame macro="">
      <xdr:nvGraphicFramePr>
        <xdr:cNvPr id="5521158" name="Chart 31">
          <a:extLst>
            <a:ext uri="{FF2B5EF4-FFF2-40B4-BE49-F238E27FC236}">
              <a16:creationId xmlns:a16="http://schemas.microsoft.com/office/drawing/2014/main" id="{00000000-0008-0000-0400-0000063F5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0</xdr:row>
      <xdr:rowOff>0</xdr:rowOff>
    </xdr:from>
    <xdr:to>
      <xdr:col>1</xdr:col>
      <xdr:colOff>176371</xdr:colOff>
      <xdr:row>0</xdr:row>
      <xdr:rowOff>285750</xdr:rowOff>
    </xdr:to>
    <xdr:pic>
      <xdr:nvPicPr>
        <xdr:cNvPr id="21" name="Picture 11" descr="curtipotp">
          <a:extLst>
            <a:ext uri="{FF2B5EF4-FFF2-40B4-BE49-F238E27FC236}">
              <a16:creationId xmlns:a16="http://schemas.microsoft.com/office/drawing/2014/main" id="{00000000-0008-0000-0400-000015000000}"/>
            </a:ext>
          </a:extLst>
        </xdr:cNvPr>
        <xdr:cNvPicPr>
          <a:picLocks noChangeAspect="1" noChangeArrowheads="1"/>
        </xdr:cNvPicPr>
      </xdr:nvPicPr>
      <xdr:blipFill>
        <a:blip xmlns:r="http://schemas.openxmlformats.org/officeDocument/2006/relationships" r:embed="rId13"/>
        <a:srcRect/>
        <a:stretch>
          <a:fillRect/>
        </a:stretch>
      </xdr:blipFill>
      <xdr:spPr bwMode="auto">
        <a:xfrm>
          <a:off x="0" y="0"/>
          <a:ext cx="1145436" cy="28575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10</xdr:col>
          <xdr:colOff>38100</xdr:colOff>
          <xdr:row>11</xdr:row>
          <xdr:rowOff>9525</xdr:rowOff>
        </xdr:from>
        <xdr:to>
          <xdr:col>11</xdr:col>
          <xdr:colOff>933450</xdr:colOff>
          <xdr:row>11</xdr:row>
          <xdr:rowOff>276225</xdr:rowOff>
        </xdr:to>
        <xdr:sp macro="" textlink="">
          <xdr:nvSpPr>
            <xdr:cNvPr id="1266689" name="Drop Down 1" hidden="1">
              <a:extLst>
                <a:ext uri="{63B3BB69-23CF-44E3-9099-C40C66FF867C}">
                  <a14:compatExt spid="_x0000_s1266689"/>
                </a:ext>
                <a:ext uri="{FF2B5EF4-FFF2-40B4-BE49-F238E27FC236}">
                  <a16:creationId xmlns:a16="http://schemas.microsoft.com/office/drawing/2014/main" id="{00000000-0008-0000-0400-000001541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590550</xdr:colOff>
          <xdr:row>1</xdr:row>
          <xdr:rowOff>123825</xdr:rowOff>
        </xdr:from>
        <xdr:to>
          <xdr:col>2</xdr:col>
          <xdr:colOff>419100</xdr:colOff>
          <xdr:row>3</xdr:row>
          <xdr:rowOff>228600</xdr:rowOff>
        </xdr:to>
        <xdr:sp macro="" textlink="">
          <xdr:nvSpPr>
            <xdr:cNvPr id="1266690" name="Button 2" hidden="1">
              <a:extLst>
                <a:ext uri="{63B3BB69-23CF-44E3-9099-C40C66FF867C}">
                  <a14:compatExt spid="_x0000_s1266690"/>
                </a:ext>
                <a:ext uri="{FF2B5EF4-FFF2-40B4-BE49-F238E27FC236}">
                  <a16:creationId xmlns:a16="http://schemas.microsoft.com/office/drawing/2014/main" id="{00000000-0008-0000-0400-0000025413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endParaRPr lang="nl-NL" sz="1100" b="1" i="0" u="none" strike="noStrike" baseline="0">
                <a:solidFill>
                  <a:srgbClr val="09007E"/>
                </a:solidFill>
                <a:latin typeface="Arial"/>
                <a:cs typeface="Arial"/>
              </a:endParaRPr>
            </a:p>
            <a:p>
              <a:pPr algn="ctr" rtl="0">
                <a:defRPr sz="1000"/>
              </a:pPr>
              <a:r>
                <a:rPr lang="nl-NL" sz="1100" b="1" i="0" u="none" strike="noStrike" baseline="0">
                  <a:solidFill>
                    <a:srgbClr val="09007E"/>
                  </a:solidFill>
                  <a:latin typeface="Arial"/>
                  <a:cs typeface="Arial"/>
                </a:rPr>
                <a:t>Plot curves</a:t>
              </a:r>
              <a:endParaRPr lang="nl-NL" sz="1000" b="1" i="0" u="none" strike="noStrike" baseline="0">
                <a:solidFill>
                  <a:srgbClr val="09007E"/>
                </a:solidFill>
                <a:latin typeface="Arial"/>
                <a:cs typeface="Arial"/>
              </a:endParaRPr>
            </a:p>
            <a:p>
              <a:pPr algn="ctr" rtl="0">
                <a:defRPr sz="1000"/>
              </a:pPr>
              <a:endParaRPr lang="nl-NL" sz="1000" b="1" i="0" u="none" strike="noStrike" baseline="0">
                <a:solidFill>
                  <a:srgbClr val="09007E"/>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xdr:row>
          <xdr:rowOff>238125</xdr:rowOff>
        </xdr:from>
        <xdr:to>
          <xdr:col>5</xdr:col>
          <xdr:colOff>0</xdr:colOff>
          <xdr:row>3</xdr:row>
          <xdr:rowOff>38100</xdr:rowOff>
        </xdr:to>
        <xdr:sp macro="" textlink="">
          <xdr:nvSpPr>
            <xdr:cNvPr id="1266691" name="Drop Down 3" hidden="1">
              <a:extLst>
                <a:ext uri="{63B3BB69-23CF-44E3-9099-C40C66FF867C}">
                  <a14:compatExt spid="_x0000_s1266691"/>
                </a:ext>
                <a:ext uri="{FF2B5EF4-FFF2-40B4-BE49-F238E27FC236}">
                  <a16:creationId xmlns:a16="http://schemas.microsoft.com/office/drawing/2014/main" id="{00000000-0008-0000-0400-000003541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1038225</xdr:colOff>
          <xdr:row>11</xdr:row>
          <xdr:rowOff>19050</xdr:rowOff>
        </xdr:from>
        <xdr:to>
          <xdr:col>12</xdr:col>
          <xdr:colOff>952500</xdr:colOff>
          <xdr:row>11</xdr:row>
          <xdr:rowOff>276225</xdr:rowOff>
        </xdr:to>
        <xdr:sp macro="" textlink="">
          <xdr:nvSpPr>
            <xdr:cNvPr id="5521108" name="Button 5844" hidden="1">
              <a:extLst>
                <a:ext uri="{63B3BB69-23CF-44E3-9099-C40C66FF867C}">
                  <a14:compatExt spid="_x0000_s5521108"/>
                </a:ext>
                <a:ext uri="{FF2B5EF4-FFF2-40B4-BE49-F238E27FC236}">
                  <a16:creationId xmlns:a16="http://schemas.microsoft.com/office/drawing/2014/main" id="{00000000-0008-0000-0400-0000D43E54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nl-NL" sz="1100" b="1" i="0" u="none" strike="noStrike" baseline="0">
                  <a:solidFill>
                    <a:srgbClr val="09007E"/>
                  </a:solidFill>
                  <a:latin typeface="Arial"/>
                  <a:cs typeface="Arial"/>
                </a:rPr>
                <a:t>Plot curves</a:t>
              </a:r>
              <a:endParaRPr lang="nl-NL" sz="1000" b="1" i="0" u="none" strike="noStrike" baseline="0">
                <a:solidFill>
                  <a:srgbClr val="09007E"/>
                </a:solidFill>
                <a:latin typeface="Arial"/>
                <a:cs typeface="Arial"/>
              </a:endParaRPr>
            </a:p>
            <a:p>
              <a:pPr algn="ctr" rtl="0">
                <a:defRPr sz="1000"/>
              </a:pPr>
              <a:endParaRPr lang="nl-NL" sz="1000" b="1" i="0" u="none" strike="noStrike" baseline="0">
                <a:solidFill>
                  <a:srgbClr val="09007E"/>
                </a:solidFill>
                <a:latin typeface="Arial"/>
                <a:cs typeface="Arial"/>
              </a:endParaRPr>
            </a:p>
          </xdr:txBody>
        </xdr:sp>
        <xdr:clientData fPrintsWithSheet="0"/>
      </xdr:twoCellAnchor>
    </mc:Choice>
    <mc:Fallback/>
  </mc:AlternateContent>
</xdr:wsDr>
</file>

<file path=xl/drawings/drawing6.xml><?xml version="1.0" encoding="utf-8"?>
<c:userShapes xmlns:c="http://schemas.openxmlformats.org/drawingml/2006/chart">
  <cdr:relSizeAnchor xmlns:cdr="http://schemas.openxmlformats.org/drawingml/2006/chartDrawing">
    <cdr:from>
      <cdr:x>0.533</cdr:x>
      <cdr:y>0</cdr:y>
    </cdr:from>
    <cdr:to>
      <cdr:x>0.53399</cdr:x>
      <cdr:y>0</cdr:y>
    </cdr:to>
    <cdr:sp macro="" textlink="">
      <cdr:nvSpPr>
        <cdr:cNvPr id="16385" name="Text Box 1"/>
        <cdr:cNvSpPr txBox="1">
          <a:spLocks xmlns:a="http://schemas.openxmlformats.org/drawingml/2006/main" noChangeArrowheads="1"/>
        </cdr:cNvSpPr>
      </cdr:nvSpPr>
      <cdr:spPr bwMode="auto">
        <a:xfrm xmlns:a="http://schemas.openxmlformats.org/drawingml/2006/main">
          <a:off x="3893776" y="0"/>
          <a:ext cx="1655504" cy="263899"/>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vertOverflow="clip" wrap="square" lIns="36576" tIns="36576" rIns="0" bIns="0" anchor="b" upright="1"/>
        <a:lstStyle xmlns:a="http://schemas.openxmlformats.org/drawingml/2006/main"/>
        <a:p xmlns:a="http://schemas.openxmlformats.org/drawingml/2006/main">
          <a:pPr algn="l" rtl="1">
            <a:defRPr sz="1000"/>
          </a:pPr>
          <a:r>
            <a:rPr lang="pt-BR" sz="1600" b="0" i="0" strike="noStrike">
              <a:solidFill>
                <a:srgbClr val="000000"/>
              </a:solidFill>
              <a:latin typeface="Symbol"/>
            </a:rPr>
            <a:t>&lt;</a:t>
          </a:r>
          <a:r>
            <a:rPr lang="pt-BR" sz="1600" b="0" i="0" strike="noStrike">
              <a:solidFill>
                <a:srgbClr val="000000"/>
              </a:solidFill>
              <a:latin typeface="Arial"/>
              <a:cs typeface="Arial"/>
            </a:rPr>
            <a:t>— </a:t>
          </a:r>
          <a:r>
            <a:rPr lang="pt-BR" sz="1600" b="0" i="0" strike="noStrike">
              <a:solidFill>
                <a:srgbClr val="000000"/>
              </a:solidFill>
              <a:latin typeface="Symbol"/>
            </a:rPr>
            <a:t>a</a:t>
          </a:r>
          <a:r>
            <a:rPr lang="pt-BR" sz="975" b="0" i="0" strike="noStrike" baseline="-25000">
              <a:solidFill>
                <a:srgbClr val="000000"/>
              </a:solidFill>
              <a:latin typeface="Arial"/>
              <a:cs typeface="Arial"/>
            </a:rPr>
            <a:t>HiB</a:t>
          </a:r>
          <a:r>
            <a:rPr lang="pt-BR" sz="975" b="0" i="0" strike="noStrike">
              <a:solidFill>
                <a:srgbClr val="000000"/>
              </a:solidFill>
              <a:latin typeface="Arial"/>
              <a:cs typeface="Arial"/>
            </a:rPr>
            <a:t>      </a:t>
          </a:r>
          <a:r>
            <a:rPr lang="pt-BR" sz="1600" b="0" i="0" strike="noStrike">
              <a:solidFill>
                <a:srgbClr val="000000"/>
              </a:solidFill>
              <a:latin typeface="Symbol"/>
            </a:rPr>
            <a:t>a</a:t>
          </a:r>
          <a:r>
            <a:rPr lang="pt-BR" sz="975" b="0" i="0" strike="noStrike" baseline="-25000">
              <a:solidFill>
                <a:srgbClr val="000000"/>
              </a:solidFill>
              <a:latin typeface="Arial"/>
              <a:cs typeface="Arial"/>
            </a:rPr>
            <a:t>B</a:t>
          </a:r>
          <a:r>
            <a:rPr lang="pt-BR" sz="1600" b="0" i="0" strike="noStrike">
              <a:solidFill>
                <a:srgbClr val="000000"/>
              </a:solidFill>
              <a:latin typeface="Arial"/>
              <a:cs typeface="Arial"/>
            </a:rPr>
            <a:t>—</a:t>
          </a:r>
          <a:r>
            <a:rPr lang="pt-BR" sz="1600" b="0" i="0" strike="noStrike">
              <a:solidFill>
                <a:srgbClr val="000000"/>
              </a:solidFill>
              <a:latin typeface="Symbol"/>
            </a:rPr>
            <a:t>&gt;</a:t>
          </a:r>
        </a:p>
      </cdr:txBody>
    </cdr:sp>
  </cdr:relSizeAnchor>
  <cdr:relSizeAnchor xmlns:cdr="http://schemas.openxmlformats.org/drawingml/2006/chartDrawing">
    <cdr:from>
      <cdr:x>0.85649</cdr:x>
      <cdr:y>0.00838</cdr:y>
    </cdr:from>
    <cdr:to>
      <cdr:x>0.96875</cdr:x>
      <cdr:y>0.0576</cdr:y>
    </cdr:to>
    <cdr:pic>
      <cdr:nvPicPr>
        <cdr:cNvPr id="2079748" name="Picture 4" descr="curtipotp">
          <a:extLst xmlns:a="http://schemas.openxmlformats.org/drawingml/2006/main">
            <a:ext uri="{FF2B5EF4-FFF2-40B4-BE49-F238E27FC236}">
              <a16:creationId xmlns:a16="http://schemas.microsoft.com/office/drawing/2014/main" id="{F4524411-1BA4-4742-8772-4CFACE71E265}"/>
            </a:ext>
          </a:extLst>
        </cdr:cNvPr>
        <cdr:cNvPicPr preferRelativeResize="0">
          <a:picLocks xmlns:a="http://schemas.openxmlformats.org/drawingml/2006/main"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6228134" y="31564"/>
          <a:ext cx="816316" cy="185318"/>
        </a:xfrm>
        <a:prstGeom xmlns:a="http://schemas.openxmlformats.org/drawingml/2006/main" prst="rect">
          <a:avLst/>
        </a:prstGeom>
        <a:noFill xmlns:a="http://schemas.openxmlformats.org/drawingml/2006/main"/>
      </cdr:spPr>
    </cdr:pic>
  </cdr:relSizeAnchor>
  <cdr:relSizeAnchor xmlns:cdr="http://schemas.openxmlformats.org/drawingml/2006/chartDrawing">
    <cdr:from>
      <cdr:x>0.59168</cdr:x>
      <cdr:y>0</cdr:y>
    </cdr:from>
    <cdr:to>
      <cdr:x>0.84015</cdr:x>
      <cdr:y>0.08752</cdr:y>
    </cdr:to>
    <cdr:sp macro="" textlink="">
      <cdr:nvSpPr>
        <cdr:cNvPr id="4" name="Text Box 1"/>
        <cdr:cNvSpPr txBox="1">
          <a:spLocks xmlns:a="http://schemas.openxmlformats.org/drawingml/2006/main" noChangeArrowheads="1"/>
        </cdr:cNvSpPr>
      </cdr:nvSpPr>
      <cdr:spPr bwMode="auto">
        <a:xfrm xmlns:a="http://schemas.openxmlformats.org/drawingml/2006/main">
          <a:off x="4303059" y="0"/>
          <a:ext cx="1807009" cy="317223"/>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wrap="square" lIns="90000" tIns="0" rIns="90000" bIns="46800" anchor="t"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1">
            <a:defRPr sz="1000"/>
          </a:pPr>
          <a:r>
            <a:rPr lang="pt-BR" sz="1600" b="0" i="0" strike="noStrike">
              <a:solidFill>
                <a:srgbClr val="000000"/>
              </a:solidFill>
              <a:latin typeface="Symbol"/>
            </a:rPr>
            <a:t>&lt;</a:t>
          </a:r>
          <a:r>
            <a:rPr lang="pt-BR" sz="1600" b="0" i="0" strike="noStrike">
              <a:solidFill>
                <a:srgbClr val="000000"/>
              </a:solidFill>
              <a:latin typeface="Arial"/>
              <a:cs typeface="Arial"/>
            </a:rPr>
            <a:t>— </a:t>
          </a:r>
          <a:r>
            <a:rPr lang="pt-BR" sz="1600" b="0" i="0" strike="noStrike">
              <a:solidFill>
                <a:srgbClr val="000000"/>
              </a:solidFill>
              <a:latin typeface="Symbol"/>
            </a:rPr>
            <a:t>a</a:t>
          </a:r>
          <a:r>
            <a:rPr lang="pt-BR" sz="1250" b="0" i="0" strike="noStrike" baseline="-25000">
              <a:solidFill>
                <a:srgbClr val="000000"/>
              </a:solidFill>
              <a:latin typeface="Arial"/>
              <a:cs typeface="Arial"/>
            </a:rPr>
            <a:t>HiB</a:t>
          </a:r>
          <a:r>
            <a:rPr lang="pt-BR" sz="1000" b="0" i="0" strike="noStrike">
              <a:solidFill>
                <a:srgbClr val="000000"/>
              </a:solidFill>
              <a:latin typeface="Arial"/>
              <a:cs typeface="Arial"/>
            </a:rPr>
            <a:t>      </a:t>
          </a:r>
          <a:r>
            <a:rPr lang="pt-BR" sz="1600" b="0" i="0" strike="noStrike">
              <a:solidFill>
                <a:srgbClr val="000000"/>
              </a:solidFill>
              <a:latin typeface="Symbol"/>
            </a:rPr>
            <a:t>a</a:t>
          </a:r>
          <a:r>
            <a:rPr lang="pt-BR" sz="1250" b="0" i="0" strike="noStrike" baseline="-25000">
              <a:solidFill>
                <a:srgbClr val="000000"/>
              </a:solidFill>
              <a:latin typeface="Arial"/>
              <a:cs typeface="Arial"/>
            </a:rPr>
            <a:t>B</a:t>
          </a:r>
          <a:r>
            <a:rPr lang="pt-BR" sz="1600" b="0" i="0" strike="noStrike">
              <a:solidFill>
                <a:srgbClr val="000000"/>
              </a:solidFill>
              <a:latin typeface="Arial"/>
              <a:cs typeface="Arial"/>
            </a:rPr>
            <a:t>—</a:t>
          </a:r>
          <a:r>
            <a:rPr lang="pt-BR" sz="1600" b="0" i="0" strike="noStrike">
              <a:solidFill>
                <a:srgbClr val="000000"/>
              </a:solidFill>
              <a:latin typeface="Symbol"/>
            </a:rPr>
            <a:t>&gt;</a:t>
          </a:r>
        </a:p>
      </cdr:txBody>
    </cdr:sp>
  </cdr:relSizeAnchor>
</c:userShapes>
</file>

<file path=xl/drawings/drawing7.xml><?xml version="1.0" encoding="utf-8"?>
<c:userShapes xmlns:c="http://schemas.openxmlformats.org/drawingml/2006/chart">
  <cdr:relSizeAnchor xmlns:cdr="http://schemas.openxmlformats.org/drawingml/2006/chartDrawing">
    <cdr:from>
      <cdr:x>0.86145</cdr:x>
      <cdr:y>0.01217</cdr:y>
    </cdr:from>
    <cdr:to>
      <cdr:x>0.97346</cdr:x>
      <cdr:y>0.06046</cdr:y>
    </cdr:to>
    <cdr:pic>
      <cdr:nvPicPr>
        <cdr:cNvPr id="2080770" name="Picture 2" descr="curtipotp">
          <a:extLst xmlns:a="http://schemas.openxmlformats.org/drawingml/2006/main">
            <a:ext uri="{FF2B5EF4-FFF2-40B4-BE49-F238E27FC236}">
              <a16:creationId xmlns:a16="http://schemas.microsoft.com/office/drawing/2014/main" id="{1AC8D1F0-C425-45D2-8AC6-793CA0AC5635}"/>
            </a:ext>
          </a:extLst>
        </cdr:cNvPr>
        <cdr:cNvPicPr preferRelativeResize="0">
          <a:picLocks xmlns:a="http://schemas.openxmlformats.org/drawingml/2006/main"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6263827" y="50800"/>
          <a:ext cx="814058" cy="189066"/>
        </a:xfrm>
        <a:prstGeom xmlns:a="http://schemas.openxmlformats.org/drawingml/2006/main" prst="rect">
          <a:avLst/>
        </a:prstGeom>
        <a:noFill xmlns:a="http://schemas.openxmlformats.org/drawingml/2006/main"/>
      </cdr:spPr>
    </cdr:pic>
  </cdr:relSizeAnchor>
</c:userShapes>
</file>

<file path=xl/drawings/drawing8.xml><?xml version="1.0" encoding="utf-8"?>
<c:userShapes xmlns:c="http://schemas.openxmlformats.org/drawingml/2006/chart">
  <cdr:relSizeAnchor xmlns:cdr="http://schemas.openxmlformats.org/drawingml/2006/chartDrawing">
    <cdr:from>
      <cdr:x>0.94892</cdr:x>
      <cdr:y>0.35844</cdr:y>
    </cdr:from>
    <cdr:to>
      <cdr:x>0.99598</cdr:x>
      <cdr:y>0.56067</cdr:y>
    </cdr:to>
    <cdr:sp macro="" textlink="">
      <cdr:nvSpPr>
        <cdr:cNvPr id="2081794" name="Text Box 4"/>
        <cdr:cNvSpPr txBox="1">
          <a:spLocks xmlns:a="http://schemas.openxmlformats.org/drawingml/2006/main" noChangeArrowheads="1"/>
        </cdr:cNvSpPr>
      </cdr:nvSpPr>
      <cdr:spPr bwMode="auto">
        <a:xfrm xmlns:a="http://schemas.openxmlformats.org/drawingml/2006/main">
          <a:off x="6869205" y="1302595"/>
          <a:ext cx="340695" cy="73491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1">
            <a:defRPr sz="1000"/>
          </a:pPr>
          <a:r>
            <a:rPr lang="pt-BR" sz="1200" b="1" i="0" strike="noStrike">
              <a:solidFill>
                <a:srgbClr val="000000"/>
              </a:solidFill>
              <a:latin typeface="Arial"/>
              <a:cs typeface="Arial"/>
            </a:rPr>
            <a:t>pH</a:t>
          </a:r>
        </a:p>
        <a:p xmlns:a="http://schemas.openxmlformats.org/drawingml/2006/main">
          <a:pPr algn="ctr" rtl="1">
            <a:defRPr sz="1000"/>
          </a:pPr>
          <a:endParaRPr lang="pt-BR" sz="1200" b="0" i="0" strike="noStrike">
            <a:solidFill>
              <a:srgbClr val="000000"/>
            </a:solidFill>
            <a:latin typeface="Arial"/>
            <a:cs typeface="Arial"/>
          </a:endParaRPr>
        </a:p>
        <a:p xmlns:a="http://schemas.openxmlformats.org/drawingml/2006/main">
          <a:pPr algn="ctr" rtl="1">
            <a:defRPr sz="1000"/>
          </a:pPr>
          <a:r>
            <a:rPr lang="pt-BR" sz="1200" b="0" i="0" strike="noStrike">
              <a:solidFill>
                <a:srgbClr val="000000"/>
              </a:solidFill>
              <a:latin typeface="Arial"/>
              <a:cs typeface="Arial"/>
            </a:rPr>
            <a:t>7</a:t>
          </a:r>
        </a:p>
      </cdr:txBody>
    </cdr:sp>
  </cdr:relSizeAnchor>
  <cdr:relSizeAnchor xmlns:cdr="http://schemas.openxmlformats.org/drawingml/2006/chartDrawing">
    <cdr:from>
      <cdr:x>0.95453</cdr:x>
      <cdr:y>0.07457</cdr:y>
    </cdr:from>
    <cdr:to>
      <cdr:x>0.99444</cdr:x>
      <cdr:y>0.15035</cdr:y>
    </cdr:to>
    <cdr:sp macro="" textlink="">
      <cdr:nvSpPr>
        <cdr:cNvPr id="2081798" name="Text Box 2"/>
        <cdr:cNvSpPr txBox="1">
          <a:spLocks xmlns:a="http://schemas.openxmlformats.org/drawingml/2006/main" noChangeArrowheads="1"/>
        </cdr:cNvSpPr>
      </cdr:nvSpPr>
      <cdr:spPr bwMode="auto">
        <a:xfrm xmlns:a="http://schemas.openxmlformats.org/drawingml/2006/main">
          <a:off x="6910912" y="270505"/>
          <a:ext cx="288953" cy="27488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1">
            <a:defRPr sz="1000"/>
          </a:pPr>
          <a:r>
            <a:rPr lang="pt-BR" sz="1200" b="0" i="0" strike="noStrike">
              <a:solidFill>
                <a:srgbClr val="000000"/>
              </a:solidFill>
              <a:latin typeface="Arial"/>
              <a:cs typeface="Arial"/>
            </a:rPr>
            <a:t>14</a:t>
          </a:r>
        </a:p>
      </cdr:txBody>
    </cdr:sp>
  </cdr:relSizeAnchor>
  <cdr:relSizeAnchor xmlns:cdr="http://schemas.openxmlformats.org/drawingml/2006/chartDrawing">
    <cdr:from>
      <cdr:x>0.95914</cdr:x>
      <cdr:y>0.81943</cdr:y>
    </cdr:from>
    <cdr:to>
      <cdr:x>0.99598</cdr:x>
      <cdr:y>0.90374</cdr:y>
    </cdr:to>
    <cdr:sp macro="" textlink="">
      <cdr:nvSpPr>
        <cdr:cNvPr id="2081799" name="Text Box 4"/>
        <cdr:cNvSpPr txBox="1">
          <a:spLocks xmlns:a="http://schemas.openxmlformats.org/drawingml/2006/main" noChangeArrowheads="1"/>
        </cdr:cNvSpPr>
      </cdr:nvSpPr>
      <cdr:spPr bwMode="auto">
        <a:xfrm xmlns:a="http://schemas.openxmlformats.org/drawingml/2006/main">
          <a:off x="6996392" y="2977864"/>
          <a:ext cx="268747" cy="30638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1">
            <a:defRPr sz="1000"/>
          </a:pPr>
          <a:r>
            <a:rPr lang="pt-BR" sz="1200" b="0" i="0" strike="noStrike">
              <a:solidFill>
                <a:srgbClr val="000000"/>
              </a:solidFill>
              <a:latin typeface="Arial"/>
              <a:cs typeface="Arial"/>
            </a:rPr>
            <a:t>0</a:t>
          </a:r>
        </a:p>
      </cdr:txBody>
    </cdr:sp>
  </cdr:relSizeAnchor>
  <cdr:relSizeAnchor xmlns:cdr="http://schemas.openxmlformats.org/drawingml/2006/chartDrawing">
    <cdr:from>
      <cdr:x>0.84039</cdr:x>
      <cdr:y>0.00865</cdr:y>
    </cdr:from>
    <cdr:to>
      <cdr:x>0.94872</cdr:x>
      <cdr:y>0.06381</cdr:y>
    </cdr:to>
    <cdr:pic>
      <cdr:nvPicPr>
        <cdr:cNvPr id="2081801" name="Picture 9" descr="curtipotp">
          <a:extLst xmlns:a="http://schemas.openxmlformats.org/drawingml/2006/main">
            <a:ext uri="{FF2B5EF4-FFF2-40B4-BE49-F238E27FC236}">
              <a16:creationId xmlns:a16="http://schemas.microsoft.com/office/drawing/2014/main" id="{959D7C95-4B61-4BE4-B3C1-BDEC62C59F40}"/>
            </a:ext>
          </a:extLst>
        </cdr:cNvPr>
        <cdr:cNvPicPr preferRelativeResize="0">
          <a:picLocks xmlns:a="http://schemas.openxmlformats.org/drawingml/2006/main"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6153311" y="32657"/>
          <a:ext cx="793192" cy="208189"/>
        </a:xfrm>
        <a:prstGeom xmlns:a="http://schemas.openxmlformats.org/drawingml/2006/main" prst="rect">
          <a:avLst/>
        </a:prstGeom>
        <a:noFill xmlns:a="http://schemas.openxmlformats.org/drawingml/2006/main"/>
      </cdr:spPr>
    </cdr:pic>
  </cdr:relSizeAnchor>
</c:userShapes>
</file>

<file path=xl/drawings/drawing9.xml><?xml version="1.0" encoding="utf-8"?>
<c:userShapes xmlns:c="http://schemas.openxmlformats.org/drawingml/2006/chart">
  <cdr:relSizeAnchor xmlns:cdr="http://schemas.openxmlformats.org/drawingml/2006/chartDrawing">
    <cdr:from>
      <cdr:x>0.94614</cdr:x>
      <cdr:y>0.05094</cdr:y>
    </cdr:from>
    <cdr:to>
      <cdr:x>0.99329</cdr:x>
      <cdr:y>0.16899</cdr:y>
    </cdr:to>
    <cdr:sp macro="" textlink="">
      <cdr:nvSpPr>
        <cdr:cNvPr id="2082818" name="Text Box 2"/>
        <cdr:cNvSpPr txBox="1">
          <a:spLocks xmlns:a="http://schemas.openxmlformats.org/drawingml/2006/main" noChangeArrowheads="1"/>
        </cdr:cNvSpPr>
      </cdr:nvSpPr>
      <cdr:spPr bwMode="auto">
        <a:xfrm xmlns:a="http://schemas.openxmlformats.org/drawingml/2006/main">
          <a:off x="6919632" y="192768"/>
          <a:ext cx="344779" cy="44672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1">
            <a:defRPr sz="1000"/>
          </a:pPr>
          <a:r>
            <a:rPr lang="pt-BR" sz="1200" b="0" i="0" strike="noStrike">
              <a:solidFill>
                <a:srgbClr val="000000"/>
              </a:solidFill>
              <a:latin typeface="Arial"/>
              <a:cs typeface="Arial"/>
            </a:rPr>
            <a:t>14</a:t>
          </a:r>
        </a:p>
      </cdr:txBody>
    </cdr:sp>
  </cdr:relSizeAnchor>
  <cdr:relSizeAnchor xmlns:cdr="http://schemas.openxmlformats.org/drawingml/2006/chartDrawing">
    <cdr:from>
      <cdr:x>0.94921</cdr:x>
      <cdr:y>0.34791</cdr:y>
    </cdr:from>
    <cdr:to>
      <cdr:x>0.99921</cdr:x>
      <cdr:y>0.5279</cdr:y>
    </cdr:to>
    <cdr:sp macro="" textlink="">
      <cdr:nvSpPr>
        <cdr:cNvPr id="1955843" name="Text Box 3"/>
        <cdr:cNvSpPr txBox="1">
          <a:spLocks xmlns:a="http://schemas.openxmlformats.org/drawingml/2006/main" noChangeArrowheads="1"/>
        </cdr:cNvSpPr>
      </cdr:nvSpPr>
      <cdr:spPr bwMode="auto">
        <a:xfrm xmlns:a="http://schemas.openxmlformats.org/drawingml/2006/main">
          <a:off x="6917600" y="1316558"/>
          <a:ext cx="364388" cy="68112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1">
            <a:defRPr sz="1000"/>
          </a:pPr>
          <a:r>
            <a:rPr lang="pt-BR" sz="1200" b="1" i="0" strike="noStrike">
              <a:solidFill>
                <a:srgbClr val="000000"/>
              </a:solidFill>
              <a:latin typeface="Arial"/>
              <a:cs typeface="Arial"/>
            </a:rPr>
            <a:t>pH</a:t>
          </a:r>
        </a:p>
        <a:p xmlns:a="http://schemas.openxmlformats.org/drawingml/2006/main">
          <a:pPr algn="ctr" rtl="1">
            <a:defRPr sz="1000"/>
          </a:pPr>
          <a:endParaRPr lang="pt-BR" sz="1200" b="0" i="0" strike="noStrike">
            <a:solidFill>
              <a:srgbClr val="000000"/>
            </a:solidFill>
            <a:latin typeface="Arial"/>
            <a:cs typeface="Arial"/>
          </a:endParaRPr>
        </a:p>
        <a:p xmlns:a="http://schemas.openxmlformats.org/drawingml/2006/main">
          <a:pPr algn="ctr" rtl="1">
            <a:defRPr sz="1000"/>
          </a:pPr>
          <a:r>
            <a:rPr lang="pt-BR" sz="1200" b="0" i="0" strike="noStrike">
              <a:solidFill>
                <a:srgbClr val="000000"/>
              </a:solidFill>
              <a:latin typeface="Arial"/>
              <a:cs typeface="Arial"/>
            </a:rPr>
            <a:t>7</a:t>
          </a:r>
        </a:p>
      </cdr:txBody>
    </cdr:sp>
  </cdr:relSizeAnchor>
  <cdr:relSizeAnchor xmlns:cdr="http://schemas.openxmlformats.org/drawingml/2006/chartDrawing">
    <cdr:from>
      <cdr:x>0.94767</cdr:x>
      <cdr:y>0.8355</cdr:y>
    </cdr:from>
    <cdr:to>
      <cdr:x>1</cdr:x>
      <cdr:y>0.88288</cdr:y>
    </cdr:to>
    <cdr:sp macro="" textlink="">
      <cdr:nvSpPr>
        <cdr:cNvPr id="1955844" name="Text Box 4"/>
        <cdr:cNvSpPr txBox="1">
          <a:spLocks xmlns:a="http://schemas.openxmlformats.org/drawingml/2006/main" noChangeArrowheads="1"/>
        </cdr:cNvSpPr>
      </cdr:nvSpPr>
      <cdr:spPr bwMode="auto">
        <a:xfrm xmlns:a="http://schemas.openxmlformats.org/drawingml/2006/main">
          <a:off x="6930838" y="3161739"/>
          <a:ext cx="382681" cy="17929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1">
            <a:defRPr sz="1000"/>
          </a:pPr>
          <a:r>
            <a:rPr lang="pt-BR" sz="1200" b="0" i="0" strike="noStrike">
              <a:solidFill>
                <a:srgbClr val="000000"/>
              </a:solidFill>
              <a:latin typeface="Arial"/>
              <a:cs typeface="Arial"/>
            </a:rPr>
            <a:t>0</a:t>
          </a:r>
        </a:p>
      </cdr:txBody>
    </cdr:sp>
  </cdr:relSizeAnchor>
  <cdr:relSizeAnchor xmlns:cdr="http://schemas.openxmlformats.org/drawingml/2006/chartDrawing">
    <cdr:from>
      <cdr:x>0.8378</cdr:x>
      <cdr:y>0.00921</cdr:y>
    </cdr:from>
    <cdr:to>
      <cdr:x>0.95008</cdr:x>
      <cdr:y>0.05604</cdr:y>
    </cdr:to>
    <cdr:pic>
      <cdr:nvPicPr>
        <cdr:cNvPr id="2082822" name="Picture 6" descr="curtipotp">
          <a:extLst xmlns:a="http://schemas.openxmlformats.org/drawingml/2006/main">
            <a:ext uri="{FF2B5EF4-FFF2-40B4-BE49-F238E27FC236}">
              <a16:creationId xmlns:a16="http://schemas.microsoft.com/office/drawing/2014/main" id="{A5FC3030-6A86-413D-944A-3ED74CBC6DDE}"/>
            </a:ext>
          </a:extLst>
        </cdr:cNvPr>
        <cdr:cNvPicPr preferRelativeResize="0">
          <a:picLocks xmlns:a="http://schemas.openxmlformats.org/drawingml/2006/main"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6150304" y="36268"/>
          <a:ext cx="824254" cy="184412"/>
        </a:xfrm>
        <a:prstGeom xmlns:a="http://schemas.openxmlformats.org/drawingml/2006/main" prst="rect">
          <a:avLst/>
        </a:prstGeom>
        <a:noFill xmlns:a="http://schemas.openxmlformats.org/drawingml/2006/main"/>
      </cdr:spPr>
    </cdr:pic>
  </cdr:relSizeAnchor>
</c:userShapes>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hyperlink" Target="http://www.beloit.edu/~chem/Chem220/indicator/" TargetMode="External"/><Relationship Id="rId7" Type="http://schemas.openxmlformats.org/officeDocument/2006/relationships/comments" Target="../comments10.xml"/><Relationship Id="rId2" Type="http://schemas.openxmlformats.org/officeDocument/2006/relationships/hyperlink" Target="http://www.zirchrom.com/organic.htm" TargetMode="External"/><Relationship Id="rId1" Type="http://schemas.openxmlformats.org/officeDocument/2006/relationships/hyperlink" Target="http://research.chem.psu.edu/brpgroup/pKa_compilation.pdf" TargetMode="External"/><Relationship Id="rId6" Type="http://schemas.openxmlformats.org/officeDocument/2006/relationships/vmlDrawing" Target="../drawings/vmlDrawing10.vml"/><Relationship Id="rId5" Type="http://schemas.openxmlformats.org/officeDocument/2006/relationships/drawing" Target="../drawings/drawing28.xml"/><Relationship Id="rId4"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omments" Target="../comments2.xml"/><Relationship Id="rId3" Type="http://schemas.openxmlformats.org/officeDocument/2006/relationships/vmlDrawing" Target="../drawings/vmlDrawing2.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5.xml"/><Relationship Id="rId13" Type="http://schemas.openxmlformats.org/officeDocument/2006/relationships/ctrlProp" Target="../ctrlProps/ctrlProp20.xml"/><Relationship Id="rId18" Type="http://schemas.openxmlformats.org/officeDocument/2006/relationships/ctrlProp" Target="../ctrlProps/ctrlProp25.xml"/><Relationship Id="rId26" Type="http://schemas.openxmlformats.org/officeDocument/2006/relationships/comments" Target="../comments3.xml"/><Relationship Id="rId3" Type="http://schemas.openxmlformats.org/officeDocument/2006/relationships/ctrlProp" Target="../ctrlProps/ctrlProp10.xml"/><Relationship Id="rId21" Type="http://schemas.openxmlformats.org/officeDocument/2006/relationships/ctrlProp" Target="../ctrlProps/ctrlProp28.xml"/><Relationship Id="rId7" Type="http://schemas.openxmlformats.org/officeDocument/2006/relationships/ctrlProp" Target="../ctrlProps/ctrlProp14.xml"/><Relationship Id="rId12" Type="http://schemas.openxmlformats.org/officeDocument/2006/relationships/ctrlProp" Target="../ctrlProps/ctrlProp19.xml"/><Relationship Id="rId17" Type="http://schemas.openxmlformats.org/officeDocument/2006/relationships/ctrlProp" Target="../ctrlProps/ctrlProp24.xml"/><Relationship Id="rId25" Type="http://schemas.openxmlformats.org/officeDocument/2006/relationships/ctrlProp" Target="../ctrlProps/ctrlProp32.xml"/><Relationship Id="rId2" Type="http://schemas.openxmlformats.org/officeDocument/2006/relationships/vmlDrawing" Target="../drawings/vmlDrawing3.vml"/><Relationship Id="rId16" Type="http://schemas.openxmlformats.org/officeDocument/2006/relationships/ctrlProp" Target="../ctrlProps/ctrlProp23.xml"/><Relationship Id="rId20" Type="http://schemas.openxmlformats.org/officeDocument/2006/relationships/ctrlProp" Target="../ctrlProps/ctrlProp27.xml"/><Relationship Id="rId1" Type="http://schemas.openxmlformats.org/officeDocument/2006/relationships/drawing" Target="../drawings/drawing3.xml"/><Relationship Id="rId6" Type="http://schemas.openxmlformats.org/officeDocument/2006/relationships/ctrlProp" Target="../ctrlProps/ctrlProp13.xml"/><Relationship Id="rId11" Type="http://schemas.openxmlformats.org/officeDocument/2006/relationships/ctrlProp" Target="../ctrlProps/ctrlProp18.xml"/><Relationship Id="rId24" Type="http://schemas.openxmlformats.org/officeDocument/2006/relationships/ctrlProp" Target="../ctrlProps/ctrlProp31.xml"/><Relationship Id="rId5" Type="http://schemas.openxmlformats.org/officeDocument/2006/relationships/ctrlProp" Target="../ctrlProps/ctrlProp12.xml"/><Relationship Id="rId15" Type="http://schemas.openxmlformats.org/officeDocument/2006/relationships/ctrlProp" Target="../ctrlProps/ctrlProp22.xml"/><Relationship Id="rId23" Type="http://schemas.openxmlformats.org/officeDocument/2006/relationships/ctrlProp" Target="../ctrlProps/ctrlProp30.xml"/><Relationship Id="rId10" Type="http://schemas.openxmlformats.org/officeDocument/2006/relationships/ctrlProp" Target="../ctrlProps/ctrlProp17.xml"/><Relationship Id="rId19" Type="http://schemas.openxmlformats.org/officeDocument/2006/relationships/ctrlProp" Target="../ctrlProps/ctrlProp26.xml"/><Relationship Id="rId4" Type="http://schemas.openxmlformats.org/officeDocument/2006/relationships/ctrlProp" Target="../ctrlProps/ctrlProp11.xml"/><Relationship Id="rId9" Type="http://schemas.openxmlformats.org/officeDocument/2006/relationships/ctrlProp" Target="../ctrlProps/ctrlProp16.xml"/><Relationship Id="rId14" Type="http://schemas.openxmlformats.org/officeDocument/2006/relationships/ctrlProp" Target="../ctrlProps/ctrlProp21.xml"/><Relationship Id="rId22" Type="http://schemas.openxmlformats.org/officeDocument/2006/relationships/ctrlProp" Target="../ctrlProps/ctrlProp29.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37.xml"/><Relationship Id="rId13" Type="http://schemas.openxmlformats.org/officeDocument/2006/relationships/ctrlProp" Target="../ctrlProps/ctrlProp42.xml"/><Relationship Id="rId18" Type="http://schemas.openxmlformats.org/officeDocument/2006/relationships/ctrlProp" Target="../ctrlProps/ctrlProp47.xml"/><Relationship Id="rId3" Type="http://schemas.openxmlformats.org/officeDocument/2006/relationships/vmlDrawing" Target="../drawings/vmlDrawing4.vml"/><Relationship Id="rId7" Type="http://schemas.openxmlformats.org/officeDocument/2006/relationships/ctrlProp" Target="../ctrlProps/ctrlProp36.xml"/><Relationship Id="rId12" Type="http://schemas.openxmlformats.org/officeDocument/2006/relationships/ctrlProp" Target="../ctrlProps/ctrlProp41.xml"/><Relationship Id="rId17" Type="http://schemas.openxmlformats.org/officeDocument/2006/relationships/ctrlProp" Target="../ctrlProps/ctrlProp46.xml"/><Relationship Id="rId2" Type="http://schemas.openxmlformats.org/officeDocument/2006/relationships/drawing" Target="../drawings/drawing4.xml"/><Relationship Id="rId16" Type="http://schemas.openxmlformats.org/officeDocument/2006/relationships/ctrlProp" Target="../ctrlProps/ctrlProp45.xml"/><Relationship Id="rId20" Type="http://schemas.openxmlformats.org/officeDocument/2006/relationships/comments" Target="../comments4.xml"/><Relationship Id="rId1" Type="http://schemas.openxmlformats.org/officeDocument/2006/relationships/printerSettings" Target="../printerSettings/printerSettings3.bin"/><Relationship Id="rId6" Type="http://schemas.openxmlformats.org/officeDocument/2006/relationships/ctrlProp" Target="../ctrlProps/ctrlProp35.xml"/><Relationship Id="rId11" Type="http://schemas.openxmlformats.org/officeDocument/2006/relationships/ctrlProp" Target="../ctrlProps/ctrlProp40.xml"/><Relationship Id="rId5" Type="http://schemas.openxmlformats.org/officeDocument/2006/relationships/ctrlProp" Target="../ctrlProps/ctrlProp34.xml"/><Relationship Id="rId15" Type="http://schemas.openxmlformats.org/officeDocument/2006/relationships/ctrlProp" Target="../ctrlProps/ctrlProp44.xml"/><Relationship Id="rId10" Type="http://schemas.openxmlformats.org/officeDocument/2006/relationships/ctrlProp" Target="../ctrlProps/ctrlProp39.xml"/><Relationship Id="rId19" Type="http://schemas.openxmlformats.org/officeDocument/2006/relationships/ctrlProp" Target="../ctrlProps/ctrlProp48.xml"/><Relationship Id="rId4" Type="http://schemas.openxmlformats.org/officeDocument/2006/relationships/ctrlProp" Target="../ctrlProps/ctrlProp33.xml"/><Relationship Id="rId9" Type="http://schemas.openxmlformats.org/officeDocument/2006/relationships/ctrlProp" Target="../ctrlProps/ctrlProp38.xml"/><Relationship Id="rId14" Type="http://schemas.openxmlformats.org/officeDocument/2006/relationships/ctrlProp" Target="../ctrlProps/ctrlProp43.xml"/></Relationships>
</file>

<file path=xl/worksheets/_rels/sheet5.xml.rels><?xml version="1.0" encoding="UTF-8" standalone="yes"?>
<Relationships xmlns="http://schemas.openxmlformats.org/package/2006/relationships"><Relationship Id="rId8" Type="http://schemas.openxmlformats.org/officeDocument/2006/relationships/comments" Target="../comments5.xml"/><Relationship Id="rId3" Type="http://schemas.openxmlformats.org/officeDocument/2006/relationships/vmlDrawing" Target="../drawings/vmlDrawing5.vml"/><Relationship Id="rId7" Type="http://schemas.openxmlformats.org/officeDocument/2006/relationships/ctrlProp" Target="../ctrlProps/ctrlProp52.xml"/><Relationship Id="rId2" Type="http://schemas.openxmlformats.org/officeDocument/2006/relationships/drawing" Target="../drawings/drawing5.xml"/><Relationship Id="rId1" Type="http://schemas.openxmlformats.org/officeDocument/2006/relationships/printerSettings" Target="../printerSettings/printerSettings4.bin"/><Relationship Id="rId6" Type="http://schemas.openxmlformats.org/officeDocument/2006/relationships/ctrlProp" Target="../ctrlProps/ctrlProp51.xml"/><Relationship Id="rId5" Type="http://schemas.openxmlformats.org/officeDocument/2006/relationships/ctrlProp" Target="../ctrlProps/ctrlProp50.xml"/><Relationship Id="rId4" Type="http://schemas.openxmlformats.org/officeDocument/2006/relationships/ctrlProp" Target="../ctrlProps/ctrlProp49.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57.xml"/><Relationship Id="rId3" Type="http://schemas.openxmlformats.org/officeDocument/2006/relationships/vmlDrawing" Target="../drawings/vmlDrawing6.vml"/><Relationship Id="rId7" Type="http://schemas.openxmlformats.org/officeDocument/2006/relationships/ctrlProp" Target="../ctrlProps/ctrlProp56.xml"/><Relationship Id="rId2" Type="http://schemas.openxmlformats.org/officeDocument/2006/relationships/drawing" Target="../drawings/drawing18.xml"/><Relationship Id="rId1" Type="http://schemas.openxmlformats.org/officeDocument/2006/relationships/printerSettings" Target="../printerSettings/printerSettings5.bin"/><Relationship Id="rId6" Type="http://schemas.openxmlformats.org/officeDocument/2006/relationships/ctrlProp" Target="../ctrlProps/ctrlProp55.xml"/><Relationship Id="rId5" Type="http://schemas.openxmlformats.org/officeDocument/2006/relationships/ctrlProp" Target="../ctrlProps/ctrlProp54.xml"/><Relationship Id="rId10" Type="http://schemas.openxmlformats.org/officeDocument/2006/relationships/comments" Target="../comments6.xml"/><Relationship Id="rId4" Type="http://schemas.openxmlformats.org/officeDocument/2006/relationships/ctrlProp" Target="../ctrlProps/ctrlProp53.xml"/><Relationship Id="rId9" Type="http://schemas.openxmlformats.org/officeDocument/2006/relationships/ctrlProp" Target="../ctrlProps/ctrlProp58.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63.xml"/><Relationship Id="rId3" Type="http://schemas.openxmlformats.org/officeDocument/2006/relationships/vmlDrawing" Target="../drawings/vmlDrawing7.vml"/><Relationship Id="rId7" Type="http://schemas.openxmlformats.org/officeDocument/2006/relationships/ctrlProp" Target="../ctrlProps/ctrlProp62.xml"/><Relationship Id="rId2" Type="http://schemas.openxmlformats.org/officeDocument/2006/relationships/drawing" Target="../drawings/drawing21.xml"/><Relationship Id="rId1" Type="http://schemas.openxmlformats.org/officeDocument/2006/relationships/printerSettings" Target="../printerSettings/printerSettings6.bin"/><Relationship Id="rId6" Type="http://schemas.openxmlformats.org/officeDocument/2006/relationships/ctrlProp" Target="../ctrlProps/ctrlProp61.xml"/><Relationship Id="rId5" Type="http://schemas.openxmlformats.org/officeDocument/2006/relationships/ctrlProp" Target="../ctrlProps/ctrlProp60.xml"/><Relationship Id="rId10" Type="http://schemas.openxmlformats.org/officeDocument/2006/relationships/comments" Target="../comments7.xml"/><Relationship Id="rId4" Type="http://schemas.openxmlformats.org/officeDocument/2006/relationships/ctrlProp" Target="../ctrlProps/ctrlProp59.xml"/><Relationship Id="rId9" Type="http://schemas.openxmlformats.org/officeDocument/2006/relationships/ctrlProp" Target="../ctrlProps/ctrlProp64.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69.xml"/><Relationship Id="rId13" Type="http://schemas.openxmlformats.org/officeDocument/2006/relationships/ctrlProp" Target="../ctrlProps/ctrlProp74.xml"/><Relationship Id="rId18" Type="http://schemas.openxmlformats.org/officeDocument/2006/relationships/ctrlProp" Target="../ctrlProps/ctrlProp79.xml"/><Relationship Id="rId3" Type="http://schemas.openxmlformats.org/officeDocument/2006/relationships/vmlDrawing" Target="../drawings/vmlDrawing8.vml"/><Relationship Id="rId21" Type="http://schemas.openxmlformats.org/officeDocument/2006/relationships/ctrlProp" Target="../ctrlProps/ctrlProp82.xml"/><Relationship Id="rId7" Type="http://schemas.openxmlformats.org/officeDocument/2006/relationships/ctrlProp" Target="../ctrlProps/ctrlProp68.xml"/><Relationship Id="rId12" Type="http://schemas.openxmlformats.org/officeDocument/2006/relationships/ctrlProp" Target="../ctrlProps/ctrlProp73.xml"/><Relationship Id="rId17" Type="http://schemas.openxmlformats.org/officeDocument/2006/relationships/ctrlProp" Target="../ctrlProps/ctrlProp78.xml"/><Relationship Id="rId2" Type="http://schemas.openxmlformats.org/officeDocument/2006/relationships/drawing" Target="../drawings/drawing24.xml"/><Relationship Id="rId16" Type="http://schemas.openxmlformats.org/officeDocument/2006/relationships/ctrlProp" Target="../ctrlProps/ctrlProp77.xml"/><Relationship Id="rId20" Type="http://schemas.openxmlformats.org/officeDocument/2006/relationships/ctrlProp" Target="../ctrlProps/ctrlProp81.xml"/><Relationship Id="rId1" Type="http://schemas.openxmlformats.org/officeDocument/2006/relationships/printerSettings" Target="../printerSettings/printerSettings7.bin"/><Relationship Id="rId6" Type="http://schemas.openxmlformats.org/officeDocument/2006/relationships/ctrlProp" Target="../ctrlProps/ctrlProp67.xml"/><Relationship Id="rId11" Type="http://schemas.openxmlformats.org/officeDocument/2006/relationships/ctrlProp" Target="../ctrlProps/ctrlProp72.xml"/><Relationship Id="rId24" Type="http://schemas.openxmlformats.org/officeDocument/2006/relationships/comments" Target="../comments8.xml"/><Relationship Id="rId5" Type="http://schemas.openxmlformats.org/officeDocument/2006/relationships/ctrlProp" Target="../ctrlProps/ctrlProp66.xml"/><Relationship Id="rId15" Type="http://schemas.openxmlformats.org/officeDocument/2006/relationships/ctrlProp" Target="../ctrlProps/ctrlProp76.xml"/><Relationship Id="rId23" Type="http://schemas.openxmlformats.org/officeDocument/2006/relationships/ctrlProp" Target="../ctrlProps/ctrlProp84.xml"/><Relationship Id="rId10" Type="http://schemas.openxmlformats.org/officeDocument/2006/relationships/ctrlProp" Target="../ctrlProps/ctrlProp71.xml"/><Relationship Id="rId19" Type="http://schemas.openxmlformats.org/officeDocument/2006/relationships/ctrlProp" Target="../ctrlProps/ctrlProp80.xml"/><Relationship Id="rId4" Type="http://schemas.openxmlformats.org/officeDocument/2006/relationships/ctrlProp" Target="../ctrlProps/ctrlProp65.xml"/><Relationship Id="rId9" Type="http://schemas.openxmlformats.org/officeDocument/2006/relationships/ctrlProp" Target="../ctrlProps/ctrlProp70.xml"/><Relationship Id="rId14" Type="http://schemas.openxmlformats.org/officeDocument/2006/relationships/ctrlProp" Target="../ctrlProps/ctrlProp75.xml"/><Relationship Id="rId22" Type="http://schemas.openxmlformats.org/officeDocument/2006/relationships/ctrlProp" Target="../ctrlProps/ctrlProp83.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89.xml"/><Relationship Id="rId13" Type="http://schemas.openxmlformats.org/officeDocument/2006/relationships/ctrlProp" Target="../ctrlProps/ctrlProp94.xml"/><Relationship Id="rId3" Type="http://schemas.openxmlformats.org/officeDocument/2006/relationships/vmlDrawing" Target="../drawings/vmlDrawing9.vml"/><Relationship Id="rId7" Type="http://schemas.openxmlformats.org/officeDocument/2006/relationships/ctrlProp" Target="../ctrlProps/ctrlProp88.xml"/><Relationship Id="rId12" Type="http://schemas.openxmlformats.org/officeDocument/2006/relationships/ctrlProp" Target="../ctrlProps/ctrlProp93.xml"/><Relationship Id="rId2" Type="http://schemas.openxmlformats.org/officeDocument/2006/relationships/drawing" Target="../drawings/drawing26.xml"/><Relationship Id="rId16" Type="http://schemas.openxmlformats.org/officeDocument/2006/relationships/comments" Target="../comments9.xml"/><Relationship Id="rId1" Type="http://schemas.openxmlformats.org/officeDocument/2006/relationships/printerSettings" Target="../printerSettings/printerSettings8.bin"/><Relationship Id="rId6" Type="http://schemas.openxmlformats.org/officeDocument/2006/relationships/ctrlProp" Target="../ctrlProps/ctrlProp87.xml"/><Relationship Id="rId11" Type="http://schemas.openxmlformats.org/officeDocument/2006/relationships/ctrlProp" Target="../ctrlProps/ctrlProp92.xml"/><Relationship Id="rId5" Type="http://schemas.openxmlformats.org/officeDocument/2006/relationships/ctrlProp" Target="../ctrlProps/ctrlProp86.xml"/><Relationship Id="rId15" Type="http://schemas.openxmlformats.org/officeDocument/2006/relationships/ctrlProp" Target="../ctrlProps/ctrlProp96.xml"/><Relationship Id="rId10" Type="http://schemas.openxmlformats.org/officeDocument/2006/relationships/ctrlProp" Target="../ctrlProps/ctrlProp91.xml"/><Relationship Id="rId4" Type="http://schemas.openxmlformats.org/officeDocument/2006/relationships/ctrlProp" Target="../ctrlProps/ctrlProp85.xml"/><Relationship Id="rId9" Type="http://schemas.openxmlformats.org/officeDocument/2006/relationships/ctrlProp" Target="../ctrlProps/ctrlProp90.xml"/><Relationship Id="rId14" Type="http://schemas.openxmlformats.org/officeDocument/2006/relationships/ctrlProp" Target="../ctrlProps/ctrlProp9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9"/>
  <dimension ref="A1:AV52"/>
  <sheetViews>
    <sheetView zoomScale="85" zoomScaleNormal="85" workbookViewId="0"/>
  </sheetViews>
  <sheetFormatPr defaultRowHeight="12.75"/>
  <cols>
    <col min="1" max="17" width="8.7109375" customWidth="1"/>
    <col min="18" max="37" width="10.28515625" customWidth="1"/>
  </cols>
  <sheetData>
    <row r="1" spans="1:48" s="14" customFormat="1" ht="33" customHeight="1">
      <c r="A1" s="8"/>
      <c r="B1" s="22"/>
      <c r="C1" s="8"/>
      <c r="D1" s="8"/>
      <c r="E1" s="8"/>
      <c r="F1" s="8"/>
      <c r="G1" s="8"/>
      <c r="H1" s="8"/>
      <c r="I1" s="8"/>
      <c r="J1" s="8"/>
      <c r="K1" s="8"/>
      <c r="L1" s="8"/>
      <c r="M1" s="8"/>
      <c r="N1" s="8"/>
      <c r="O1" s="11"/>
      <c r="P1" s="11"/>
      <c r="Q1" s="27"/>
      <c r="R1" s="1156" t="s">
        <v>772</v>
      </c>
      <c r="S1" s="27"/>
      <c r="T1" s="27"/>
      <c r="U1" s="27"/>
      <c r="V1" s="342"/>
      <c r="W1" s="342"/>
      <c r="X1" s="342"/>
      <c r="Y1" s="343"/>
      <c r="Z1" s="27"/>
      <c r="AA1" s="27"/>
      <c r="AB1" s="27"/>
      <c r="AC1" s="27"/>
      <c r="AD1" s="27"/>
      <c r="AE1" s="27"/>
      <c r="AF1" s="27"/>
      <c r="AG1" s="27"/>
      <c r="AH1" s="344"/>
      <c r="AI1" s="344"/>
      <c r="AJ1" s="344"/>
      <c r="AK1" s="344"/>
      <c r="AL1" s="197"/>
      <c r="AM1" s="197"/>
      <c r="AN1" s="197"/>
      <c r="AO1" s="197"/>
      <c r="AP1" s="197"/>
      <c r="AQ1" s="197"/>
      <c r="AR1" s="197"/>
      <c r="AS1" s="197"/>
      <c r="AT1" s="197"/>
      <c r="AU1" s="197"/>
      <c r="AV1" s="197"/>
    </row>
    <row r="2" spans="1:48" s="14" customFormat="1" ht="27" customHeight="1">
      <c r="A2" s="8"/>
      <c r="B2" s="8"/>
      <c r="C2" s="8"/>
      <c r="D2" s="8"/>
      <c r="E2" s="8"/>
      <c r="F2" s="8"/>
      <c r="G2" s="8"/>
      <c r="H2" s="8"/>
      <c r="I2" s="8"/>
      <c r="J2" s="8"/>
      <c r="K2" s="8"/>
      <c r="L2" s="8"/>
      <c r="M2" s="8"/>
      <c r="N2" s="8"/>
      <c r="O2" s="11"/>
      <c r="P2" s="11"/>
      <c r="Q2" s="578"/>
      <c r="R2" s="1157" t="s">
        <v>770</v>
      </c>
      <c r="S2" s="27"/>
      <c r="T2" s="27"/>
      <c r="U2" s="27"/>
      <c r="V2" s="27"/>
      <c r="W2" s="27"/>
      <c r="X2" s="27"/>
      <c r="Y2" s="27"/>
      <c r="Z2" s="27"/>
      <c r="AA2" s="27"/>
      <c r="AB2" s="27"/>
      <c r="AC2" s="27"/>
      <c r="AD2" s="27"/>
      <c r="AE2" s="27"/>
      <c r="AF2" s="27"/>
      <c r="AG2" s="27"/>
      <c r="AH2" s="344"/>
      <c r="AI2" s="344"/>
      <c r="AJ2" s="344"/>
      <c r="AK2" s="344"/>
      <c r="AL2" s="197"/>
      <c r="AM2" s="197"/>
      <c r="AN2" s="197"/>
      <c r="AO2" s="197"/>
      <c r="AP2" s="197"/>
      <c r="AQ2" s="197"/>
      <c r="AR2" s="197"/>
      <c r="AS2" s="197"/>
      <c r="AT2" s="197"/>
      <c r="AU2" s="197"/>
      <c r="AV2" s="197"/>
    </row>
    <row r="3" spans="1:48" ht="21.95" customHeight="1">
      <c r="A3" s="8"/>
      <c r="B3" s="8"/>
      <c r="C3" s="8"/>
      <c r="D3" s="8"/>
      <c r="E3" s="8"/>
      <c r="F3" s="8"/>
      <c r="G3" s="8"/>
      <c r="H3" s="8"/>
      <c r="I3" s="8"/>
      <c r="J3" s="8"/>
      <c r="K3" s="8"/>
      <c r="L3" s="8"/>
      <c r="M3" s="8"/>
      <c r="N3" s="8"/>
      <c r="O3" s="11"/>
      <c r="P3" s="11"/>
      <c r="Q3" s="27"/>
      <c r="R3" s="1157" t="s">
        <v>953</v>
      </c>
      <c r="S3" s="27"/>
      <c r="T3" s="345"/>
      <c r="U3" s="345"/>
      <c r="V3" s="345"/>
      <c r="W3" s="345"/>
      <c r="X3" s="345"/>
      <c r="Y3" s="345"/>
      <c r="Z3" s="345"/>
      <c r="AA3" s="345"/>
      <c r="AB3" s="345"/>
      <c r="AC3" s="345"/>
      <c r="AD3" s="345"/>
      <c r="AE3" s="345"/>
      <c r="AF3" s="345"/>
      <c r="AG3" s="345"/>
      <c r="AH3" s="344"/>
      <c r="AI3" s="344"/>
      <c r="AJ3" s="344"/>
      <c r="AK3" s="344"/>
      <c r="AL3" s="197"/>
      <c r="AM3" s="197"/>
      <c r="AN3" s="197"/>
      <c r="AO3" s="197"/>
      <c r="AP3" s="197"/>
      <c r="AQ3" s="197"/>
      <c r="AR3" s="197"/>
      <c r="AS3" s="197"/>
      <c r="AT3" s="197"/>
      <c r="AU3" s="197"/>
      <c r="AV3" s="197"/>
    </row>
    <row r="4" spans="1:48" ht="21.95" customHeight="1">
      <c r="A4" s="8"/>
      <c r="B4" s="8"/>
      <c r="C4" s="8"/>
      <c r="D4" s="8"/>
      <c r="E4" s="8"/>
      <c r="F4" s="8"/>
      <c r="G4" s="8"/>
      <c r="H4" s="8"/>
      <c r="I4" s="8"/>
      <c r="J4" s="8"/>
      <c r="K4" s="8"/>
      <c r="L4" s="8"/>
      <c r="M4" s="8"/>
      <c r="N4" s="8"/>
      <c r="O4" s="11"/>
      <c r="P4" s="11"/>
      <c r="Q4" s="578"/>
      <c r="R4" s="1158" t="s">
        <v>873</v>
      </c>
      <c r="S4" s="578"/>
      <c r="T4" s="345"/>
      <c r="U4" s="345"/>
      <c r="V4" s="345"/>
      <c r="W4" s="345"/>
      <c r="X4" s="345"/>
      <c r="Y4" s="345"/>
      <c r="Z4" s="345"/>
      <c r="AA4" s="345"/>
      <c r="AB4" s="345"/>
      <c r="AC4" s="345"/>
      <c r="AD4" s="345"/>
      <c r="AE4" s="345"/>
      <c r="AF4" s="345"/>
      <c r="AG4" s="345"/>
      <c r="AH4" s="344"/>
      <c r="AI4" s="344"/>
      <c r="AJ4" s="344"/>
      <c r="AK4" s="344"/>
      <c r="AL4" s="197"/>
      <c r="AM4" s="197"/>
      <c r="AN4" s="197"/>
      <c r="AO4" s="197"/>
      <c r="AP4" s="197"/>
      <c r="AQ4" s="197"/>
      <c r="AR4" s="197"/>
      <c r="AS4" s="197"/>
      <c r="AT4" s="197"/>
      <c r="AU4" s="197"/>
      <c r="AV4" s="197"/>
    </row>
    <row r="5" spans="1:48" ht="21.95" customHeight="1">
      <c r="A5" s="8"/>
      <c r="B5" s="8"/>
      <c r="C5" s="8"/>
      <c r="D5" s="8"/>
      <c r="E5" s="8"/>
      <c r="F5" s="8"/>
      <c r="G5" s="8"/>
      <c r="H5" s="8"/>
      <c r="I5" s="8"/>
      <c r="J5" s="8"/>
      <c r="K5" s="8"/>
      <c r="L5" s="8"/>
      <c r="M5" s="8"/>
      <c r="N5" s="8"/>
      <c r="O5" s="11"/>
      <c r="P5" s="11"/>
      <c r="Q5" s="578"/>
      <c r="R5" s="1158" t="s">
        <v>942</v>
      </c>
      <c r="S5" s="578"/>
      <c r="T5" s="345"/>
      <c r="U5" s="345"/>
      <c r="V5" s="345"/>
      <c r="W5" s="345"/>
      <c r="X5" s="345"/>
      <c r="Y5" s="345"/>
      <c r="Z5" s="345"/>
      <c r="AA5" s="345"/>
      <c r="AB5" s="345"/>
      <c r="AC5" s="345"/>
      <c r="AD5" s="345"/>
      <c r="AE5" s="345"/>
      <c r="AF5" s="345"/>
      <c r="AG5" s="345"/>
      <c r="AH5" s="344"/>
      <c r="AI5" s="344"/>
      <c r="AJ5" s="344"/>
      <c r="AK5" s="344"/>
      <c r="AL5" s="197"/>
      <c r="AM5" s="197"/>
      <c r="AN5" s="197"/>
      <c r="AO5" s="197"/>
      <c r="AP5" s="197"/>
      <c r="AQ5" s="197"/>
      <c r="AR5" s="197"/>
      <c r="AS5" s="197"/>
      <c r="AT5" s="197"/>
      <c r="AU5" s="197"/>
      <c r="AV5" s="197"/>
    </row>
    <row r="6" spans="1:48" ht="21.95" customHeight="1">
      <c r="A6" s="8"/>
      <c r="B6" s="8"/>
      <c r="C6" s="8"/>
      <c r="D6" s="8"/>
      <c r="E6" s="8"/>
      <c r="F6" s="8"/>
      <c r="G6" s="8"/>
      <c r="H6" s="8"/>
      <c r="I6" s="8"/>
      <c r="J6" s="8"/>
      <c r="K6" s="8"/>
      <c r="L6" s="8"/>
      <c r="M6" s="8"/>
      <c r="N6" s="8"/>
      <c r="O6" s="11"/>
      <c r="P6" s="11"/>
      <c r="Q6" s="578"/>
      <c r="R6" s="1157" t="s">
        <v>943</v>
      </c>
      <c r="S6" s="578"/>
      <c r="T6" s="345"/>
      <c r="U6" s="345"/>
      <c r="V6" s="345"/>
      <c r="W6" s="345"/>
      <c r="X6" s="345"/>
      <c r="Y6" s="345"/>
      <c r="Z6" s="345"/>
      <c r="AA6" s="345"/>
      <c r="AB6" s="345"/>
      <c r="AC6" s="345"/>
      <c r="AD6" s="345"/>
      <c r="AE6" s="345"/>
      <c r="AF6" s="345"/>
      <c r="AG6" s="344"/>
      <c r="AH6" s="344"/>
      <c r="AI6" s="344"/>
      <c r="AJ6" s="344"/>
      <c r="AK6" s="344"/>
      <c r="AL6" s="197"/>
      <c r="AM6" s="197"/>
      <c r="AN6" s="197"/>
      <c r="AO6" s="197"/>
      <c r="AP6" s="197"/>
      <c r="AQ6" s="197"/>
      <c r="AR6" s="197"/>
      <c r="AS6" s="197"/>
      <c r="AT6" s="197"/>
      <c r="AU6" s="197"/>
      <c r="AV6" s="197"/>
    </row>
    <row r="7" spans="1:48" ht="21.95" customHeight="1">
      <c r="A7" s="8"/>
      <c r="B7" s="8"/>
      <c r="C7" s="8"/>
      <c r="D7" s="8"/>
      <c r="E7" s="8"/>
      <c r="F7" s="8"/>
      <c r="G7" s="8"/>
      <c r="H7" s="8"/>
      <c r="I7" s="8"/>
      <c r="J7" s="8"/>
      <c r="K7" s="8"/>
      <c r="L7" s="8"/>
      <c r="M7" s="8"/>
      <c r="N7" s="8"/>
      <c r="O7" s="11"/>
      <c r="P7" s="11"/>
      <c r="Q7" s="578"/>
      <c r="R7" s="1157" t="s">
        <v>874</v>
      </c>
      <c r="S7" s="578"/>
      <c r="T7" s="345"/>
      <c r="U7" s="345"/>
      <c r="V7" s="345"/>
      <c r="W7" s="345"/>
      <c r="X7" s="345"/>
      <c r="Y7" s="345"/>
      <c r="Z7" s="345"/>
      <c r="AA7" s="345"/>
      <c r="AB7" s="345"/>
      <c r="AC7" s="345"/>
      <c r="AD7" s="345"/>
      <c r="AE7" s="345"/>
      <c r="AF7" s="345"/>
      <c r="AG7" s="345"/>
      <c r="AH7" s="344"/>
      <c r="AI7" s="344"/>
      <c r="AJ7" s="344"/>
      <c r="AK7" s="344"/>
      <c r="AL7" s="197"/>
      <c r="AM7" s="197"/>
      <c r="AN7" s="197"/>
      <c r="AO7" s="197"/>
      <c r="AP7" s="197"/>
      <c r="AQ7" s="197"/>
      <c r="AR7" s="197"/>
      <c r="AS7" s="197"/>
      <c r="AT7" s="197"/>
      <c r="AU7" s="197"/>
      <c r="AV7" s="197"/>
    </row>
    <row r="8" spans="1:48" s="12" customFormat="1" ht="21.95" customHeight="1">
      <c r="A8" s="8"/>
      <c r="B8" s="8"/>
      <c r="C8" s="8"/>
      <c r="D8" s="8"/>
      <c r="E8" s="8"/>
      <c r="F8" s="8"/>
      <c r="G8" s="8"/>
      <c r="H8" s="8"/>
      <c r="I8" s="8"/>
      <c r="J8" s="8"/>
      <c r="K8" s="8"/>
      <c r="L8" s="8"/>
      <c r="M8" s="8"/>
      <c r="N8" s="8"/>
      <c r="O8" s="11"/>
      <c r="P8" s="11"/>
      <c r="Q8" s="578"/>
      <c r="R8" s="1158" t="s">
        <v>944</v>
      </c>
      <c r="S8" s="578"/>
      <c r="T8" s="345"/>
      <c r="U8" s="345"/>
      <c r="V8" s="345"/>
      <c r="W8" s="345"/>
      <c r="X8" s="345"/>
      <c r="Y8" s="345"/>
      <c r="Z8" s="345"/>
      <c r="AA8" s="345"/>
      <c r="AB8" s="345"/>
      <c r="AC8" s="345"/>
      <c r="AD8" s="345"/>
      <c r="AE8" s="345"/>
      <c r="AF8" s="345"/>
      <c r="AG8" s="345"/>
      <c r="AH8" s="344"/>
      <c r="AI8" s="344"/>
      <c r="AJ8" s="344"/>
      <c r="AK8" s="344"/>
      <c r="AL8" s="197"/>
      <c r="AM8" s="197"/>
      <c r="AN8" s="197"/>
      <c r="AO8" s="197"/>
      <c r="AP8" s="197"/>
      <c r="AQ8" s="197"/>
      <c r="AR8" s="197"/>
      <c r="AS8" s="197"/>
      <c r="AT8" s="197"/>
      <c r="AU8" s="197"/>
      <c r="AV8" s="197"/>
    </row>
    <row r="9" spans="1:48" s="12" customFormat="1" ht="21.95" customHeight="1">
      <c r="A9" s="8"/>
      <c r="B9" s="8"/>
      <c r="C9" s="8"/>
      <c r="D9" s="8"/>
      <c r="E9" s="8"/>
      <c r="F9" s="8"/>
      <c r="G9" s="8"/>
      <c r="H9" s="8"/>
      <c r="I9" s="8"/>
      <c r="J9" s="8"/>
      <c r="K9" s="8"/>
      <c r="L9" s="8"/>
      <c r="M9" s="8"/>
      <c r="N9" s="8"/>
      <c r="O9" s="11"/>
      <c r="P9" s="11"/>
      <c r="Q9" s="578"/>
      <c r="R9" s="1158" t="s">
        <v>945</v>
      </c>
      <c r="S9" s="578"/>
      <c r="T9" s="345"/>
      <c r="U9" s="345"/>
      <c r="V9" s="345"/>
      <c r="W9" s="345"/>
      <c r="X9" s="345"/>
      <c r="Y9" s="345"/>
      <c r="Z9" s="345"/>
      <c r="AA9" s="345"/>
      <c r="AB9" s="345"/>
      <c r="AC9" s="345"/>
      <c r="AD9" s="345"/>
      <c r="AE9" s="345"/>
      <c r="AF9" s="345"/>
      <c r="AG9" s="345"/>
      <c r="AH9" s="344"/>
      <c r="AI9" s="344"/>
      <c r="AJ9" s="344"/>
      <c r="AK9" s="344"/>
      <c r="AL9" s="197"/>
      <c r="AM9" s="197"/>
      <c r="AN9" s="197"/>
      <c r="AO9" s="197"/>
      <c r="AP9" s="197"/>
      <c r="AQ9" s="197"/>
      <c r="AR9" s="197"/>
      <c r="AS9" s="197"/>
      <c r="AT9" s="197"/>
      <c r="AU9" s="197"/>
      <c r="AV9" s="197"/>
    </row>
    <row r="10" spans="1:48" s="12" customFormat="1" ht="21.95" customHeight="1">
      <c r="A10" s="8"/>
      <c r="B10" s="8"/>
      <c r="C10" s="8"/>
      <c r="D10" s="8"/>
      <c r="E10" s="8"/>
      <c r="F10" s="8"/>
      <c r="G10" s="8"/>
      <c r="H10" s="8"/>
      <c r="I10" s="8"/>
      <c r="J10" s="8"/>
      <c r="K10" s="8"/>
      <c r="L10" s="8"/>
      <c r="M10" s="8"/>
      <c r="N10" s="8"/>
      <c r="O10" s="11"/>
      <c r="P10" s="11"/>
      <c r="Q10" s="578"/>
      <c r="R10" s="1157" t="s">
        <v>946</v>
      </c>
      <c r="S10" s="578"/>
      <c r="T10" s="345"/>
      <c r="U10" s="345"/>
      <c r="V10" s="345"/>
      <c r="W10" s="345"/>
      <c r="X10" s="345"/>
      <c r="Y10" s="345"/>
      <c r="Z10" s="345"/>
      <c r="AA10" s="345"/>
      <c r="AB10" s="345"/>
      <c r="AC10" s="345"/>
      <c r="AD10" s="345"/>
      <c r="AE10" s="345"/>
      <c r="AF10" s="345"/>
      <c r="AG10" s="345"/>
      <c r="AH10" s="344"/>
      <c r="AI10" s="344"/>
      <c r="AJ10" s="344"/>
      <c r="AK10" s="344"/>
      <c r="AL10" s="197"/>
      <c r="AM10" s="197"/>
      <c r="AN10" s="197"/>
      <c r="AO10" s="197"/>
      <c r="AP10" s="197"/>
      <c r="AQ10" s="197"/>
      <c r="AR10" s="197"/>
      <c r="AS10" s="197"/>
      <c r="AT10" s="197"/>
      <c r="AU10" s="197"/>
      <c r="AV10" s="197"/>
    </row>
    <row r="11" spans="1:48" s="12" customFormat="1" ht="21.95" customHeight="1">
      <c r="A11" s="8"/>
      <c r="B11" s="8"/>
      <c r="C11" s="8"/>
      <c r="D11" s="8"/>
      <c r="E11" s="8"/>
      <c r="F11" s="8"/>
      <c r="G11" s="8"/>
      <c r="H11" s="8"/>
      <c r="I11" s="8"/>
      <c r="J11" s="8"/>
      <c r="K11" s="8"/>
      <c r="L11" s="8"/>
      <c r="M11" s="8"/>
      <c r="N11" s="8"/>
      <c r="O11" s="11"/>
      <c r="P11" s="11"/>
      <c r="Q11" s="578"/>
      <c r="R11" s="1157" t="s">
        <v>1118</v>
      </c>
      <c r="S11" s="578"/>
      <c r="T11" s="345"/>
      <c r="U11" s="345"/>
      <c r="V11" s="345"/>
      <c r="W11" s="345"/>
      <c r="X11" s="345"/>
      <c r="Y11" s="345"/>
      <c r="Z11" s="345"/>
      <c r="AA11" s="345"/>
      <c r="AB11" s="345"/>
      <c r="AC11" s="345"/>
      <c r="AD11" s="345"/>
      <c r="AE11" s="345"/>
      <c r="AF11" s="345"/>
      <c r="AG11" s="345"/>
      <c r="AH11" s="344"/>
      <c r="AI11" s="344"/>
      <c r="AJ11" s="344"/>
      <c r="AK11" s="344"/>
      <c r="AL11" s="197"/>
      <c r="AM11" s="197"/>
      <c r="AN11" s="197"/>
      <c r="AO11" s="197"/>
      <c r="AP11" s="197"/>
      <c r="AQ11" s="197"/>
      <c r="AR11" s="197"/>
      <c r="AS11" s="197"/>
      <c r="AT11" s="197"/>
      <c r="AU11" s="197"/>
      <c r="AV11" s="197"/>
    </row>
    <row r="12" spans="1:48" s="12" customFormat="1" ht="21.95" customHeight="1">
      <c r="A12" s="8"/>
      <c r="B12" s="8"/>
      <c r="C12" s="8"/>
      <c r="D12" s="8"/>
      <c r="E12" s="8"/>
      <c r="F12" s="8"/>
      <c r="G12" s="8"/>
      <c r="H12" s="8"/>
      <c r="I12" s="8"/>
      <c r="J12" s="8"/>
      <c r="K12" s="8"/>
      <c r="L12" s="8"/>
      <c r="M12" s="8"/>
      <c r="N12" s="8"/>
      <c r="O12" s="11"/>
      <c r="P12" s="11"/>
      <c r="Q12" s="558"/>
      <c r="R12" s="558"/>
      <c r="S12" s="558"/>
      <c r="T12" s="346"/>
      <c r="U12" s="346"/>
      <c r="V12" s="346"/>
      <c r="W12" s="346"/>
      <c r="X12" s="346"/>
      <c r="Y12" s="346"/>
      <c r="Z12" s="346"/>
      <c r="AA12" s="346"/>
      <c r="AB12" s="346"/>
      <c r="AC12" s="346"/>
      <c r="AD12" s="346"/>
      <c r="AE12" s="346"/>
      <c r="AF12" s="346"/>
      <c r="AG12" s="346"/>
      <c r="AH12" s="346"/>
      <c r="AI12" s="346"/>
      <c r="AJ12" s="346"/>
      <c r="AK12" s="346"/>
      <c r="AL12" s="346"/>
      <c r="AM12" s="346"/>
      <c r="AN12" s="346"/>
      <c r="AO12" s="346"/>
      <c r="AP12" s="346"/>
      <c r="AQ12" s="346"/>
      <c r="AR12" s="346"/>
      <c r="AS12" s="346"/>
      <c r="AT12" s="346"/>
      <c r="AU12" s="346"/>
      <c r="AV12" s="346"/>
    </row>
    <row r="13" spans="1:48" s="12" customFormat="1" ht="21.95" customHeight="1">
      <c r="A13" s="8"/>
      <c r="B13" s="8"/>
      <c r="C13" s="8"/>
      <c r="D13" s="8"/>
      <c r="E13" s="8"/>
      <c r="F13" s="8"/>
      <c r="G13" s="8"/>
      <c r="H13" s="8"/>
      <c r="I13" s="8"/>
      <c r="J13" s="8"/>
      <c r="K13" s="8"/>
      <c r="L13" s="8"/>
      <c r="M13" s="8"/>
      <c r="N13" s="8"/>
      <c r="O13" s="11"/>
      <c r="P13" s="11"/>
      <c r="Q13" s="558"/>
      <c r="R13" s="1155" t="s">
        <v>1139</v>
      </c>
      <c r="S13" s="558"/>
      <c r="T13" s="346"/>
      <c r="U13" s="346"/>
      <c r="V13" s="346"/>
      <c r="W13" s="346"/>
      <c r="X13" s="346"/>
      <c r="Y13" s="346"/>
      <c r="Z13" s="346"/>
      <c r="AA13" s="346"/>
      <c r="AB13" s="346"/>
      <c r="AC13" s="346"/>
      <c r="AD13" s="346"/>
      <c r="AE13" s="346"/>
      <c r="AF13" s="346"/>
      <c r="AG13" s="346"/>
      <c r="AH13" s="346"/>
      <c r="AI13" s="346"/>
      <c r="AJ13" s="346"/>
      <c r="AK13" s="346"/>
      <c r="AL13" s="346"/>
      <c r="AM13" s="346"/>
      <c r="AN13" s="346"/>
      <c r="AO13" s="346"/>
      <c r="AP13" s="346"/>
      <c r="AQ13" s="346"/>
      <c r="AR13" s="346"/>
      <c r="AS13" s="346"/>
      <c r="AT13" s="346"/>
      <c r="AU13" s="346"/>
      <c r="AV13" s="346"/>
    </row>
    <row r="14" spans="1:48" s="12" customFormat="1" ht="21.75" customHeight="1">
      <c r="A14" s="8"/>
      <c r="B14" s="8"/>
      <c r="C14" s="8"/>
      <c r="D14" s="8"/>
      <c r="E14" s="8"/>
      <c r="F14" s="8"/>
      <c r="G14" s="8"/>
      <c r="H14" s="8"/>
      <c r="I14" s="8"/>
      <c r="J14" s="8"/>
      <c r="K14" s="8"/>
      <c r="L14" s="8"/>
      <c r="M14" s="8"/>
      <c r="N14" s="8"/>
      <c r="O14" s="11"/>
      <c r="P14" s="11"/>
      <c r="Q14" s="558"/>
      <c r="R14" s="1155" t="s">
        <v>923</v>
      </c>
      <c r="S14" s="558"/>
      <c r="T14" s="346"/>
      <c r="U14" s="346"/>
      <c r="V14" s="346"/>
      <c r="W14" s="346"/>
      <c r="X14" s="346"/>
      <c r="Y14" s="346"/>
      <c r="Z14" s="346"/>
      <c r="AA14" s="346"/>
      <c r="AB14" s="346"/>
      <c r="AC14" s="346"/>
      <c r="AD14" s="346"/>
      <c r="AE14" s="346"/>
      <c r="AF14" s="346"/>
      <c r="AG14" s="346"/>
      <c r="AH14" s="346"/>
      <c r="AI14" s="346"/>
      <c r="AJ14" s="346"/>
      <c r="AK14" s="346"/>
      <c r="AL14" s="346"/>
      <c r="AM14" s="346"/>
      <c r="AN14" s="346"/>
      <c r="AO14" s="346"/>
      <c r="AP14" s="346"/>
      <c r="AQ14" s="346"/>
      <c r="AR14" s="346"/>
      <c r="AS14" s="346"/>
      <c r="AT14" s="346"/>
      <c r="AU14" s="346"/>
      <c r="AV14" s="346"/>
    </row>
    <row r="15" spans="1:48" s="12" customFormat="1" ht="21.95" customHeight="1">
      <c r="A15" s="8"/>
      <c r="B15" s="8"/>
      <c r="C15" s="8"/>
      <c r="D15" s="8"/>
      <c r="E15" s="8"/>
      <c r="F15" s="8"/>
      <c r="G15" s="8"/>
      <c r="H15" s="8"/>
      <c r="I15" s="8"/>
      <c r="J15" s="8"/>
      <c r="K15" s="8"/>
      <c r="L15" s="8"/>
      <c r="M15" s="8"/>
      <c r="N15" s="8"/>
      <c r="O15" s="11"/>
      <c r="P15" s="11"/>
      <c r="Q15" s="558"/>
      <c r="R15" s="1155" t="s">
        <v>875</v>
      </c>
      <c r="S15" s="558"/>
      <c r="T15" s="346"/>
      <c r="U15" s="346"/>
      <c r="V15" s="346"/>
      <c r="W15" s="558"/>
      <c r="X15" s="346"/>
      <c r="Y15" s="346"/>
      <c r="Z15" s="346"/>
      <c r="AA15" s="346"/>
      <c r="AB15" s="346"/>
      <c r="AC15" s="346"/>
      <c r="AD15" s="346"/>
      <c r="AE15" s="346"/>
      <c r="AF15" s="346"/>
      <c r="AG15" s="346"/>
      <c r="AH15" s="346"/>
      <c r="AI15" s="346"/>
      <c r="AJ15" s="346"/>
      <c r="AK15" s="346"/>
      <c r="AL15" s="346"/>
      <c r="AM15" s="346"/>
      <c r="AN15" s="346"/>
      <c r="AO15" s="346"/>
      <c r="AP15" s="346"/>
      <c r="AQ15" s="346"/>
      <c r="AR15" s="346"/>
      <c r="AS15" s="346"/>
      <c r="AT15" s="346"/>
      <c r="AU15" s="346"/>
      <c r="AV15" s="346"/>
    </row>
    <row r="16" spans="1:48" s="12" customFormat="1" ht="21.95" customHeight="1">
      <c r="A16" s="8"/>
      <c r="B16" s="8"/>
      <c r="C16" s="8"/>
      <c r="D16" s="8"/>
      <c r="E16" s="8"/>
      <c r="F16" s="8"/>
      <c r="G16" s="8"/>
      <c r="H16" s="8"/>
      <c r="I16" s="8"/>
      <c r="J16" s="8"/>
      <c r="K16" s="8"/>
      <c r="L16" s="8"/>
      <c r="M16" s="8"/>
      <c r="N16" s="8"/>
      <c r="O16" s="11"/>
      <c r="P16" s="11"/>
      <c r="Q16" s="558"/>
      <c r="R16" s="1155" t="s">
        <v>832</v>
      </c>
      <c r="S16" s="346"/>
      <c r="T16" s="346"/>
      <c r="U16" s="346"/>
      <c r="V16" s="346"/>
      <c r="W16" s="346"/>
      <c r="X16" s="346"/>
      <c r="Y16" s="346"/>
      <c r="Z16" s="346"/>
      <c r="AA16" s="346"/>
      <c r="AB16" s="346"/>
      <c r="AC16" s="346"/>
      <c r="AD16" s="346"/>
      <c r="AE16" s="346"/>
      <c r="AF16" s="346"/>
      <c r="AG16" s="346"/>
      <c r="AH16" s="346"/>
      <c r="AI16" s="346"/>
      <c r="AJ16" s="346"/>
      <c r="AK16" s="346"/>
      <c r="AL16" s="346"/>
      <c r="AM16" s="1149" t="s">
        <v>1072</v>
      </c>
      <c r="AN16" s="1149"/>
      <c r="AO16" s="346"/>
      <c r="AP16" s="346"/>
      <c r="AQ16" s="346"/>
      <c r="AR16" s="346"/>
      <c r="AS16" s="346"/>
      <c r="AT16" s="346"/>
      <c r="AU16" s="346"/>
      <c r="AV16" s="346"/>
    </row>
    <row r="17" spans="1:48" s="13" customFormat="1" ht="21.95" customHeight="1">
      <c r="A17" s="8"/>
      <c r="B17" s="8"/>
      <c r="C17" s="8"/>
      <c r="D17" s="8"/>
      <c r="E17" s="8"/>
      <c r="F17" s="8"/>
      <c r="G17" s="8"/>
      <c r="H17" s="8"/>
      <c r="I17" s="8"/>
      <c r="J17" s="8"/>
      <c r="K17" s="8"/>
      <c r="L17" s="8"/>
      <c r="M17" s="8"/>
      <c r="N17" s="8"/>
      <c r="O17" s="11"/>
      <c r="P17" s="11"/>
      <c r="Q17" s="558"/>
      <c r="R17" s="1155" t="s">
        <v>876</v>
      </c>
      <c r="S17" s="558"/>
      <c r="T17" s="346"/>
      <c r="U17" s="346"/>
      <c r="V17" s="346"/>
      <c r="W17" s="346"/>
      <c r="X17" s="346"/>
      <c r="Y17" s="346"/>
      <c r="Z17" s="346"/>
      <c r="AA17" s="346"/>
      <c r="AB17" s="346"/>
      <c r="AC17" s="346"/>
      <c r="AD17" s="346"/>
      <c r="AE17" s="346"/>
      <c r="AF17" s="346"/>
      <c r="AG17" s="346"/>
      <c r="AH17" s="346"/>
      <c r="AI17" s="346"/>
      <c r="AJ17" s="346"/>
      <c r="AK17" s="346"/>
      <c r="AL17" s="346"/>
      <c r="AM17" s="558" t="s">
        <v>1077</v>
      </c>
      <c r="AN17" s="558"/>
      <c r="AO17" s="346"/>
      <c r="AP17" s="346"/>
      <c r="AQ17" s="346"/>
      <c r="AR17" s="346"/>
      <c r="AS17" s="346"/>
      <c r="AT17" s="346"/>
      <c r="AU17" s="346"/>
      <c r="AV17" s="346"/>
    </row>
    <row r="18" spans="1:48" s="13" customFormat="1" ht="21.95" customHeight="1">
      <c r="A18" s="8"/>
      <c r="B18" s="8"/>
      <c r="C18" s="8"/>
      <c r="D18" s="8"/>
      <c r="E18" s="8"/>
      <c r="F18" s="8"/>
      <c r="G18" s="8"/>
      <c r="H18" s="8"/>
      <c r="I18" s="8"/>
      <c r="J18" s="8"/>
      <c r="K18" s="8"/>
      <c r="L18" s="8"/>
      <c r="M18" s="8"/>
      <c r="N18" s="8"/>
      <c r="O18" s="11"/>
      <c r="P18" s="11"/>
      <c r="Q18" s="579"/>
      <c r="R18" s="195"/>
      <c r="S18" s="195"/>
      <c r="T18" s="347"/>
      <c r="U18" s="347"/>
      <c r="V18" s="347"/>
      <c r="W18" s="347"/>
      <c r="X18" s="347"/>
      <c r="Y18" s="347"/>
      <c r="Z18" s="347"/>
      <c r="AA18" s="347"/>
      <c r="AB18" s="347"/>
      <c r="AC18" s="347"/>
      <c r="AD18" s="347"/>
      <c r="AE18" s="347"/>
      <c r="AF18" s="347"/>
      <c r="AG18" s="347"/>
      <c r="AH18" s="347"/>
      <c r="AI18" s="347"/>
      <c r="AJ18" s="347"/>
      <c r="AK18" s="347"/>
      <c r="AL18" s="346"/>
      <c r="AM18" s="558" t="s">
        <v>1075</v>
      </c>
      <c r="AN18" s="558"/>
      <c r="AO18" s="346"/>
      <c r="AP18" s="346"/>
      <c r="AQ18" s="346"/>
      <c r="AR18" s="346"/>
      <c r="AS18" s="346"/>
      <c r="AT18" s="346"/>
      <c r="AU18" s="346"/>
      <c r="AV18" s="346"/>
    </row>
    <row r="19" spans="1:48" s="13" customFormat="1" ht="21.95" customHeight="1">
      <c r="A19"/>
      <c r="B19"/>
      <c r="C19"/>
      <c r="D19"/>
      <c r="E19"/>
      <c r="F19"/>
      <c r="G19"/>
      <c r="H19"/>
      <c r="I19"/>
      <c r="J19"/>
      <c r="K19"/>
      <c r="L19"/>
      <c r="M19"/>
      <c r="N19"/>
      <c r="O19" s="11"/>
      <c r="P19" s="11"/>
      <c r="Q19" s="579"/>
      <c r="R19" s="195" t="s">
        <v>948</v>
      </c>
      <c r="S19" s="195"/>
      <c r="T19" s="347"/>
      <c r="U19" s="347"/>
      <c r="V19" s="347"/>
      <c r="W19" s="347"/>
      <c r="X19" s="347"/>
      <c r="Y19" s="347"/>
      <c r="Z19" s="347"/>
      <c r="AA19" s="347"/>
      <c r="AB19" s="347"/>
      <c r="AC19" s="347"/>
      <c r="AD19" s="347"/>
      <c r="AE19" s="347"/>
      <c r="AF19" s="347"/>
      <c r="AG19" s="347"/>
      <c r="AH19" s="347"/>
      <c r="AI19" s="347"/>
      <c r="AJ19" s="347"/>
      <c r="AK19" s="347"/>
      <c r="AL19" s="346"/>
      <c r="AM19" s="558" t="s">
        <v>1076</v>
      </c>
      <c r="AN19" s="558"/>
      <c r="AO19" s="346"/>
      <c r="AP19" s="346"/>
      <c r="AQ19" s="346"/>
      <c r="AR19" s="346"/>
      <c r="AS19" s="346"/>
      <c r="AT19" s="346"/>
      <c r="AU19" s="346"/>
      <c r="AV19" s="346"/>
    </row>
    <row r="20" spans="1:48" s="13" customFormat="1" ht="21.95" customHeight="1">
      <c r="A20"/>
      <c r="B20"/>
      <c r="C20"/>
      <c r="D20"/>
      <c r="E20"/>
      <c r="F20"/>
      <c r="G20"/>
      <c r="H20"/>
      <c r="I20"/>
      <c r="J20"/>
      <c r="K20"/>
      <c r="L20"/>
      <c r="M20"/>
      <c r="N20"/>
      <c r="O20" s="11"/>
      <c r="P20" s="11"/>
      <c r="Q20" s="195"/>
      <c r="R20" s="195" t="s">
        <v>947</v>
      </c>
      <c r="S20" s="195"/>
      <c r="T20" s="347"/>
      <c r="U20" s="347"/>
      <c r="V20" s="347"/>
      <c r="W20" s="347"/>
      <c r="X20" s="347"/>
      <c r="Y20" s="347"/>
      <c r="Z20" s="347"/>
      <c r="AA20" s="347"/>
      <c r="AB20" s="347"/>
      <c r="AC20" s="347"/>
      <c r="AD20" s="347"/>
      <c r="AE20" s="347"/>
      <c r="AF20" s="347"/>
      <c r="AG20" s="347"/>
      <c r="AH20" s="347"/>
      <c r="AI20" s="347"/>
      <c r="AJ20" s="347"/>
      <c r="AK20" s="347"/>
      <c r="AL20" s="346"/>
      <c r="AM20" s="558"/>
      <c r="AN20" s="346"/>
      <c r="AO20" s="346"/>
      <c r="AP20" s="346"/>
      <c r="AQ20" s="346"/>
      <c r="AR20" s="346"/>
      <c r="AS20" s="346"/>
      <c r="AT20" s="346"/>
      <c r="AU20" s="346"/>
      <c r="AV20" s="346"/>
    </row>
    <row r="21" spans="1:48" s="13" customFormat="1" ht="21.95" customHeight="1">
      <c r="A21"/>
      <c r="B21"/>
      <c r="C21"/>
      <c r="D21"/>
      <c r="E21"/>
      <c r="F21"/>
      <c r="G21"/>
      <c r="H21"/>
      <c r="I21"/>
      <c r="J21"/>
      <c r="K21"/>
      <c r="L21"/>
      <c r="M21"/>
      <c r="N21"/>
      <c r="O21" s="11"/>
      <c r="P21" s="11"/>
      <c r="Q21" s="195"/>
      <c r="R21" s="195" t="s">
        <v>933</v>
      </c>
      <c r="S21" s="195"/>
      <c r="T21" s="347"/>
      <c r="U21" s="347"/>
      <c r="V21" s="347"/>
      <c r="W21" s="347"/>
      <c r="X21" s="347"/>
      <c r="Y21" s="347"/>
      <c r="Z21" s="347"/>
      <c r="AA21" s="347"/>
      <c r="AB21" s="347"/>
      <c r="AC21" s="347"/>
      <c r="AD21" s="347"/>
      <c r="AE21" s="347"/>
      <c r="AF21" s="347"/>
      <c r="AG21" s="347"/>
      <c r="AH21" s="347"/>
      <c r="AI21" s="347"/>
      <c r="AJ21" s="347"/>
      <c r="AK21" s="347"/>
      <c r="AL21" s="346"/>
      <c r="AM21" s="558" t="s">
        <v>1071</v>
      </c>
      <c r="AN21" s="558"/>
      <c r="AO21" s="346"/>
      <c r="AP21" s="346"/>
      <c r="AQ21" s="346"/>
      <c r="AR21" s="346"/>
      <c r="AS21" s="346"/>
      <c r="AT21" s="346"/>
      <c r="AU21" s="346"/>
      <c r="AV21" s="346"/>
    </row>
    <row r="22" spans="1:48" s="13" customFormat="1" ht="21.95" customHeight="1">
      <c r="A22"/>
      <c r="B22"/>
      <c r="C22"/>
      <c r="D22"/>
      <c r="E22"/>
      <c r="F22"/>
      <c r="G22"/>
      <c r="H22"/>
      <c r="I22"/>
      <c r="J22"/>
      <c r="K22"/>
      <c r="L22"/>
      <c r="M22"/>
      <c r="N22"/>
      <c r="O22" s="11"/>
      <c r="P22" s="11"/>
      <c r="Q22" s="195"/>
      <c r="R22" s="195" t="s">
        <v>990</v>
      </c>
      <c r="S22" s="195"/>
      <c r="T22" s="347"/>
      <c r="U22" s="347"/>
      <c r="V22" s="347"/>
      <c r="W22" s="347"/>
      <c r="X22" s="347"/>
      <c r="Y22" s="347"/>
      <c r="Z22" s="347"/>
      <c r="AA22" s="347"/>
      <c r="AB22" s="347"/>
      <c r="AC22" s="1034" t="s">
        <v>989</v>
      </c>
      <c r="AD22" s="348" t="s">
        <v>314</v>
      </c>
      <c r="AE22" s="347"/>
      <c r="AF22" s="347"/>
      <c r="AG22" s="347"/>
      <c r="AH22" s="347"/>
      <c r="AI22" s="347"/>
      <c r="AJ22" s="347"/>
      <c r="AK22" s="347"/>
      <c r="AL22" s="346"/>
      <c r="AM22" s="558" t="s">
        <v>1073</v>
      </c>
      <c r="AN22" s="558"/>
      <c r="AO22" s="346"/>
      <c r="AP22" s="346"/>
      <c r="AQ22" s="346"/>
      <c r="AR22" s="346"/>
      <c r="AS22" s="346"/>
      <c r="AT22" s="346"/>
      <c r="AU22" s="346"/>
      <c r="AV22" s="346"/>
    </row>
    <row r="23" spans="1:48" s="13" customFormat="1" ht="21.95" customHeight="1">
      <c r="A23"/>
      <c r="B23"/>
      <c r="C23"/>
      <c r="D23"/>
      <c r="E23"/>
      <c r="F23"/>
      <c r="G23"/>
      <c r="H23"/>
      <c r="I23"/>
      <c r="J23"/>
      <c r="K23"/>
      <c r="L23"/>
      <c r="M23"/>
      <c r="N23"/>
      <c r="O23" s="11"/>
      <c r="P23" s="11"/>
      <c r="Q23" s="169"/>
      <c r="R23" s="169"/>
      <c r="S23" s="169"/>
      <c r="T23" s="169"/>
      <c r="U23" s="169"/>
      <c r="V23" s="169"/>
      <c r="W23" s="169"/>
      <c r="X23" s="195"/>
      <c r="Y23" s="169"/>
      <c r="Z23" s="169"/>
      <c r="AA23" s="169"/>
      <c r="AB23" s="169"/>
      <c r="AC23" s="169"/>
      <c r="AD23" s="195"/>
      <c r="AE23" s="169"/>
      <c r="AF23" s="169"/>
      <c r="AG23" s="169"/>
      <c r="AH23" s="347"/>
      <c r="AI23" s="347"/>
      <c r="AJ23" s="347"/>
      <c r="AK23" s="347"/>
      <c r="AL23" s="346"/>
      <c r="AM23" s="558" t="s">
        <v>1078</v>
      </c>
      <c r="AN23" s="558"/>
      <c r="AO23" s="346"/>
      <c r="AP23" s="346"/>
      <c r="AQ23" s="346"/>
      <c r="AR23" s="346"/>
      <c r="AS23" s="346"/>
      <c r="AT23" s="346"/>
      <c r="AU23" s="346"/>
      <c r="AV23" s="346"/>
    </row>
    <row r="24" spans="1:48" s="13" customFormat="1" ht="21.95" customHeight="1">
      <c r="A24" s="11"/>
      <c r="B24" s="11"/>
      <c r="C24" s="11"/>
      <c r="D24" s="11"/>
      <c r="E24" s="11"/>
      <c r="F24" s="11"/>
      <c r="G24" s="11"/>
      <c r="H24" s="11"/>
      <c r="I24" s="11"/>
      <c r="J24" s="11"/>
      <c r="K24" s="11"/>
      <c r="L24" s="11"/>
      <c r="M24" s="11"/>
      <c r="N24" s="11"/>
      <c r="O24" s="11"/>
      <c r="P24" s="11"/>
      <c r="Q24" s="196"/>
      <c r="R24" s="580"/>
      <c r="S24" s="196"/>
      <c r="T24" s="196"/>
      <c r="U24" s="196"/>
      <c r="V24" s="196"/>
      <c r="W24" s="196"/>
      <c r="X24" s="196"/>
      <c r="Y24" s="196"/>
      <c r="Z24" s="196"/>
      <c r="AA24" s="196"/>
      <c r="AB24" s="196"/>
      <c r="AC24" s="196"/>
      <c r="AD24" s="196"/>
      <c r="AE24" s="196"/>
      <c r="AF24" s="196"/>
      <c r="AG24" s="196"/>
      <c r="AH24" s="349"/>
      <c r="AI24" s="349"/>
      <c r="AJ24" s="349"/>
      <c r="AK24" s="349"/>
      <c r="AL24" s="346"/>
      <c r="AM24" s="558" t="s">
        <v>1079</v>
      </c>
      <c r="AN24" s="558"/>
      <c r="AO24" s="346"/>
      <c r="AP24" s="346"/>
      <c r="AQ24" s="346"/>
      <c r="AR24" s="346"/>
      <c r="AS24" s="346"/>
      <c r="AT24" s="346"/>
      <c r="AU24" s="346"/>
      <c r="AV24" s="346"/>
    </row>
    <row r="25" spans="1:48" s="13" customFormat="1" ht="21.95" customHeight="1">
      <c r="A25" s="11"/>
      <c r="B25" s="11"/>
      <c r="C25" s="11"/>
      <c r="D25" s="11"/>
      <c r="E25" s="11"/>
      <c r="F25" s="11"/>
      <c r="G25" s="11"/>
      <c r="H25" s="11"/>
      <c r="I25" s="11"/>
      <c r="J25" s="11"/>
      <c r="K25" s="11"/>
      <c r="L25" s="11"/>
      <c r="M25" s="11"/>
      <c r="N25" s="11"/>
      <c r="O25" s="11"/>
      <c r="P25" s="11"/>
      <c r="Q25" s="196"/>
      <c r="R25" s="1154" t="s">
        <v>952</v>
      </c>
      <c r="S25" s="196"/>
      <c r="T25" s="196"/>
      <c r="U25" s="196"/>
      <c r="V25" s="196"/>
      <c r="W25" s="196"/>
      <c r="X25" s="196"/>
      <c r="Y25" s="196"/>
      <c r="Z25" s="196"/>
      <c r="AA25" s="196"/>
      <c r="AB25" s="196"/>
      <c r="AC25" s="196"/>
      <c r="AD25" s="196"/>
      <c r="AE25" s="196"/>
      <c r="AF25" s="196"/>
      <c r="AG25" s="196"/>
      <c r="AH25" s="349"/>
      <c r="AI25" s="349"/>
      <c r="AJ25" s="349"/>
      <c r="AK25" s="349"/>
      <c r="AL25" s="346"/>
      <c r="AM25" s="558" t="s">
        <v>1119</v>
      </c>
      <c r="AN25" s="558"/>
      <c r="AO25" s="346"/>
      <c r="AP25" s="346"/>
      <c r="AQ25" s="346"/>
      <c r="AR25" s="346"/>
      <c r="AS25" s="346"/>
      <c r="AT25" s="346"/>
      <c r="AU25" s="346"/>
      <c r="AV25" s="346"/>
    </row>
    <row r="26" spans="1:48" s="13" customFormat="1" ht="21.95" customHeight="1">
      <c r="A26" s="11"/>
      <c r="B26" s="11"/>
      <c r="C26" s="11"/>
      <c r="D26" s="11"/>
      <c r="E26" s="11"/>
      <c r="F26" s="11"/>
      <c r="G26" s="11"/>
      <c r="H26" s="11"/>
      <c r="I26" s="11"/>
      <c r="J26" s="11"/>
      <c r="K26" s="11"/>
      <c r="L26" s="11"/>
      <c r="M26" s="11"/>
      <c r="N26" s="11"/>
      <c r="O26" s="11"/>
      <c r="P26" s="11"/>
      <c r="Q26" s="196"/>
      <c r="R26" s="1154" t="s">
        <v>951</v>
      </c>
      <c r="S26" s="196"/>
      <c r="T26" s="196"/>
      <c r="U26" s="196"/>
      <c r="V26" s="196"/>
      <c r="W26" s="196"/>
      <c r="X26" s="196"/>
      <c r="Y26" s="196"/>
      <c r="Z26" s="196"/>
      <c r="AA26" s="196"/>
      <c r="AB26" s="196"/>
      <c r="AC26" s="196"/>
      <c r="AD26" s="196"/>
      <c r="AE26" s="196"/>
      <c r="AF26" s="196"/>
      <c r="AG26" s="196"/>
      <c r="AH26" s="349"/>
      <c r="AI26" s="349"/>
      <c r="AJ26" s="349"/>
      <c r="AK26" s="349"/>
      <c r="AL26" s="346"/>
      <c r="AM26" s="558" t="s">
        <v>1120</v>
      </c>
      <c r="AN26" s="558"/>
      <c r="AO26" s="346"/>
      <c r="AP26" s="346"/>
      <c r="AQ26" s="346"/>
      <c r="AR26" s="346"/>
      <c r="AS26" s="346"/>
      <c r="AT26" s="346"/>
      <c r="AU26" s="346"/>
      <c r="AV26" s="346"/>
    </row>
    <row r="27" spans="1:48" s="13" customFormat="1" ht="21.95" customHeight="1">
      <c r="A27" s="11"/>
      <c r="B27" s="11"/>
      <c r="C27" s="11"/>
      <c r="D27" s="11"/>
      <c r="E27" s="11"/>
      <c r="F27" s="11"/>
      <c r="G27" s="11"/>
      <c r="H27" s="11"/>
      <c r="I27" s="11"/>
      <c r="J27" s="11"/>
      <c r="K27" s="11"/>
      <c r="L27" s="11"/>
      <c r="M27" s="11"/>
      <c r="N27" s="11"/>
      <c r="O27" s="11"/>
      <c r="P27" s="11"/>
      <c r="Q27" s="196"/>
      <c r="R27" s="1154" t="s">
        <v>877</v>
      </c>
      <c r="S27" s="196"/>
      <c r="T27" s="196"/>
      <c r="U27" s="196"/>
      <c r="V27" s="196"/>
      <c r="W27" s="196"/>
      <c r="X27" s="196"/>
      <c r="Y27" s="196"/>
      <c r="Z27" s="196"/>
      <c r="AA27" s="196"/>
      <c r="AB27" s="196"/>
      <c r="AC27" s="196"/>
      <c r="AD27" s="196"/>
      <c r="AE27" s="196"/>
      <c r="AF27" s="196"/>
      <c r="AG27" s="196"/>
      <c r="AH27" s="349"/>
      <c r="AI27" s="349"/>
      <c r="AJ27" s="349"/>
      <c r="AK27" s="349"/>
      <c r="AL27" s="346"/>
      <c r="AM27" s="558" t="s">
        <v>1086</v>
      </c>
      <c r="AN27" s="558"/>
      <c r="AO27" s="346"/>
      <c r="AP27" s="346"/>
      <c r="AQ27" s="346"/>
      <c r="AR27" s="346"/>
      <c r="AS27" s="346"/>
      <c r="AT27" s="346"/>
      <c r="AU27" s="346"/>
      <c r="AV27" s="346"/>
    </row>
    <row r="28" spans="1:48" s="13" customFormat="1" ht="21.95" customHeight="1">
      <c r="A28" s="11"/>
      <c r="B28" s="11"/>
      <c r="C28" s="11"/>
      <c r="D28" s="11"/>
      <c r="E28" s="11"/>
      <c r="F28" s="11"/>
      <c r="G28" s="11"/>
      <c r="H28" s="11"/>
      <c r="I28" s="11"/>
      <c r="J28" s="11"/>
      <c r="K28" s="11"/>
      <c r="L28" s="11"/>
      <c r="M28" s="11"/>
      <c r="N28" s="11"/>
      <c r="O28" s="11"/>
      <c r="P28" s="11"/>
      <c r="Q28" s="196"/>
      <c r="R28" s="1154" t="s">
        <v>950</v>
      </c>
      <c r="S28" s="196"/>
      <c r="T28" s="196"/>
      <c r="U28" s="196"/>
      <c r="V28" s="196"/>
      <c r="W28" s="196"/>
      <c r="X28" s="196"/>
      <c r="Y28" s="196"/>
      <c r="Z28" s="196"/>
      <c r="AA28" s="196"/>
      <c r="AB28" s="196"/>
      <c r="AC28" s="196"/>
      <c r="AD28" s="196"/>
      <c r="AE28" s="196"/>
      <c r="AF28" s="196"/>
      <c r="AG28" s="196"/>
      <c r="AH28" s="349"/>
      <c r="AI28" s="349"/>
      <c r="AJ28" s="349"/>
      <c r="AK28" s="349"/>
      <c r="AL28" s="346"/>
      <c r="AM28" s="558" t="s">
        <v>1099</v>
      </c>
      <c r="AN28" s="558"/>
      <c r="AO28" s="346"/>
      <c r="AP28" s="346"/>
      <c r="AQ28" s="346"/>
      <c r="AR28" s="346"/>
      <c r="AS28" s="346"/>
      <c r="AT28" s="346"/>
      <c r="AU28" s="346"/>
      <c r="AV28" s="346"/>
    </row>
    <row r="29" spans="1:48" ht="21.95" customHeight="1">
      <c r="A29" s="11"/>
      <c r="B29" s="11"/>
      <c r="C29" s="11"/>
      <c r="D29" s="11"/>
      <c r="E29" s="11"/>
      <c r="F29" s="11"/>
      <c r="G29" s="11"/>
      <c r="H29" s="11"/>
      <c r="I29" s="11"/>
      <c r="J29" s="11"/>
      <c r="K29" s="11"/>
      <c r="L29" s="11"/>
      <c r="M29" s="11"/>
      <c r="N29" s="11"/>
      <c r="O29" s="11"/>
      <c r="P29" s="11"/>
      <c r="Q29" s="196"/>
      <c r="R29" s="1154" t="s">
        <v>636</v>
      </c>
      <c r="S29" s="196"/>
      <c r="T29" s="196"/>
      <c r="U29" s="196"/>
      <c r="V29" s="196"/>
      <c r="W29" s="196"/>
      <c r="X29" s="196"/>
      <c r="Y29" s="196"/>
      <c r="Z29" s="196"/>
      <c r="AA29" s="196"/>
      <c r="AB29" s="196"/>
      <c r="AC29" s="196"/>
      <c r="AD29" s="196"/>
      <c r="AE29" s="196"/>
      <c r="AF29" s="196"/>
      <c r="AG29" s="196"/>
      <c r="AH29" s="349"/>
      <c r="AI29" s="349"/>
      <c r="AJ29" s="349"/>
      <c r="AK29" s="349"/>
      <c r="AL29" s="346"/>
      <c r="AM29" s="558" t="s">
        <v>1087</v>
      </c>
      <c r="AN29" s="558"/>
      <c r="AO29" s="346"/>
      <c r="AP29" s="346"/>
      <c r="AQ29" s="346"/>
      <c r="AR29" s="346"/>
      <c r="AS29" s="346"/>
      <c r="AT29" s="346"/>
      <c r="AU29" s="346"/>
      <c r="AV29" s="346"/>
    </row>
    <row r="30" spans="1:48" ht="21.95" customHeight="1">
      <c r="A30" s="11"/>
      <c r="B30" s="11"/>
      <c r="C30" s="11"/>
      <c r="D30" s="11"/>
      <c r="E30" s="11"/>
      <c r="F30" s="11"/>
      <c r="G30" s="11"/>
      <c r="H30" s="11"/>
      <c r="I30" s="11"/>
      <c r="J30" s="11"/>
      <c r="K30" s="11"/>
      <c r="L30" s="11"/>
      <c r="M30" s="11"/>
      <c r="N30" s="11"/>
      <c r="O30" s="11"/>
      <c r="P30" s="11"/>
      <c r="Q30" s="196"/>
      <c r="R30" s="1154" t="s">
        <v>802</v>
      </c>
      <c r="S30" s="196"/>
      <c r="T30" s="196"/>
      <c r="U30" s="196"/>
      <c r="V30" s="196"/>
      <c r="W30" s="196"/>
      <c r="X30" s="196"/>
      <c r="Y30" s="196"/>
      <c r="Z30" s="196"/>
      <c r="AA30" s="196"/>
      <c r="AB30" s="196"/>
      <c r="AC30" s="196"/>
      <c r="AD30" s="196"/>
      <c r="AE30" s="196"/>
      <c r="AF30" s="196"/>
      <c r="AG30" s="196"/>
      <c r="AH30" s="349"/>
      <c r="AI30" s="349"/>
      <c r="AJ30" s="349"/>
      <c r="AK30" s="349"/>
      <c r="AL30" s="346"/>
      <c r="AM30" s="558" t="s">
        <v>1088</v>
      </c>
      <c r="AN30" s="558"/>
      <c r="AO30" s="346"/>
      <c r="AP30" s="346"/>
      <c r="AQ30" s="346"/>
      <c r="AR30" s="346"/>
      <c r="AS30" s="346"/>
      <c r="AT30" s="346"/>
      <c r="AU30" s="346"/>
      <c r="AV30" s="346"/>
    </row>
    <row r="31" spans="1:48" ht="21.95" customHeight="1">
      <c r="A31" s="11" t="s">
        <v>352</v>
      </c>
      <c r="B31" s="11" t="s">
        <v>352</v>
      </c>
      <c r="C31" s="11" t="s">
        <v>352</v>
      </c>
      <c r="D31" s="11" t="s">
        <v>352</v>
      </c>
      <c r="E31" s="11" t="s">
        <v>352</v>
      </c>
      <c r="F31" s="11" t="s">
        <v>352</v>
      </c>
      <c r="G31" s="11" t="s">
        <v>352</v>
      </c>
      <c r="H31" s="11" t="s">
        <v>352</v>
      </c>
      <c r="I31" s="11" t="s">
        <v>352</v>
      </c>
      <c r="J31" s="11" t="s">
        <v>352</v>
      </c>
      <c r="K31" s="11" t="s">
        <v>352</v>
      </c>
      <c r="L31" s="11" t="s">
        <v>352</v>
      </c>
      <c r="M31" s="11" t="s">
        <v>352</v>
      </c>
      <c r="N31" s="11" t="s">
        <v>352</v>
      </c>
      <c r="O31" s="11" t="s">
        <v>352</v>
      </c>
      <c r="P31" s="11" t="s">
        <v>352</v>
      </c>
      <c r="Q31" s="196"/>
      <c r="R31" s="1154" t="s">
        <v>750</v>
      </c>
      <c r="S31" s="196"/>
      <c r="T31" s="196"/>
      <c r="U31" s="196"/>
      <c r="V31" s="196"/>
      <c r="W31" s="196"/>
      <c r="X31" s="196"/>
      <c r="Y31" s="196"/>
      <c r="Z31" s="196"/>
      <c r="AA31" s="196"/>
      <c r="AB31" s="196"/>
      <c r="AC31" s="196"/>
      <c r="AD31" s="196"/>
      <c r="AE31" s="196"/>
      <c r="AF31" s="196"/>
      <c r="AG31" s="196"/>
      <c r="AH31" s="196"/>
      <c r="AI31" s="196"/>
      <c r="AJ31" s="196"/>
      <c r="AK31" s="196"/>
      <c r="AL31" s="346"/>
      <c r="AM31" s="558"/>
      <c r="AN31" s="558"/>
      <c r="AO31" s="346"/>
      <c r="AP31" s="346"/>
      <c r="AQ31" s="346"/>
      <c r="AR31" s="346"/>
      <c r="AS31" s="346"/>
      <c r="AT31" s="346"/>
      <c r="AU31" s="346"/>
      <c r="AV31" s="346"/>
    </row>
    <row r="32" spans="1:48" ht="21.95" customHeight="1">
      <c r="A32" s="11" t="s">
        <v>352</v>
      </c>
      <c r="B32" s="11" t="s">
        <v>352</v>
      </c>
      <c r="C32" s="11" t="s">
        <v>352</v>
      </c>
      <c r="D32" s="11" t="s">
        <v>352</v>
      </c>
      <c r="E32" s="11" t="s">
        <v>352</v>
      </c>
      <c r="F32" s="11" t="s">
        <v>352</v>
      </c>
      <c r="G32" s="11" t="s">
        <v>352</v>
      </c>
      <c r="H32" s="11" t="s">
        <v>352</v>
      </c>
      <c r="I32" s="11" t="s">
        <v>352</v>
      </c>
      <c r="J32" s="11" t="s">
        <v>352</v>
      </c>
      <c r="K32" s="11" t="s">
        <v>352</v>
      </c>
      <c r="M32" s="11"/>
      <c r="N32" s="11"/>
      <c r="O32" s="11"/>
      <c r="P32" s="11"/>
      <c r="Q32" s="345"/>
      <c r="R32" s="179"/>
      <c r="S32" s="345"/>
      <c r="T32" s="345"/>
      <c r="U32" s="345"/>
      <c r="V32" s="345"/>
      <c r="W32" s="345"/>
      <c r="X32" s="345"/>
      <c r="Y32" s="345"/>
      <c r="Z32" s="345"/>
      <c r="AA32" s="345"/>
      <c r="AB32" s="345"/>
      <c r="AC32" s="345"/>
      <c r="AD32" s="345"/>
      <c r="AE32" s="345"/>
      <c r="AF32" s="345"/>
      <c r="AG32" s="345"/>
      <c r="AH32" s="345"/>
      <c r="AI32" s="345"/>
      <c r="AJ32" s="345"/>
      <c r="AK32" s="345"/>
      <c r="AL32" s="346"/>
      <c r="AM32" s="558" t="s">
        <v>1074</v>
      </c>
      <c r="AN32" s="558"/>
      <c r="AO32" s="346"/>
      <c r="AP32" s="346"/>
      <c r="AQ32" s="346"/>
      <c r="AR32" s="346"/>
      <c r="AS32" s="346"/>
      <c r="AT32" s="346"/>
      <c r="AU32" s="346"/>
      <c r="AV32" s="346"/>
    </row>
    <row r="33" spans="1:48" ht="21.95" customHeight="1">
      <c r="A33" s="11" t="s">
        <v>352</v>
      </c>
      <c r="B33" s="197"/>
      <c r="C33" s="11"/>
      <c r="D33" s="198"/>
      <c r="E33" s="199"/>
      <c r="F33" s="199"/>
      <c r="G33" s="11"/>
      <c r="H33" s="11"/>
      <c r="I33" s="11"/>
      <c r="J33" s="11"/>
      <c r="K33" s="11"/>
      <c r="L33" s="11"/>
      <c r="M33" s="11"/>
      <c r="N33" s="11"/>
      <c r="O33" s="11"/>
      <c r="P33" s="11"/>
      <c r="Q33" s="578"/>
      <c r="R33" s="179" t="s">
        <v>803</v>
      </c>
      <c r="S33" s="578"/>
      <c r="T33" s="345"/>
      <c r="U33" s="345"/>
      <c r="V33" s="345"/>
      <c r="W33" s="345"/>
      <c r="X33" s="345"/>
      <c r="Y33" s="345"/>
      <c r="Z33" s="345"/>
      <c r="AA33" s="345"/>
      <c r="AB33" s="345"/>
      <c r="AC33" s="345"/>
      <c r="AD33" s="345"/>
      <c r="AE33" s="345"/>
      <c r="AF33" s="345"/>
      <c r="AG33" s="345"/>
      <c r="AH33" s="345"/>
      <c r="AI33" s="345"/>
      <c r="AJ33" s="345"/>
      <c r="AK33" s="345"/>
      <c r="AL33" s="346"/>
      <c r="AM33" s="558" t="s">
        <v>1071</v>
      </c>
      <c r="AN33" s="558"/>
      <c r="AO33" s="346"/>
      <c r="AP33" s="346"/>
      <c r="AQ33" s="346"/>
      <c r="AR33" s="346"/>
      <c r="AS33" s="346"/>
      <c r="AT33" s="346"/>
      <c r="AU33" s="346"/>
      <c r="AV33" s="346"/>
    </row>
    <row r="34" spans="1:48" ht="21.95" customHeight="1">
      <c r="A34" s="11" t="s">
        <v>352</v>
      </c>
      <c r="B34" s="11" t="s">
        <v>352</v>
      </c>
      <c r="C34" s="11"/>
      <c r="D34" s="350" t="s">
        <v>13</v>
      </c>
      <c r="E34" s="11"/>
      <c r="F34" s="11"/>
      <c r="G34" s="11"/>
      <c r="H34" s="11"/>
      <c r="I34" s="11"/>
      <c r="J34" s="11"/>
      <c r="K34" s="11"/>
      <c r="L34" s="11"/>
      <c r="M34" s="11"/>
      <c r="N34" s="11"/>
      <c r="O34" s="11"/>
      <c r="P34" s="11"/>
      <c r="Q34" s="578"/>
      <c r="R34" s="179" t="s">
        <v>1111</v>
      </c>
      <c r="S34" s="578"/>
      <c r="T34" s="345"/>
      <c r="U34" s="345"/>
      <c r="V34" s="345"/>
      <c r="W34" s="345"/>
      <c r="X34" s="345"/>
      <c r="Y34" s="345"/>
      <c r="Z34" s="345"/>
      <c r="AA34" s="345"/>
      <c r="AB34" s="345"/>
      <c r="AC34" s="345"/>
      <c r="AD34" s="345"/>
      <c r="AE34" s="345"/>
      <c r="AF34" s="345"/>
      <c r="AG34" s="345"/>
      <c r="AH34" s="345"/>
      <c r="AI34" s="345"/>
      <c r="AJ34" s="345"/>
      <c r="AK34" s="345"/>
      <c r="AL34" s="346"/>
      <c r="AM34" s="558" t="s">
        <v>1080</v>
      </c>
      <c r="AN34" s="558"/>
      <c r="AO34" s="346"/>
      <c r="AP34" s="346"/>
      <c r="AQ34" s="346"/>
      <c r="AR34" s="346"/>
      <c r="AS34" s="346"/>
      <c r="AT34" s="346"/>
      <c r="AU34" s="346"/>
      <c r="AV34" s="346"/>
    </row>
    <row r="35" spans="1:48" ht="21.95" customHeight="1">
      <c r="A35" s="11" t="s">
        <v>352</v>
      </c>
      <c r="B35" s="11" t="s">
        <v>352</v>
      </c>
      <c r="C35" s="11"/>
      <c r="D35" s="199" t="s">
        <v>14</v>
      </c>
      <c r="E35" s="11"/>
      <c r="F35" s="11"/>
      <c r="G35" s="11"/>
      <c r="H35" s="11"/>
      <c r="I35" s="11"/>
      <c r="J35" s="11"/>
      <c r="K35" s="11"/>
      <c r="L35" s="11"/>
      <c r="M35" s="11"/>
      <c r="N35" s="11"/>
      <c r="O35" s="11"/>
      <c r="P35" s="11"/>
      <c r="Q35" s="578"/>
      <c r="R35" s="179" t="s">
        <v>1065</v>
      </c>
      <c r="S35" s="578"/>
      <c r="T35" s="345"/>
      <c r="U35" s="345"/>
      <c r="V35" s="345"/>
      <c r="W35" s="345"/>
      <c r="X35" s="345"/>
      <c r="Y35" s="345"/>
      <c r="Z35" s="345"/>
      <c r="AA35" s="345"/>
      <c r="AB35" s="345"/>
      <c r="AC35" s="345"/>
      <c r="AD35" s="345"/>
      <c r="AE35" s="345"/>
      <c r="AF35" s="345"/>
      <c r="AG35" s="345"/>
      <c r="AH35" s="345"/>
      <c r="AI35" s="345"/>
      <c r="AJ35" s="345"/>
      <c r="AK35" s="345"/>
      <c r="AL35" s="346"/>
      <c r="AM35" s="558" t="s">
        <v>1081</v>
      </c>
      <c r="AN35" s="558"/>
      <c r="AO35" s="346"/>
      <c r="AP35" s="346"/>
      <c r="AQ35" s="346"/>
      <c r="AR35" s="346"/>
      <c r="AS35" s="346"/>
      <c r="AT35" s="346"/>
      <c r="AU35" s="346"/>
      <c r="AV35" s="346"/>
    </row>
    <row r="36" spans="1:48" ht="21.95" customHeight="1">
      <c r="A36" s="11" t="s">
        <v>352</v>
      </c>
      <c r="B36" s="11" t="s">
        <v>352</v>
      </c>
      <c r="C36" s="11"/>
      <c r="D36" s="199" t="s">
        <v>15</v>
      </c>
      <c r="E36" s="11"/>
      <c r="F36" s="11"/>
      <c r="G36" s="11"/>
      <c r="H36" s="11"/>
      <c r="I36" s="11"/>
      <c r="J36" s="11"/>
      <c r="K36" s="11"/>
      <c r="L36" s="11"/>
      <c r="M36" s="11"/>
      <c r="N36" s="11"/>
      <c r="O36" s="11"/>
      <c r="P36" s="11"/>
      <c r="Q36" s="578"/>
      <c r="R36" s="179" t="s">
        <v>751</v>
      </c>
      <c r="S36" s="578"/>
      <c r="T36" s="345"/>
      <c r="U36" s="345"/>
      <c r="V36" s="345"/>
      <c r="W36" s="345"/>
      <c r="X36" s="345"/>
      <c r="Y36" s="345"/>
      <c r="Z36" s="345"/>
      <c r="AA36" s="345"/>
      <c r="AB36" s="345"/>
      <c r="AC36" s="345"/>
      <c r="AD36" s="345"/>
      <c r="AE36" s="345"/>
      <c r="AF36" s="345"/>
      <c r="AG36" s="345"/>
      <c r="AH36" s="345"/>
      <c r="AI36" s="345"/>
      <c r="AJ36" s="345"/>
      <c r="AK36" s="345"/>
      <c r="AL36" s="346"/>
      <c r="AM36" s="558" t="s">
        <v>1082</v>
      </c>
      <c r="AN36" s="558"/>
      <c r="AO36" s="346"/>
      <c r="AP36" s="346"/>
      <c r="AQ36" s="346"/>
      <c r="AR36" s="346"/>
      <c r="AS36" s="346"/>
      <c r="AT36" s="346"/>
      <c r="AU36" s="346"/>
      <c r="AV36" s="346"/>
    </row>
    <row r="37" spans="1:48" ht="21.95" customHeight="1">
      <c r="A37" s="11" t="s">
        <v>352</v>
      </c>
      <c r="B37" s="11" t="s">
        <v>352</v>
      </c>
      <c r="C37" s="11"/>
      <c r="D37" s="199" t="s">
        <v>771</v>
      </c>
      <c r="E37" s="11"/>
      <c r="F37" s="11"/>
      <c r="G37" s="11"/>
      <c r="H37" s="11"/>
      <c r="I37" s="11"/>
      <c r="J37" s="11"/>
      <c r="K37" s="11"/>
      <c r="L37" s="11"/>
      <c r="M37" s="11"/>
      <c r="N37" s="11"/>
      <c r="O37" s="11"/>
      <c r="P37" s="11"/>
      <c r="Q37" s="578"/>
      <c r="R37" s="179" t="s">
        <v>1146</v>
      </c>
      <c r="S37" s="578"/>
      <c r="T37" s="345"/>
      <c r="U37" s="345"/>
      <c r="V37" s="345"/>
      <c r="W37" s="345"/>
      <c r="X37" s="345"/>
      <c r="Y37" s="345"/>
      <c r="Z37" s="345"/>
      <c r="AA37" s="345"/>
      <c r="AB37" s="345"/>
      <c r="AC37" s="345"/>
      <c r="AD37" s="345"/>
      <c r="AE37" s="345"/>
      <c r="AF37" s="345"/>
      <c r="AG37" s="345"/>
      <c r="AH37" s="344"/>
      <c r="AI37" s="345"/>
      <c r="AJ37" s="345"/>
      <c r="AK37" s="345"/>
      <c r="AL37" s="346"/>
      <c r="AM37" s="558" t="s">
        <v>1083</v>
      </c>
      <c r="AN37" s="558"/>
      <c r="AO37" s="346"/>
      <c r="AP37" s="346"/>
      <c r="AQ37" s="346"/>
      <c r="AR37" s="346"/>
      <c r="AS37" s="346"/>
      <c r="AT37" s="346"/>
      <c r="AU37" s="346"/>
      <c r="AV37" s="346"/>
    </row>
    <row r="38" spans="1:48" ht="21.95" customHeight="1">
      <c r="A38" s="11" t="s">
        <v>352</v>
      </c>
      <c r="B38" s="11" t="s">
        <v>352</v>
      </c>
      <c r="C38" s="11"/>
      <c r="D38" s="199" t="s">
        <v>16</v>
      </c>
      <c r="E38" s="11"/>
      <c r="F38" s="11"/>
      <c r="H38" s="11"/>
      <c r="I38" s="11"/>
      <c r="J38" s="11"/>
      <c r="K38" s="199"/>
      <c r="L38" s="199"/>
      <c r="M38" s="351"/>
      <c r="N38" s="11"/>
      <c r="O38" s="11"/>
      <c r="P38" s="11"/>
      <c r="Q38" s="578"/>
      <c r="R38" s="179" t="s">
        <v>686</v>
      </c>
      <c r="S38" s="578"/>
      <c r="T38" s="345"/>
      <c r="U38" s="345"/>
      <c r="V38" s="345"/>
      <c r="W38" s="345"/>
      <c r="X38" s="345"/>
      <c r="Y38" s="345"/>
      <c r="Z38" s="345"/>
      <c r="AA38" s="345"/>
      <c r="AB38" s="345"/>
      <c r="AC38" s="345"/>
      <c r="AD38" s="345"/>
      <c r="AE38" s="179"/>
      <c r="AF38" s="345"/>
      <c r="AG38" s="345"/>
      <c r="AH38" s="344"/>
      <c r="AI38" s="345"/>
      <c r="AJ38" s="345"/>
      <c r="AK38" s="345"/>
      <c r="AL38" s="346"/>
      <c r="AM38" s="558" t="s">
        <v>1084</v>
      </c>
      <c r="AN38" s="558"/>
      <c r="AO38" s="346"/>
      <c r="AP38" s="346"/>
      <c r="AQ38" s="346"/>
      <c r="AR38" s="346"/>
      <c r="AS38" s="346"/>
      <c r="AT38" s="346"/>
      <c r="AU38" s="346"/>
      <c r="AV38" s="346"/>
    </row>
    <row r="39" spans="1:48" ht="21.95" customHeight="1">
      <c r="A39" s="11"/>
      <c r="B39" s="11"/>
      <c r="C39" s="11"/>
      <c r="D39" s="199" t="s">
        <v>800</v>
      </c>
      <c r="E39" s="11"/>
      <c r="F39" s="199"/>
      <c r="G39" s="199"/>
      <c r="H39" s="199"/>
      <c r="I39" s="199"/>
      <c r="J39" s="199"/>
      <c r="K39" s="199"/>
      <c r="L39" s="199"/>
      <c r="M39" s="351"/>
      <c r="N39" s="11"/>
      <c r="O39" s="11"/>
      <c r="P39" s="11"/>
      <c r="Q39" s="578"/>
      <c r="R39" s="179" t="s">
        <v>1067</v>
      </c>
      <c r="S39" s="578"/>
      <c r="T39" s="345"/>
      <c r="U39" s="345"/>
      <c r="V39" s="345"/>
      <c r="W39" s="345"/>
      <c r="X39" s="345"/>
      <c r="Y39" s="345"/>
      <c r="Z39" s="345"/>
      <c r="AA39" s="345"/>
      <c r="AB39" s="345"/>
      <c r="AC39" s="345"/>
      <c r="AD39" s="345"/>
      <c r="AE39" s="179"/>
      <c r="AF39" s="345"/>
      <c r="AG39" s="345"/>
      <c r="AH39" s="345"/>
      <c r="AI39" s="345"/>
      <c r="AJ39" s="345"/>
      <c r="AK39" s="345"/>
      <c r="AL39" s="346"/>
      <c r="AM39" s="558" t="s">
        <v>1085</v>
      </c>
      <c r="AN39" s="558"/>
      <c r="AO39" s="346"/>
      <c r="AP39" s="346"/>
      <c r="AQ39" s="346"/>
      <c r="AR39" s="346"/>
      <c r="AS39" s="346"/>
      <c r="AT39" s="346"/>
      <c r="AU39" s="346"/>
      <c r="AV39" s="346"/>
    </row>
    <row r="40" spans="1:48" ht="21.95" customHeight="1">
      <c r="A40" s="11"/>
      <c r="B40" s="11"/>
      <c r="C40" s="11"/>
      <c r="D40" s="199" t="s">
        <v>1138</v>
      </c>
      <c r="E40" s="11"/>
      <c r="F40" s="11"/>
      <c r="G40" s="199"/>
      <c r="H40" s="199"/>
      <c r="I40" s="199"/>
      <c r="J40" s="199"/>
      <c r="K40" s="11"/>
      <c r="L40" s="11"/>
      <c r="M40" s="11"/>
      <c r="N40" s="11"/>
      <c r="O40" s="11"/>
      <c r="P40" s="11"/>
      <c r="Q40" s="578"/>
      <c r="R40" s="179" t="s">
        <v>1068</v>
      </c>
      <c r="S40" s="578"/>
      <c r="T40" s="345"/>
      <c r="U40" s="345"/>
      <c r="V40" s="345"/>
      <c r="W40" s="345"/>
      <c r="X40" s="345"/>
      <c r="Y40" s="345"/>
      <c r="Z40" s="345"/>
      <c r="AA40" s="345"/>
      <c r="AB40" s="345"/>
      <c r="AC40" s="345"/>
      <c r="AD40" s="345"/>
      <c r="AE40" s="179"/>
      <c r="AF40" s="345"/>
      <c r="AG40" s="345"/>
      <c r="AH40" s="345"/>
      <c r="AI40" s="345"/>
      <c r="AJ40" s="345"/>
      <c r="AK40" s="345"/>
      <c r="AL40" s="346"/>
      <c r="AM40" s="346"/>
      <c r="AN40" s="346"/>
      <c r="AO40" s="346"/>
      <c r="AP40" s="346"/>
      <c r="AQ40" s="346"/>
      <c r="AR40" s="346"/>
      <c r="AS40" s="346"/>
      <c r="AT40" s="346"/>
      <c r="AU40" s="346"/>
      <c r="AV40" s="346"/>
    </row>
    <row r="41" spans="1:48" ht="21.95" customHeight="1">
      <c r="A41" s="11"/>
      <c r="B41" s="11"/>
      <c r="C41" s="11"/>
      <c r="D41" s="199" t="s">
        <v>1113</v>
      </c>
      <c r="E41" s="11"/>
      <c r="F41" s="351"/>
      <c r="G41" s="351"/>
      <c r="H41" s="11"/>
      <c r="I41" s="11"/>
      <c r="J41" s="11"/>
      <c r="K41" s="11"/>
      <c r="L41" s="11"/>
      <c r="M41" s="11"/>
      <c r="N41" s="11"/>
      <c r="O41" s="11"/>
      <c r="P41" s="11"/>
      <c r="Q41" s="578"/>
      <c r="R41" s="179" t="s">
        <v>801</v>
      </c>
      <c r="S41" s="578"/>
      <c r="T41" s="345"/>
      <c r="U41" s="345"/>
      <c r="V41" s="345"/>
      <c r="W41" s="345"/>
      <c r="X41" s="345"/>
      <c r="Y41" s="345"/>
      <c r="Z41" s="345"/>
      <c r="AA41" s="345"/>
      <c r="AB41" s="345"/>
      <c r="AC41" s="345"/>
      <c r="AD41" s="345"/>
      <c r="AE41" s="345"/>
      <c r="AF41" s="345"/>
      <c r="AG41" s="345"/>
      <c r="AH41" s="345"/>
      <c r="AI41" s="345"/>
      <c r="AJ41" s="345"/>
      <c r="AK41" s="345"/>
      <c r="AL41" s="346"/>
      <c r="AM41" s="346"/>
      <c r="AN41" s="346"/>
      <c r="AO41" s="346"/>
      <c r="AP41" s="346"/>
      <c r="AQ41" s="346"/>
      <c r="AR41" s="346"/>
      <c r="AS41" s="346"/>
      <c r="AT41" s="346"/>
      <c r="AU41" s="346"/>
      <c r="AV41" s="346"/>
    </row>
    <row r="42" spans="1:48" ht="21.95" customHeight="1">
      <c r="A42" s="11"/>
      <c r="B42" s="199" t="s">
        <v>1115</v>
      </c>
      <c r="C42" s="11"/>
      <c r="D42" s="11"/>
      <c r="E42" s="11"/>
      <c r="F42" s="11"/>
      <c r="G42" s="11"/>
      <c r="H42" s="11"/>
      <c r="I42" s="11"/>
      <c r="J42" s="11"/>
      <c r="K42" s="11"/>
      <c r="L42" s="11"/>
      <c r="M42" s="11"/>
      <c r="N42" s="11"/>
      <c r="O42" s="11"/>
      <c r="P42" s="11"/>
      <c r="Q42" s="578"/>
      <c r="R42" s="179" t="s">
        <v>949</v>
      </c>
      <c r="S42" s="578"/>
      <c r="T42" s="345"/>
      <c r="U42" s="345"/>
      <c r="V42" s="345"/>
      <c r="W42" s="345"/>
      <c r="X42" s="345"/>
      <c r="Y42" s="345"/>
      <c r="Z42" s="345"/>
      <c r="AA42" s="345"/>
      <c r="AB42" s="345"/>
      <c r="AC42" s="345"/>
      <c r="AD42" s="345"/>
      <c r="AE42" s="345"/>
      <c r="AF42" s="345"/>
      <c r="AG42" s="345"/>
      <c r="AH42" s="345"/>
      <c r="AI42" s="345"/>
      <c r="AJ42" s="345"/>
      <c r="AK42" s="345"/>
      <c r="AL42" s="346"/>
      <c r="AM42" s="346"/>
      <c r="AN42" s="346"/>
      <c r="AO42" s="346"/>
      <c r="AP42" s="346"/>
      <c r="AQ42" s="346"/>
      <c r="AR42" s="346"/>
      <c r="AS42" s="346"/>
      <c r="AT42" s="346"/>
      <c r="AU42" s="346"/>
      <c r="AV42" s="346"/>
    </row>
    <row r="43" spans="1:48" ht="21.95" customHeight="1">
      <c r="A43" s="11"/>
      <c r="B43" s="199" t="s">
        <v>1114</v>
      </c>
      <c r="C43" s="11"/>
      <c r="D43" s="11"/>
      <c r="E43" s="11"/>
      <c r="F43" s="11"/>
      <c r="H43" s="11"/>
      <c r="I43" s="11"/>
      <c r="J43" s="11"/>
      <c r="K43" s="11"/>
      <c r="L43" s="11"/>
      <c r="M43" s="11"/>
      <c r="N43" s="11"/>
      <c r="O43" s="11"/>
      <c r="P43" s="11"/>
      <c r="Q43" s="578"/>
      <c r="R43" s="179" t="s">
        <v>988</v>
      </c>
      <c r="S43" s="578"/>
      <c r="T43" s="345"/>
      <c r="U43" s="345"/>
      <c r="V43" s="345"/>
      <c r="W43" s="345"/>
      <c r="X43" s="345"/>
      <c r="Y43" s="345"/>
      <c r="Z43" s="345"/>
      <c r="AA43" s="345"/>
      <c r="AB43" s="345"/>
      <c r="AC43" s="345"/>
      <c r="AD43" s="345"/>
      <c r="AE43" s="345"/>
      <c r="AF43" s="345"/>
      <c r="AG43" s="345"/>
      <c r="AH43" s="345"/>
      <c r="AI43" s="345"/>
      <c r="AJ43" s="345"/>
      <c r="AK43" s="345"/>
      <c r="AL43" s="346"/>
      <c r="AM43" s="346"/>
      <c r="AN43" s="346"/>
      <c r="AO43" s="346"/>
      <c r="AP43" s="346"/>
      <c r="AQ43" s="346"/>
      <c r="AR43" s="346"/>
      <c r="AS43" s="346"/>
      <c r="AT43" s="346"/>
      <c r="AU43" s="346"/>
      <c r="AV43" s="346"/>
    </row>
    <row r="44" spans="1:48" ht="21.95" customHeight="1">
      <c r="A44" s="11"/>
      <c r="B44" s="11"/>
      <c r="C44" s="11"/>
      <c r="D44" s="11"/>
      <c r="E44" s="11"/>
      <c r="F44" s="11"/>
      <c r="G44" s="11"/>
      <c r="H44" s="11"/>
      <c r="I44" s="11"/>
      <c r="J44" s="11"/>
      <c r="K44" s="11"/>
      <c r="L44" s="11"/>
      <c r="M44" s="11"/>
      <c r="N44" s="11"/>
      <c r="O44" s="11"/>
      <c r="P44" s="11"/>
      <c r="Q44" s="578"/>
      <c r="R44" s="179" t="s">
        <v>1070</v>
      </c>
      <c r="S44" s="578"/>
      <c r="T44" s="578"/>
      <c r="U44" s="578"/>
      <c r="V44" s="578"/>
      <c r="W44" s="578"/>
      <c r="X44" s="578"/>
      <c r="Y44" s="578"/>
      <c r="Z44" s="578"/>
      <c r="AA44" s="578"/>
      <c r="AB44" s="578"/>
      <c r="AC44" s="578"/>
      <c r="AD44" s="578"/>
      <c r="AE44" s="578"/>
      <c r="AF44" s="578"/>
      <c r="AG44" s="578"/>
      <c r="AH44" s="578"/>
      <c r="AI44" s="578"/>
      <c r="AJ44" s="578"/>
      <c r="AK44" s="578"/>
      <c r="AL44" s="346"/>
      <c r="AM44" s="346"/>
      <c r="AN44" s="346"/>
      <c r="AO44" s="346"/>
      <c r="AP44" s="346"/>
      <c r="AQ44" s="346"/>
      <c r="AR44" s="346"/>
      <c r="AS44" s="346"/>
      <c r="AT44" s="346"/>
      <c r="AU44" s="346"/>
      <c r="AV44" s="346"/>
    </row>
    <row r="45" spans="1:48" ht="21.95" customHeight="1">
      <c r="A45" s="11"/>
      <c r="B45" s="11"/>
      <c r="C45" s="11"/>
      <c r="D45" s="11"/>
      <c r="E45" s="11"/>
      <c r="F45" s="11"/>
      <c r="G45" s="11"/>
      <c r="H45" s="11"/>
      <c r="I45" s="11"/>
      <c r="J45" s="11"/>
      <c r="K45" s="11"/>
      <c r="L45" s="11"/>
      <c r="M45" s="11"/>
      <c r="N45" s="11"/>
      <c r="O45" s="11"/>
      <c r="P45" s="11"/>
      <c r="Q45" s="578"/>
      <c r="R45" s="179" t="s">
        <v>1066</v>
      </c>
      <c r="S45" s="578"/>
      <c r="T45" s="578"/>
      <c r="U45" s="578"/>
      <c r="V45" s="578"/>
      <c r="W45" s="578"/>
      <c r="X45" s="578"/>
      <c r="Y45" s="578"/>
      <c r="Z45" s="578"/>
      <c r="AA45" s="578"/>
      <c r="AB45" s="578"/>
      <c r="AC45" s="578"/>
      <c r="AD45" s="578"/>
      <c r="AE45" s="578"/>
      <c r="AF45" s="578"/>
      <c r="AG45" s="578"/>
      <c r="AH45" s="578"/>
      <c r="AI45" s="578"/>
      <c r="AJ45" s="578"/>
      <c r="AK45" s="578"/>
      <c r="AL45" s="346"/>
      <c r="AM45" s="346"/>
      <c r="AN45" s="346"/>
      <c r="AO45" s="346"/>
      <c r="AP45" s="346"/>
      <c r="AQ45" s="346"/>
      <c r="AR45" s="346"/>
      <c r="AS45" s="346"/>
      <c r="AT45" s="346"/>
      <c r="AU45" s="346"/>
      <c r="AV45" s="346"/>
    </row>
    <row r="46" spans="1:48" ht="21.95" customHeight="1">
      <c r="A46" s="11"/>
      <c r="B46" s="11"/>
      <c r="C46" s="11"/>
      <c r="D46" s="11"/>
      <c r="E46" s="11"/>
      <c r="F46" s="11"/>
      <c r="G46" s="11"/>
      <c r="H46" s="11"/>
      <c r="I46" s="11"/>
      <c r="J46" s="11"/>
      <c r="K46" s="11"/>
      <c r="L46" s="11"/>
      <c r="M46" s="11"/>
      <c r="N46" s="11"/>
      <c r="O46" s="11"/>
      <c r="P46" s="11"/>
      <c r="Q46" s="578"/>
      <c r="R46" s="179" t="s">
        <v>1069</v>
      </c>
      <c r="S46" s="578"/>
      <c r="T46" s="578"/>
      <c r="U46" s="578"/>
      <c r="V46" s="578"/>
      <c r="W46" s="578"/>
      <c r="X46" s="578"/>
      <c r="Y46" s="578"/>
      <c r="Z46" s="578"/>
      <c r="AA46" s="578"/>
      <c r="AB46" s="578"/>
      <c r="AC46" s="578"/>
      <c r="AD46" s="578"/>
      <c r="AE46" s="578"/>
      <c r="AF46" s="578"/>
      <c r="AG46" s="578"/>
      <c r="AH46" s="578"/>
      <c r="AI46" s="578"/>
      <c r="AJ46" s="578"/>
      <c r="AK46" s="578"/>
      <c r="AL46" s="346"/>
      <c r="AM46" s="346"/>
      <c r="AN46" s="346"/>
      <c r="AO46" s="346"/>
      <c r="AP46" s="346"/>
      <c r="AQ46" s="346"/>
      <c r="AR46" s="346"/>
      <c r="AS46" s="346"/>
      <c r="AT46" s="346"/>
      <c r="AU46" s="346"/>
      <c r="AV46" s="346"/>
    </row>
    <row r="47" spans="1:48" ht="18">
      <c r="A47" s="11"/>
      <c r="B47" s="11"/>
      <c r="C47" s="11"/>
      <c r="D47" s="11"/>
      <c r="E47" s="11"/>
      <c r="F47" s="11"/>
      <c r="G47" s="11"/>
      <c r="H47" s="11"/>
      <c r="I47" s="11"/>
      <c r="J47" s="11"/>
      <c r="K47" s="11"/>
      <c r="L47" s="11"/>
      <c r="M47" s="11"/>
      <c r="N47" s="11"/>
      <c r="O47" s="11"/>
      <c r="P47" s="11"/>
      <c r="Q47" s="578"/>
      <c r="R47" s="179" t="s">
        <v>1148</v>
      </c>
      <c r="S47" s="578"/>
      <c r="T47" s="578"/>
      <c r="U47" s="578"/>
      <c r="V47" s="578"/>
      <c r="W47" s="578"/>
      <c r="X47" s="578"/>
      <c r="Y47" s="578"/>
      <c r="Z47" s="578"/>
      <c r="AA47" s="578"/>
      <c r="AB47" s="578"/>
      <c r="AC47" s="578"/>
      <c r="AD47" s="578"/>
      <c r="AE47" s="578"/>
      <c r="AF47" s="578"/>
      <c r="AG47" s="578"/>
      <c r="AH47" s="578"/>
      <c r="AI47" s="578"/>
      <c r="AJ47" s="578"/>
      <c r="AK47" s="578"/>
      <c r="AL47" s="346"/>
      <c r="AM47" s="346"/>
      <c r="AN47" s="346"/>
      <c r="AO47" s="346"/>
      <c r="AP47" s="346"/>
      <c r="AQ47" s="346"/>
      <c r="AR47" s="346"/>
      <c r="AS47" s="346"/>
      <c r="AT47" s="346"/>
      <c r="AU47" s="346"/>
      <c r="AV47" s="346"/>
    </row>
    <row r="48" spans="1:48" ht="18">
      <c r="A48" s="11"/>
      <c r="B48" s="11"/>
      <c r="C48" s="11"/>
      <c r="D48" s="11"/>
      <c r="E48" s="11"/>
      <c r="F48" s="11"/>
      <c r="G48" s="11"/>
      <c r="H48" s="11"/>
      <c r="I48" s="11"/>
      <c r="J48" s="11"/>
      <c r="K48" s="11"/>
      <c r="L48" s="11"/>
      <c r="M48" s="11"/>
      <c r="N48" s="11"/>
      <c r="O48" s="11"/>
      <c r="P48" s="11"/>
      <c r="Q48" s="578"/>
      <c r="R48" s="179" t="s">
        <v>1147</v>
      </c>
      <c r="S48" s="578"/>
      <c r="T48" s="578"/>
      <c r="U48" s="578"/>
      <c r="V48" s="578"/>
      <c r="W48" s="578"/>
      <c r="X48" s="578"/>
      <c r="Y48" s="578"/>
      <c r="Z48" s="578"/>
      <c r="AA48" s="578"/>
      <c r="AB48" s="578"/>
      <c r="AC48" s="578"/>
      <c r="AD48" s="578"/>
      <c r="AE48" s="578"/>
      <c r="AF48" s="578"/>
      <c r="AG48" s="578"/>
      <c r="AH48" s="578"/>
      <c r="AI48" s="578"/>
      <c r="AJ48" s="578"/>
      <c r="AK48" s="578"/>
      <c r="AL48" s="346"/>
      <c r="AM48" s="346"/>
      <c r="AN48" s="346"/>
      <c r="AO48" s="346"/>
      <c r="AP48" s="346"/>
      <c r="AQ48" s="346"/>
      <c r="AR48" s="346"/>
      <c r="AS48" s="346"/>
      <c r="AT48" s="346"/>
      <c r="AU48" s="346"/>
      <c r="AV48" s="346"/>
    </row>
    <row r="49" spans="1:48" ht="18">
      <c r="A49" s="11"/>
      <c r="B49" s="11"/>
      <c r="C49" s="11"/>
      <c r="D49" s="11"/>
      <c r="E49" s="11"/>
      <c r="F49" s="11"/>
      <c r="G49" s="11"/>
      <c r="H49" s="11"/>
      <c r="I49" s="11"/>
      <c r="J49" s="11"/>
      <c r="K49" s="11"/>
      <c r="L49" s="11"/>
      <c r="M49" s="11"/>
      <c r="N49" s="11"/>
      <c r="O49" s="11"/>
      <c r="P49" s="11"/>
      <c r="Q49" s="578"/>
      <c r="R49" s="179" t="s">
        <v>1112</v>
      </c>
      <c r="S49" s="578"/>
      <c r="T49" s="578"/>
      <c r="U49" s="578"/>
      <c r="V49" s="578"/>
      <c r="W49" s="578"/>
      <c r="X49" s="578"/>
      <c r="Y49" s="578"/>
      <c r="Z49" s="578"/>
      <c r="AA49" s="578"/>
      <c r="AB49" s="578"/>
      <c r="AC49" s="578"/>
      <c r="AD49" s="578"/>
      <c r="AE49" s="578"/>
      <c r="AF49" s="578"/>
      <c r="AG49" s="578"/>
      <c r="AH49" s="578"/>
      <c r="AI49" s="578"/>
      <c r="AJ49" s="578"/>
      <c r="AK49" s="578"/>
      <c r="AL49" s="346"/>
      <c r="AM49" s="346"/>
      <c r="AN49" s="346"/>
      <c r="AO49" s="346"/>
      <c r="AP49" s="346"/>
      <c r="AQ49" s="346"/>
      <c r="AR49" s="346"/>
      <c r="AS49" s="346"/>
      <c r="AT49" s="346"/>
      <c r="AU49" s="346"/>
      <c r="AV49" s="346"/>
    </row>
    <row r="50" spans="1:48" ht="18">
      <c r="A50" s="11"/>
      <c r="B50" s="11"/>
      <c r="C50" s="11"/>
      <c r="D50" s="11"/>
      <c r="E50" s="11"/>
      <c r="F50" s="11"/>
      <c r="G50" s="11"/>
      <c r="H50" s="11"/>
      <c r="I50" s="11"/>
      <c r="J50" s="11"/>
      <c r="K50" s="11"/>
      <c r="L50" s="11"/>
      <c r="M50" s="11"/>
      <c r="N50" s="11"/>
      <c r="O50" s="11"/>
      <c r="P50" s="11"/>
      <c r="Q50" s="578"/>
      <c r="R50" s="179" t="s">
        <v>1145</v>
      </c>
      <c r="S50" s="578"/>
      <c r="T50" s="578"/>
      <c r="U50" s="578"/>
      <c r="V50" s="578"/>
      <c r="W50" s="578"/>
      <c r="X50" s="578"/>
      <c r="Y50" s="578"/>
      <c r="Z50" s="578"/>
      <c r="AA50" s="578"/>
      <c r="AB50" s="578"/>
      <c r="AC50" s="578"/>
      <c r="AD50" s="578"/>
      <c r="AE50" s="578"/>
      <c r="AF50" s="578"/>
      <c r="AG50" s="578"/>
      <c r="AH50" s="578"/>
      <c r="AI50" s="578"/>
      <c r="AJ50" s="578"/>
      <c r="AK50" s="578"/>
      <c r="AL50" s="346"/>
      <c r="AM50" s="346"/>
      <c r="AN50" s="346"/>
      <c r="AO50" s="346"/>
      <c r="AP50" s="346"/>
      <c r="AQ50" s="346"/>
      <c r="AR50" s="346"/>
      <c r="AS50" s="346"/>
      <c r="AT50" s="346"/>
      <c r="AU50" s="346"/>
      <c r="AV50" s="346"/>
    </row>
    <row r="51" spans="1:48" ht="18">
      <c r="A51" s="11"/>
      <c r="B51" s="11"/>
      <c r="C51" s="11"/>
      <c r="D51" s="11"/>
      <c r="E51" s="11"/>
      <c r="F51" s="11"/>
      <c r="G51" s="11"/>
      <c r="H51" s="11"/>
      <c r="I51" s="11"/>
      <c r="J51" s="11"/>
      <c r="K51" s="11"/>
      <c r="L51" s="11"/>
      <c r="M51" s="11"/>
      <c r="N51" s="11"/>
      <c r="O51" s="11"/>
      <c r="P51" s="11"/>
      <c r="Q51" s="578"/>
      <c r="R51" s="578"/>
      <c r="S51" s="578"/>
      <c r="T51" s="578"/>
      <c r="U51" s="578"/>
      <c r="V51" s="578"/>
      <c r="W51" s="578"/>
      <c r="X51" s="578"/>
      <c r="Y51" s="578"/>
      <c r="Z51" s="578"/>
      <c r="AA51" s="578"/>
      <c r="AB51" s="578"/>
      <c r="AC51" s="578"/>
      <c r="AD51" s="578"/>
      <c r="AE51" s="578"/>
      <c r="AF51" s="578"/>
      <c r="AG51" s="578"/>
      <c r="AH51" s="578"/>
      <c r="AI51" s="578"/>
      <c r="AJ51" s="578"/>
      <c r="AK51" s="578"/>
      <c r="AL51" s="346"/>
      <c r="AM51" s="346"/>
      <c r="AN51" s="346"/>
      <c r="AO51" s="346"/>
      <c r="AP51" s="346"/>
      <c r="AQ51" s="346"/>
      <c r="AR51" s="346"/>
      <c r="AS51" s="346"/>
      <c r="AT51" s="346"/>
      <c r="AU51" s="346"/>
      <c r="AV51" s="346"/>
    </row>
    <row r="52" spans="1:48" ht="18">
      <c r="A52" s="11"/>
      <c r="B52" s="11"/>
      <c r="C52" s="11"/>
      <c r="D52" s="11"/>
      <c r="E52" s="11"/>
      <c r="F52" s="11"/>
      <c r="G52" s="11"/>
      <c r="H52" s="11"/>
      <c r="I52" s="11"/>
      <c r="J52" s="11"/>
      <c r="K52" s="11"/>
      <c r="L52" s="11"/>
      <c r="M52" s="11"/>
      <c r="N52" s="11"/>
      <c r="O52" s="11"/>
      <c r="P52" s="11"/>
      <c r="Q52" s="578"/>
      <c r="R52" s="578"/>
      <c r="S52" s="578"/>
      <c r="T52" s="578"/>
      <c r="U52" s="578"/>
      <c r="V52" s="578"/>
      <c r="W52" s="578"/>
      <c r="X52" s="578"/>
      <c r="Y52" s="578"/>
      <c r="Z52" s="578"/>
      <c r="AA52" s="578"/>
      <c r="AB52" s="578"/>
      <c r="AC52" s="578"/>
      <c r="AD52" s="578"/>
      <c r="AE52" s="578"/>
      <c r="AF52" s="578"/>
      <c r="AG52" s="578"/>
      <c r="AH52" s="578"/>
      <c r="AI52" s="578"/>
      <c r="AJ52" s="578"/>
      <c r="AK52" s="578"/>
      <c r="AL52" s="346"/>
      <c r="AM52" s="346"/>
      <c r="AN52" s="346"/>
      <c r="AO52" s="346"/>
      <c r="AP52" s="346"/>
      <c r="AQ52" s="346"/>
      <c r="AR52" s="346"/>
      <c r="AS52" s="346"/>
      <c r="AT52" s="346"/>
      <c r="AU52" s="346"/>
      <c r="AV52" s="346"/>
    </row>
  </sheetData>
  <sheetProtection password="F411" sheet="1" objects="1" scenarios="1" selectLockedCells="1" selectUnlockedCells="1"/>
  <phoneticPr fontId="0" type="noConversion"/>
  <pageMargins left="0.78740157499999996" right="0.78740157499999996" top="0.984251969" bottom="0.984251969" header="0.49212598499999999" footer="0.49212598499999999"/>
  <pageSetup paperSize="9" orientation="portrait"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2"/>
  <dimension ref="A1:AH302"/>
  <sheetViews>
    <sheetView zoomScale="85" zoomScaleNormal="85" workbookViewId="0"/>
  </sheetViews>
  <sheetFormatPr defaultRowHeight="12.75"/>
  <cols>
    <col min="1" max="1" width="3.5703125" customWidth="1"/>
    <col min="2" max="2" width="6" customWidth="1"/>
    <col min="3" max="3" width="20.7109375" customWidth="1"/>
    <col min="4" max="5" width="12.7109375" customWidth="1"/>
    <col min="6" max="6" width="12.7109375" style="1" customWidth="1"/>
    <col min="7" max="12" width="12.7109375" customWidth="1"/>
    <col min="13" max="13" width="16.5703125" customWidth="1"/>
    <col min="14" max="14" width="10.7109375" customWidth="1"/>
    <col min="26" max="26" width="11.85546875" customWidth="1"/>
  </cols>
  <sheetData>
    <row r="1" spans="1:34" ht="24" customHeight="1">
      <c r="A1" s="89"/>
      <c r="B1" s="89" t="s">
        <v>550</v>
      </c>
      <c r="C1" s="353" t="s">
        <v>23</v>
      </c>
      <c r="D1" s="353"/>
      <c r="E1" s="90"/>
      <c r="F1" s="956"/>
      <c r="G1" s="91"/>
      <c r="H1" s="90"/>
      <c r="I1" s="90"/>
      <c r="J1" s="90"/>
      <c r="K1" s="90"/>
      <c r="L1" s="436"/>
      <c r="M1" s="90"/>
      <c r="N1" s="90"/>
      <c r="O1" s="90"/>
      <c r="P1" s="90"/>
      <c r="Q1" s="90"/>
      <c r="R1" s="90"/>
      <c r="S1" s="90"/>
      <c r="T1" s="90"/>
      <c r="U1" s="90"/>
      <c r="V1" s="90"/>
      <c r="W1" s="90"/>
      <c r="X1" s="90"/>
      <c r="Y1" s="90"/>
      <c r="Z1" s="90"/>
      <c r="AA1" s="25"/>
      <c r="AB1" s="25"/>
      <c r="AC1" s="25"/>
      <c r="AD1" s="25"/>
      <c r="AE1" s="25"/>
      <c r="AF1" s="25"/>
      <c r="AG1" s="25"/>
      <c r="AH1" s="25"/>
    </row>
    <row r="2" spans="1:34" s="367" customFormat="1" ht="20.25" customHeight="1">
      <c r="A2" s="368"/>
      <c r="B2" s="559" t="s">
        <v>917</v>
      </c>
      <c r="C2" s="369"/>
      <c r="D2" s="369"/>
      <c r="E2" s="369"/>
      <c r="F2" s="369"/>
      <c r="G2" s="369"/>
      <c r="H2" s="369"/>
      <c r="I2" s="369"/>
      <c r="J2" s="369"/>
      <c r="K2" s="369"/>
      <c r="L2" s="369"/>
      <c r="M2" s="369"/>
      <c r="N2" s="369"/>
      <c r="O2" s="369"/>
      <c r="P2" s="369"/>
      <c r="Q2" s="369"/>
      <c r="R2" s="369"/>
      <c r="S2" s="369"/>
      <c r="T2" s="369"/>
      <c r="U2" s="369"/>
      <c r="V2" s="369"/>
      <c r="W2" s="369"/>
      <c r="X2" s="369"/>
      <c r="Y2" s="369"/>
      <c r="Z2" s="369"/>
      <c r="AA2" s="366"/>
      <c r="AB2" s="366"/>
      <c r="AC2" s="366"/>
      <c r="AD2" s="366"/>
      <c r="AE2" s="366"/>
      <c r="AF2" s="366"/>
      <c r="AG2" s="366"/>
      <c r="AH2" s="366"/>
    </row>
    <row r="3" spans="1:34" s="367" customFormat="1" ht="18" customHeight="1">
      <c r="A3" s="369"/>
      <c r="B3" s="377" t="s">
        <v>957</v>
      </c>
      <c r="C3" s="369"/>
      <c r="D3" s="369"/>
      <c r="E3" s="369"/>
      <c r="F3" s="369"/>
      <c r="G3" s="369"/>
      <c r="H3" s="369"/>
      <c r="I3" s="369"/>
      <c r="J3" s="369"/>
      <c r="K3" s="369"/>
      <c r="L3" s="369"/>
      <c r="M3" s="369"/>
      <c r="N3" s="369"/>
      <c r="O3" s="369"/>
      <c r="P3" s="369"/>
      <c r="Q3" s="369"/>
      <c r="R3" s="369"/>
      <c r="S3" s="369"/>
      <c r="T3" s="369"/>
      <c r="U3" s="369"/>
      <c r="V3" s="369"/>
      <c r="W3" s="369"/>
      <c r="X3" s="369"/>
      <c r="Y3" s="369"/>
      <c r="Z3" s="369"/>
      <c r="AA3" s="366"/>
      <c r="AB3" s="366"/>
      <c r="AC3" s="366"/>
      <c r="AD3" s="366"/>
      <c r="AE3" s="366"/>
      <c r="AF3" s="366"/>
      <c r="AG3" s="366"/>
      <c r="AH3" s="366"/>
    </row>
    <row r="4" spans="1:34" s="367" customFormat="1" ht="16.5" customHeight="1">
      <c r="A4" s="369"/>
      <c r="B4" s="712" t="s">
        <v>958</v>
      </c>
      <c r="C4" s="369"/>
      <c r="D4" s="369"/>
      <c r="E4" s="369"/>
      <c r="F4" s="369"/>
      <c r="G4" s="369"/>
      <c r="H4" s="369"/>
      <c r="I4" s="369"/>
      <c r="J4" s="369"/>
      <c r="K4" s="369"/>
      <c r="L4" s="369"/>
      <c r="M4" s="369"/>
      <c r="N4" s="369"/>
      <c r="O4" s="369"/>
      <c r="P4" s="369"/>
      <c r="Q4" s="369"/>
      <c r="R4" s="369"/>
      <c r="S4" s="369"/>
      <c r="T4" s="369"/>
      <c r="U4" s="369"/>
      <c r="V4" s="369"/>
      <c r="W4" s="369"/>
      <c r="X4" s="369"/>
      <c r="Y4" s="369"/>
      <c r="Z4" s="369"/>
      <c r="AA4" s="366"/>
      <c r="AB4" s="366"/>
      <c r="AC4" s="366"/>
      <c r="AD4" s="366"/>
      <c r="AE4" s="366"/>
      <c r="AF4" s="366"/>
      <c r="AG4" s="366"/>
      <c r="AH4" s="366"/>
    </row>
    <row r="5" spans="1:34" s="15" customFormat="1" ht="18.75" customHeight="1">
      <c r="A5" s="357"/>
      <c r="B5" s="358" t="s">
        <v>696</v>
      </c>
      <c r="C5" s="357"/>
      <c r="D5" s="357"/>
      <c r="E5" s="357"/>
      <c r="F5" s="355"/>
      <c r="G5" s="357"/>
      <c r="H5" s="357"/>
      <c r="I5" s="357"/>
      <c r="J5" s="357"/>
      <c r="K5" s="357"/>
      <c r="L5" s="357"/>
      <c r="M5" s="357"/>
      <c r="N5" s="357"/>
      <c r="O5" s="357"/>
      <c r="P5" s="357"/>
      <c r="Q5" s="357"/>
      <c r="R5" s="357"/>
      <c r="S5" s="355"/>
      <c r="T5" s="355"/>
      <c r="U5" s="355"/>
      <c r="V5" s="355"/>
      <c r="W5" s="355"/>
      <c r="X5" s="355"/>
      <c r="Y5" s="355"/>
      <c r="Z5" s="355"/>
      <c r="AA5" s="356"/>
      <c r="AB5" s="356"/>
      <c r="AC5" s="356"/>
      <c r="AD5" s="356"/>
      <c r="AE5" s="356"/>
      <c r="AF5" s="356"/>
      <c r="AG5" s="356"/>
      <c r="AH5" s="356"/>
    </row>
    <row r="6" spans="1:34" ht="15.95" customHeight="1">
      <c r="A6" s="370"/>
      <c r="B6" s="713" t="s">
        <v>961</v>
      </c>
      <c r="C6" s="370"/>
      <c r="D6" s="370"/>
      <c r="E6" s="370"/>
      <c r="F6" s="370"/>
      <c r="G6" s="370"/>
      <c r="H6" s="370"/>
      <c r="I6" s="713" t="s">
        <v>959</v>
      </c>
      <c r="J6" s="370"/>
      <c r="K6" s="370"/>
      <c r="L6" s="370"/>
      <c r="M6" s="713" t="s">
        <v>834</v>
      </c>
      <c r="N6" s="370"/>
      <c r="O6" s="370"/>
      <c r="P6" s="370"/>
      <c r="Q6" s="370"/>
      <c r="R6" s="370"/>
      <c r="S6" s="713" t="s">
        <v>836</v>
      </c>
      <c r="T6" s="16"/>
      <c r="U6" s="16"/>
      <c r="V6" s="16"/>
      <c r="W6" s="16"/>
      <c r="X6" s="16"/>
      <c r="Y6" s="16"/>
      <c r="Z6" s="17"/>
      <c r="AA6" s="25"/>
      <c r="AB6" s="25"/>
      <c r="AC6" s="25"/>
      <c r="AD6" s="25"/>
      <c r="AE6" s="25"/>
      <c r="AF6" s="25"/>
      <c r="AG6" s="25"/>
      <c r="AH6" s="25"/>
    </row>
    <row r="7" spans="1:34" ht="15.95" customHeight="1">
      <c r="A7" s="370"/>
      <c r="B7" s="373" t="s">
        <v>1132</v>
      </c>
      <c r="C7" s="373"/>
      <c r="D7" s="373"/>
      <c r="E7" s="373"/>
      <c r="F7" s="370"/>
      <c r="G7" s="370"/>
      <c r="H7" s="373"/>
      <c r="I7" s="711" t="s">
        <v>135</v>
      </c>
      <c r="J7" s="370"/>
      <c r="K7" s="370"/>
      <c r="L7" s="370"/>
      <c r="M7" s="713" t="s">
        <v>835</v>
      </c>
      <c r="N7" s="370"/>
      <c r="O7" s="370"/>
      <c r="P7" s="370"/>
      <c r="Q7" s="370"/>
      <c r="R7" s="370"/>
      <c r="S7" s="17" t="s">
        <v>837</v>
      </c>
      <c r="T7" s="16"/>
      <c r="U7" s="16"/>
      <c r="V7" s="16"/>
      <c r="W7" s="16"/>
      <c r="X7" s="16"/>
      <c r="Y7" s="16"/>
      <c r="Z7" s="16"/>
      <c r="AA7" s="25"/>
      <c r="AB7" s="25"/>
      <c r="AC7" s="25"/>
      <c r="AD7" s="25"/>
      <c r="AE7" s="25"/>
      <c r="AF7" s="25"/>
      <c r="AG7" s="25"/>
      <c r="AH7" s="25"/>
    </row>
    <row r="8" spans="1:34" ht="15.95" customHeight="1">
      <c r="A8" s="370"/>
      <c r="B8" s="373" t="s">
        <v>24</v>
      </c>
      <c r="C8" s="370"/>
      <c r="D8" s="370"/>
      <c r="E8" s="370"/>
      <c r="F8" s="16"/>
      <c r="G8" s="370"/>
      <c r="H8" s="370"/>
      <c r="I8" s="373" t="s">
        <v>369</v>
      </c>
      <c r="J8" s="370"/>
      <c r="K8" s="370"/>
      <c r="L8" s="370"/>
      <c r="M8" s="370" t="s">
        <v>553</v>
      </c>
      <c r="N8" s="370"/>
      <c r="O8" s="370"/>
      <c r="P8" s="370"/>
      <c r="Q8" s="370"/>
      <c r="R8" s="370"/>
      <c r="S8" s="713" t="s">
        <v>554</v>
      </c>
      <c r="T8" s="16"/>
      <c r="U8" s="16"/>
      <c r="V8" s="16"/>
      <c r="W8" s="16"/>
      <c r="X8" s="16"/>
      <c r="Y8" s="16"/>
      <c r="Z8" s="16"/>
      <c r="AA8" s="25"/>
      <c r="AB8" s="25"/>
      <c r="AC8" s="25"/>
      <c r="AD8" s="25"/>
      <c r="AE8" s="25"/>
      <c r="AF8" s="25"/>
      <c r="AG8" s="25"/>
      <c r="AH8" s="25"/>
    </row>
    <row r="9" spans="1:34" ht="15.95" customHeight="1">
      <c r="A9" s="370"/>
      <c r="B9" s="711" t="s">
        <v>962</v>
      </c>
      <c r="C9" s="370"/>
      <c r="D9" s="370"/>
      <c r="E9" s="370"/>
      <c r="F9" s="16"/>
      <c r="G9" s="700"/>
      <c r="H9" s="370"/>
      <c r="I9" s="373" t="s">
        <v>833</v>
      </c>
      <c r="J9" s="370"/>
      <c r="K9" s="370"/>
      <c r="L9" s="370"/>
      <c r="M9" s="370" t="s">
        <v>25</v>
      </c>
      <c r="N9" s="370"/>
      <c r="O9" s="370"/>
      <c r="P9" s="370"/>
      <c r="Q9" s="370"/>
      <c r="R9" s="370"/>
      <c r="S9" s="713" t="s">
        <v>551</v>
      </c>
      <c r="T9" s="16"/>
      <c r="U9" s="16"/>
      <c r="V9" s="16"/>
      <c r="W9" s="16"/>
      <c r="X9" s="16"/>
      <c r="Y9" s="16"/>
      <c r="Z9" s="16"/>
      <c r="AA9" s="25"/>
      <c r="AB9" s="25"/>
      <c r="AC9" s="25"/>
      <c r="AD9" s="25"/>
      <c r="AE9" s="25"/>
      <c r="AF9" s="25"/>
      <c r="AG9" s="25"/>
      <c r="AH9" s="25"/>
    </row>
    <row r="10" spans="1:34" ht="15.95" customHeight="1">
      <c r="A10" s="370"/>
      <c r="B10" s="371" t="s">
        <v>125</v>
      </c>
      <c r="C10" s="370"/>
      <c r="D10" s="370"/>
      <c r="E10" s="370"/>
      <c r="F10" s="16"/>
      <c r="G10" s="370"/>
      <c r="H10" s="370"/>
      <c r="I10" s="370"/>
      <c r="J10" s="370"/>
      <c r="K10" s="370"/>
      <c r="L10" s="373"/>
      <c r="M10" s="373" t="s">
        <v>1133</v>
      </c>
      <c r="N10" s="373"/>
      <c r="O10" s="373"/>
      <c r="P10" s="373"/>
      <c r="Q10" s="373"/>
      <c r="R10" s="373"/>
      <c r="S10" s="713" t="s">
        <v>552</v>
      </c>
      <c r="T10" s="16"/>
      <c r="U10" s="16"/>
      <c r="V10" s="16"/>
      <c r="W10" s="16"/>
      <c r="X10" s="16"/>
      <c r="Y10" s="16"/>
      <c r="Z10" s="16"/>
      <c r="AA10" s="25"/>
      <c r="AB10" s="25"/>
      <c r="AC10" s="25"/>
      <c r="AD10" s="25"/>
      <c r="AE10" s="25"/>
      <c r="AF10" s="25"/>
      <c r="AG10" s="25"/>
      <c r="AH10" s="25"/>
    </row>
    <row r="11" spans="1:34" ht="15.95" customHeight="1">
      <c r="A11" s="370"/>
      <c r="B11" s="371" t="s">
        <v>130</v>
      </c>
      <c r="C11" s="370"/>
      <c r="D11" s="370"/>
      <c r="E11" s="370"/>
      <c r="F11" s="16"/>
      <c r="G11" s="370"/>
      <c r="H11" s="370"/>
      <c r="I11" s="370"/>
      <c r="J11" s="370"/>
      <c r="K11" s="370"/>
      <c r="L11" s="373"/>
      <c r="M11" s="711" t="s">
        <v>1002</v>
      </c>
      <c r="N11" s="373"/>
      <c r="O11" s="373"/>
      <c r="P11" s="373"/>
      <c r="Q11" s="373"/>
      <c r="R11" s="373"/>
      <c r="S11" s="370" t="s">
        <v>1001</v>
      </c>
      <c r="T11" s="370"/>
      <c r="U11" s="370"/>
      <c r="V11" s="370"/>
      <c r="W11" s="370"/>
      <c r="X11" s="370"/>
      <c r="Y11" s="370"/>
      <c r="Z11" s="370"/>
      <c r="AA11" s="25"/>
      <c r="AB11" s="25"/>
      <c r="AC11" s="25"/>
      <c r="AD11" s="25"/>
      <c r="AE11" s="25"/>
      <c r="AF11" s="25"/>
      <c r="AG11" s="25"/>
      <c r="AH11" s="25"/>
    </row>
    <row r="12" spans="1:34" ht="15.95" customHeight="1">
      <c r="A12" s="370"/>
      <c r="B12" s="371" t="s">
        <v>131</v>
      </c>
      <c r="C12" s="373"/>
      <c r="D12" s="373"/>
      <c r="E12" s="373"/>
      <c r="F12" s="700"/>
      <c r="G12" s="373"/>
      <c r="H12" s="373"/>
      <c r="I12" s="373"/>
      <c r="J12" s="373"/>
      <c r="K12" s="373"/>
      <c r="L12" s="370"/>
      <c r="M12" s="370"/>
      <c r="N12" s="370"/>
      <c r="O12" s="370"/>
      <c r="P12" s="370"/>
      <c r="Q12" s="370"/>
      <c r="R12" s="370"/>
      <c r="S12" s="370"/>
      <c r="T12" s="370"/>
      <c r="U12" s="370"/>
      <c r="V12" s="370"/>
      <c r="W12" s="370"/>
      <c r="X12" s="370"/>
      <c r="Y12" s="370"/>
      <c r="Z12" s="370"/>
      <c r="AA12" s="25"/>
      <c r="AB12" s="25"/>
      <c r="AC12" s="25"/>
      <c r="AD12" s="25"/>
      <c r="AE12" s="25"/>
      <c r="AF12" s="25"/>
      <c r="AG12" s="25"/>
      <c r="AH12" s="25"/>
    </row>
    <row r="13" spans="1:34" ht="15.95" customHeight="1">
      <c r="A13" s="370"/>
      <c r="B13" s="371" t="s">
        <v>132</v>
      </c>
      <c r="C13" s="373"/>
      <c r="D13" s="373"/>
      <c r="E13" s="373"/>
      <c r="F13" s="700"/>
      <c r="G13" s="373"/>
      <c r="H13" s="373"/>
      <c r="I13" s="373"/>
      <c r="J13" s="373"/>
      <c r="K13" s="373"/>
      <c r="L13" s="373"/>
      <c r="M13" s="711" t="s">
        <v>838</v>
      </c>
      <c r="N13" s="373"/>
      <c r="O13" s="373"/>
      <c r="P13" s="370"/>
      <c r="Q13" s="370"/>
      <c r="R13" s="370"/>
      <c r="S13" s="370"/>
      <c r="T13" s="370"/>
      <c r="U13" s="370"/>
      <c r="V13" s="370"/>
      <c r="W13" s="370"/>
      <c r="X13" s="370"/>
      <c r="Y13" s="370"/>
      <c r="Z13" s="370"/>
      <c r="AA13" s="25"/>
      <c r="AB13" s="25"/>
      <c r="AC13" s="25"/>
      <c r="AD13" s="25"/>
      <c r="AE13" s="25"/>
      <c r="AF13" s="25"/>
      <c r="AG13" s="25"/>
      <c r="AH13" s="25"/>
    </row>
    <row r="14" spans="1:34" ht="17.25" customHeight="1">
      <c r="A14" s="370"/>
      <c r="B14" s="372" t="s">
        <v>133</v>
      </c>
      <c r="C14" s="373"/>
      <c r="D14" s="373"/>
      <c r="E14" s="373"/>
      <c r="F14" s="700"/>
      <c r="G14" s="373"/>
      <c r="H14" s="373"/>
      <c r="I14" s="373"/>
      <c r="J14" s="373"/>
      <c r="K14" s="373"/>
      <c r="L14" s="373"/>
      <c r="M14" s="370" t="s">
        <v>584</v>
      </c>
      <c r="N14" s="370" t="s">
        <v>587</v>
      </c>
      <c r="O14" s="373"/>
      <c r="P14" s="370"/>
      <c r="Q14" s="370"/>
      <c r="R14" s="370"/>
      <c r="S14" s="370"/>
      <c r="T14" s="370"/>
      <c r="U14" s="370"/>
      <c r="V14" s="370"/>
      <c r="W14" s="370"/>
      <c r="X14" s="370"/>
      <c r="Y14" s="370"/>
      <c r="Z14" s="370"/>
      <c r="AA14" s="25"/>
      <c r="AB14" s="25"/>
      <c r="AC14" s="25"/>
      <c r="AD14" s="25"/>
      <c r="AE14" s="25"/>
      <c r="AF14" s="25"/>
      <c r="AG14" s="25"/>
      <c r="AH14" s="25"/>
    </row>
    <row r="15" spans="1:34" ht="15.95" customHeight="1">
      <c r="A15" s="370"/>
      <c r="B15" s="373" t="s">
        <v>134</v>
      </c>
      <c r="C15" s="373"/>
      <c r="D15" s="373"/>
      <c r="E15" s="373"/>
      <c r="F15" s="700"/>
      <c r="G15" s="373"/>
      <c r="H15" s="373"/>
      <c r="I15" s="373"/>
      <c r="J15" s="373"/>
      <c r="K15" s="373"/>
      <c r="L15" s="373"/>
      <c r="M15" s="370" t="s">
        <v>585</v>
      </c>
      <c r="N15" s="370" t="s">
        <v>588</v>
      </c>
      <c r="O15" s="373"/>
      <c r="P15" s="444" t="s">
        <v>697</v>
      </c>
      <c r="Q15" s="370"/>
      <c r="R15" s="370"/>
      <c r="S15" s="370"/>
      <c r="T15" s="370"/>
      <c r="U15" s="370"/>
      <c r="V15" s="370"/>
      <c r="W15" s="370"/>
      <c r="X15" s="370"/>
      <c r="Y15" s="370"/>
      <c r="Z15" s="370"/>
      <c r="AA15" s="25"/>
      <c r="AB15" s="25"/>
      <c r="AC15" s="25"/>
      <c r="AD15" s="25"/>
      <c r="AE15" s="25"/>
      <c r="AF15" s="25"/>
      <c r="AG15" s="25"/>
      <c r="AH15" s="25"/>
    </row>
    <row r="16" spans="1:34" ht="15.95" customHeight="1">
      <c r="A16" s="370"/>
      <c r="B16" s="711" t="s">
        <v>963</v>
      </c>
      <c r="C16" s="373"/>
      <c r="D16" s="373"/>
      <c r="E16" s="373"/>
      <c r="F16" s="700"/>
      <c r="G16" s="373"/>
      <c r="H16" s="711"/>
      <c r="I16" s="373"/>
      <c r="J16" s="373"/>
      <c r="K16" s="373"/>
      <c r="L16" s="373"/>
      <c r="M16" s="370" t="s">
        <v>586</v>
      </c>
      <c r="N16" s="370" t="s">
        <v>589</v>
      </c>
      <c r="O16" s="711"/>
      <c r="P16" s="370"/>
      <c r="Q16" s="370"/>
      <c r="R16" s="370"/>
      <c r="S16" s="370"/>
      <c r="T16" s="370"/>
      <c r="U16" s="370"/>
      <c r="V16" s="370"/>
      <c r="W16" s="370"/>
      <c r="X16" s="370"/>
      <c r="Y16" s="370"/>
      <c r="Z16" s="370"/>
      <c r="AA16" s="25"/>
      <c r="AB16" s="25"/>
      <c r="AC16" s="25"/>
      <c r="AD16" s="25"/>
      <c r="AE16" s="25"/>
      <c r="AF16" s="25"/>
      <c r="AG16" s="25"/>
      <c r="AH16" s="25"/>
    </row>
    <row r="17" spans="1:34" ht="17.25" customHeight="1">
      <c r="A17" s="370"/>
      <c r="B17" s="711" t="s">
        <v>964</v>
      </c>
      <c r="C17" s="373"/>
      <c r="D17" s="373"/>
      <c r="E17" s="373"/>
      <c r="F17" s="700"/>
      <c r="G17" s="373"/>
      <c r="H17" s="373"/>
      <c r="I17" s="969"/>
      <c r="J17" s="969" t="s">
        <v>960</v>
      </c>
      <c r="K17" s="373"/>
      <c r="L17" s="373"/>
      <c r="M17" s="373"/>
      <c r="N17" s="373"/>
      <c r="O17" s="713"/>
      <c r="P17" s="370"/>
      <c r="Q17" s="370"/>
      <c r="R17" s="370"/>
      <c r="S17" s="370"/>
      <c r="T17" s="370"/>
      <c r="U17" s="370"/>
      <c r="V17" s="969"/>
      <c r="W17" s="969"/>
      <c r="X17" s="370"/>
      <c r="Y17" s="370"/>
      <c r="Z17" s="370"/>
      <c r="AA17" s="25"/>
      <c r="AB17" s="25"/>
      <c r="AC17" s="25"/>
      <c r="AD17" s="25"/>
      <c r="AE17" s="25"/>
      <c r="AF17" s="25"/>
      <c r="AG17" s="25"/>
      <c r="AH17" s="25"/>
    </row>
    <row r="18" spans="1:34" ht="18.75" customHeight="1">
      <c r="A18" s="16"/>
      <c r="B18" s="374"/>
      <c r="C18" s="374"/>
      <c r="D18" s="374"/>
      <c r="E18" s="374"/>
      <c r="F18" s="375"/>
      <c r="G18" s="374"/>
      <c r="H18" s="374"/>
      <c r="I18" s="375"/>
      <c r="J18" s="375"/>
      <c r="K18" s="374"/>
      <c r="L18" s="374"/>
      <c r="M18" s="373"/>
      <c r="N18" s="373"/>
      <c r="O18" s="373"/>
      <c r="P18" s="370"/>
      <c r="Q18" s="370"/>
      <c r="R18" s="370"/>
      <c r="S18" s="370"/>
      <c r="T18" s="370"/>
      <c r="U18" s="370"/>
      <c r="V18" s="370"/>
      <c r="W18" s="370"/>
      <c r="X18" s="370"/>
      <c r="Y18" s="370"/>
      <c r="Z18" s="370"/>
      <c r="AA18" s="25"/>
      <c r="AB18" s="25"/>
      <c r="AC18" s="25"/>
      <c r="AD18" s="25"/>
      <c r="AE18" s="25"/>
      <c r="AF18" s="25"/>
      <c r="AG18" s="25"/>
      <c r="AH18" s="25"/>
    </row>
    <row r="19" spans="1:34">
      <c r="A19" s="92"/>
      <c r="B19" s="88"/>
      <c r="C19" s="359" t="s">
        <v>1134</v>
      </c>
      <c r="D19" s="360" t="s">
        <v>26</v>
      </c>
      <c r="E19" s="20"/>
      <c r="F19" s="20"/>
      <c r="G19" s="20"/>
      <c r="H19" s="361"/>
      <c r="I19" s="20"/>
      <c r="J19" s="20"/>
      <c r="K19" s="20" t="s">
        <v>137</v>
      </c>
      <c r="L19" s="20" t="s">
        <v>27</v>
      </c>
      <c r="M19" s="94"/>
      <c r="N19" s="94" t="s">
        <v>637</v>
      </c>
      <c r="O19" s="94"/>
      <c r="P19" s="95"/>
      <c r="Q19" s="997"/>
      <c r="R19" s="354"/>
      <c r="S19" s="231"/>
      <c r="T19" s="231"/>
      <c r="U19" s="231"/>
      <c r="V19" s="231"/>
      <c r="W19" s="231"/>
      <c r="X19" s="231"/>
      <c r="Y19" s="231"/>
      <c r="Z19" s="231"/>
      <c r="AA19" s="25"/>
      <c r="AB19" s="25"/>
      <c r="AC19" s="25"/>
      <c r="AD19" s="25"/>
      <c r="AE19" s="25"/>
      <c r="AF19" s="25"/>
      <c r="AG19" s="25"/>
      <c r="AH19" s="25"/>
    </row>
    <row r="20" spans="1:34" ht="15.75">
      <c r="A20" s="362"/>
      <c r="B20" s="363"/>
      <c r="C20" s="363"/>
      <c r="D20" s="21" t="s">
        <v>28</v>
      </c>
      <c r="E20" s="21" t="s">
        <v>138</v>
      </c>
      <c r="F20" s="21" t="s">
        <v>139</v>
      </c>
      <c r="G20" s="21" t="s">
        <v>140</v>
      </c>
      <c r="H20" s="21" t="s">
        <v>141</v>
      </c>
      <c r="I20" s="21" t="s">
        <v>142</v>
      </c>
      <c r="J20" s="21" t="s">
        <v>143</v>
      </c>
      <c r="K20" s="21" t="s">
        <v>144</v>
      </c>
      <c r="L20" s="21" t="s">
        <v>29</v>
      </c>
      <c r="M20" s="96" t="s">
        <v>555</v>
      </c>
      <c r="N20" s="97" t="s">
        <v>145</v>
      </c>
      <c r="O20" s="97"/>
      <c r="P20" s="98"/>
      <c r="Q20" s="997"/>
      <c r="R20" s="231"/>
      <c r="S20" s="231"/>
      <c r="T20" s="231"/>
      <c r="U20" s="231"/>
      <c r="V20" s="231"/>
      <c r="W20" s="231"/>
      <c r="X20" s="231"/>
      <c r="Y20" s="231"/>
      <c r="Z20" s="231"/>
      <c r="AA20" s="25"/>
      <c r="AB20" s="25"/>
      <c r="AC20" s="25"/>
      <c r="AD20" s="25"/>
      <c r="AE20" s="25"/>
      <c r="AF20" s="25"/>
      <c r="AG20" s="25"/>
      <c r="AH20" s="25"/>
    </row>
    <row r="21" spans="1:34" ht="15" customHeight="1">
      <c r="A21" s="997"/>
      <c r="B21" s="997"/>
      <c r="C21" s="103" t="s">
        <v>30</v>
      </c>
      <c r="D21" s="101"/>
      <c r="E21" s="101"/>
      <c r="F21" s="102"/>
      <c r="G21" s="101"/>
      <c r="H21" s="101"/>
      <c r="I21" s="101"/>
      <c r="J21" s="101"/>
      <c r="K21" s="101"/>
      <c r="L21" s="101"/>
      <c r="M21" s="101"/>
      <c r="N21" s="101"/>
      <c r="O21" s="101"/>
      <c r="P21" s="7"/>
      <c r="Q21" s="997"/>
      <c r="R21" s="231"/>
      <c r="S21" s="231"/>
      <c r="T21" s="231"/>
      <c r="U21" s="231"/>
      <c r="V21" s="231"/>
      <c r="W21" s="231"/>
      <c r="X21" s="231"/>
      <c r="Y21" s="231"/>
      <c r="Z21" s="231"/>
      <c r="AA21" s="25"/>
      <c r="AB21" s="25"/>
      <c r="AC21" s="25"/>
      <c r="AD21" s="25"/>
      <c r="AE21" s="25"/>
      <c r="AF21" s="25"/>
      <c r="AG21" s="25"/>
      <c r="AH21" s="25"/>
    </row>
    <row r="22" spans="1:34" ht="12.95" customHeight="1">
      <c r="A22" s="997"/>
      <c r="B22" s="997">
        <v>1</v>
      </c>
      <c r="C22" s="1015" t="s">
        <v>128</v>
      </c>
      <c r="D22" s="1016">
        <v>-1</v>
      </c>
      <c r="E22" s="1016">
        <v>4.7569999999999997</v>
      </c>
      <c r="F22" s="1016"/>
      <c r="G22" s="1016"/>
      <c r="H22" s="1016"/>
      <c r="I22" s="1016"/>
      <c r="J22" s="1016"/>
      <c r="K22" s="1016">
        <v>25</v>
      </c>
      <c r="L22" s="1017">
        <v>0</v>
      </c>
      <c r="M22" s="1018" t="s">
        <v>148</v>
      </c>
      <c r="N22" s="1019">
        <v>60.052</v>
      </c>
      <c r="O22" s="1020"/>
      <c r="P22" s="1021"/>
      <c r="Q22" s="997"/>
      <c r="R22" s="231"/>
      <c r="S22" s="231"/>
      <c r="T22" s="231"/>
      <c r="U22" s="231"/>
      <c r="V22" s="231"/>
      <c r="W22" s="231"/>
      <c r="X22" s="231"/>
      <c r="Y22" s="231"/>
      <c r="Z22" s="231"/>
      <c r="AA22" s="25"/>
      <c r="AB22" s="25"/>
      <c r="AC22" s="25"/>
      <c r="AD22" s="25"/>
      <c r="AE22" s="25"/>
      <c r="AF22" s="25"/>
      <c r="AG22" s="25"/>
      <c r="AH22" s="25"/>
    </row>
    <row r="23" spans="1:34" ht="12.95" customHeight="1">
      <c r="A23" s="997"/>
      <c r="B23" s="997">
        <v>2</v>
      </c>
      <c r="C23" s="1000" t="s">
        <v>129</v>
      </c>
      <c r="D23" s="1016">
        <v>0</v>
      </c>
      <c r="E23" s="1003">
        <v>9.2439999999999998</v>
      </c>
      <c r="F23" s="1003"/>
      <c r="G23" s="1003"/>
      <c r="H23" s="1016"/>
      <c r="I23" s="1016"/>
      <c r="J23" s="1016"/>
      <c r="K23" s="1016">
        <v>25</v>
      </c>
      <c r="L23" s="1017">
        <v>0</v>
      </c>
      <c r="M23" s="1018" t="s">
        <v>346</v>
      </c>
      <c r="N23" s="1019">
        <v>17.026</v>
      </c>
      <c r="O23" s="1020"/>
      <c r="P23" s="1021"/>
      <c r="Q23" s="997"/>
      <c r="R23" s="231"/>
      <c r="S23" s="231"/>
      <c r="T23" s="231"/>
      <c r="U23" s="231"/>
      <c r="V23" s="231"/>
      <c r="W23" s="231"/>
      <c r="X23" s="231"/>
      <c r="Y23" s="231"/>
      <c r="Z23" s="231"/>
      <c r="AA23" s="25"/>
      <c r="AB23" s="25"/>
      <c r="AC23" s="25"/>
      <c r="AD23" s="25"/>
      <c r="AE23" s="25"/>
      <c r="AF23" s="25"/>
      <c r="AG23" s="25"/>
      <c r="AH23" s="25"/>
    </row>
    <row r="24" spans="1:34" ht="12.95" customHeight="1">
      <c r="A24" s="997"/>
      <c r="B24" s="997">
        <v>3</v>
      </c>
      <c r="C24" s="1000" t="s">
        <v>161</v>
      </c>
      <c r="D24" s="1001">
        <v>-2</v>
      </c>
      <c r="E24" s="1003">
        <v>6.3520000000000003</v>
      </c>
      <c r="F24" s="1003">
        <v>10.329000000000001</v>
      </c>
      <c r="G24" s="1003"/>
      <c r="H24" s="1001"/>
      <c r="I24" s="1001"/>
      <c r="J24" s="1001"/>
      <c r="K24" s="1001">
        <v>25</v>
      </c>
      <c r="L24" s="997">
        <v>0</v>
      </c>
      <c r="M24" s="1022" t="s">
        <v>331</v>
      </c>
      <c r="N24" s="1005"/>
      <c r="O24" s="1020"/>
      <c r="P24" s="1021"/>
      <c r="Q24" s="997"/>
      <c r="R24" s="231"/>
      <c r="S24" s="231"/>
      <c r="T24" s="231"/>
      <c r="U24" s="231"/>
      <c r="V24" s="231"/>
      <c r="W24" s="231"/>
      <c r="X24" s="231"/>
      <c r="Y24" s="231"/>
      <c r="Z24" s="231"/>
      <c r="AA24" s="25"/>
      <c r="AB24" s="25"/>
      <c r="AC24" s="25"/>
      <c r="AD24" s="25"/>
      <c r="AE24" s="25"/>
      <c r="AF24" s="25"/>
      <c r="AG24" s="25"/>
      <c r="AH24" s="25"/>
    </row>
    <row r="25" spans="1:34" ht="12.95" customHeight="1">
      <c r="A25" s="997"/>
      <c r="B25" s="997">
        <v>4</v>
      </c>
      <c r="C25" s="1000" t="s">
        <v>136</v>
      </c>
      <c r="D25" s="1016">
        <v>-3</v>
      </c>
      <c r="E25" s="1003">
        <v>3.1280000000000001</v>
      </c>
      <c r="F25" s="1003">
        <v>4.7610000000000001</v>
      </c>
      <c r="G25" s="1003">
        <v>6.3959999999999999</v>
      </c>
      <c r="H25" s="1016"/>
      <c r="I25" s="1016"/>
      <c r="J25" s="1016"/>
      <c r="K25" s="1016">
        <v>25</v>
      </c>
      <c r="L25" s="1017">
        <v>0</v>
      </c>
      <c r="M25" s="1023" t="s">
        <v>355</v>
      </c>
      <c r="N25" s="1024">
        <v>192.02699999999999</v>
      </c>
      <c r="O25" s="1020"/>
      <c r="P25" s="1021"/>
      <c r="Q25" s="997"/>
      <c r="R25" s="231"/>
      <c r="S25" s="231"/>
      <c r="T25" s="231"/>
      <c r="U25" s="231"/>
      <c r="V25" s="231"/>
      <c r="W25" s="231"/>
      <c r="X25" s="231"/>
      <c r="Y25" s="231"/>
      <c r="Z25" s="231"/>
      <c r="AA25" s="25"/>
      <c r="AB25" s="25"/>
      <c r="AC25" s="25"/>
      <c r="AD25" s="25"/>
      <c r="AE25" s="25"/>
      <c r="AF25" s="25"/>
      <c r="AG25" s="25"/>
      <c r="AH25" s="25"/>
    </row>
    <row r="26" spans="1:34" ht="12.95" customHeight="1">
      <c r="A26" s="997"/>
      <c r="B26" s="997">
        <v>5</v>
      </c>
      <c r="C26" s="1000" t="s">
        <v>333</v>
      </c>
      <c r="D26" s="1016">
        <v>-4</v>
      </c>
      <c r="E26" s="1163">
        <v>-0.21</v>
      </c>
      <c r="F26" s="1163">
        <v>1.5</v>
      </c>
      <c r="G26" s="1164">
        <v>2.21</v>
      </c>
      <c r="H26" s="1165">
        <v>3.11</v>
      </c>
      <c r="I26" s="1166">
        <v>6.75</v>
      </c>
      <c r="J26" s="1166">
        <v>11.03</v>
      </c>
      <c r="K26" s="1166">
        <v>25</v>
      </c>
      <c r="L26" s="988">
        <v>0</v>
      </c>
      <c r="M26" s="1018" t="s">
        <v>146</v>
      </c>
      <c r="N26" s="1019">
        <v>292.08999999999997</v>
      </c>
      <c r="O26" s="1020"/>
      <c r="P26" s="1021"/>
      <c r="Q26" s="997"/>
      <c r="R26" s="231"/>
      <c r="S26" s="231"/>
      <c r="T26" s="231"/>
      <c r="U26" s="231"/>
      <c r="V26" s="231"/>
      <c r="W26" s="231"/>
      <c r="X26" s="231"/>
      <c r="Y26" s="231"/>
      <c r="Z26" s="231"/>
      <c r="AA26" s="25"/>
      <c r="AB26" s="25"/>
      <c r="AC26" s="25"/>
      <c r="AD26" s="25"/>
      <c r="AE26" s="25"/>
      <c r="AF26" s="25"/>
      <c r="AG26" s="25"/>
      <c r="AH26" s="25"/>
    </row>
    <row r="27" spans="1:34" ht="12.95" customHeight="1">
      <c r="A27" s="997"/>
      <c r="B27" s="997">
        <v>6</v>
      </c>
      <c r="C27" s="1015" t="s">
        <v>329</v>
      </c>
      <c r="D27" s="1016">
        <v>-1</v>
      </c>
      <c r="E27" s="1008">
        <v>-7</v>
      </c>
      <c r="F27" s="1009"/>
      <c r="G27" s="1009"/>
      <c r="H27" s="1009"/>
      <c r="I27" s="1009"/>
      <c r="J27" s="1009"/>
      <c r="K27" s="1010">
        <v>25</v>
      </c>
      <c r="L27" s="1007">
        <v>0</v>
      </c>
      <c r="M27" s="1025" t="s">
        <v>329</v>
      </c>
      <c r="N27" s="1019"/>
      <c r="O27" s="1020"/>
      <c r="P27" s="1021"/>
      <c r="Q27" s="997"/>
      <c r="R27" s="231"/>
      <c r="S27" s="231"/>
      <c r="T27" s="231"/>
      <c r="U27" s="231"/>
      <c r="V27" s="231"/>
      <c r="W27" s="231"/>
      <c r="X27" s="231"/>
      <c r="Y27" s="231"/>
      <c r="Z27" s="231"/>
      <c r="AA27" s="25"/>
      <c r="AB27" s="25"/>
      <c r="AC27" s="25"/>
      <c r="AD27" s="25"/>
      <c r="AE27" s="25"/>
      <c r="AF27" s="25"/>
      <c r="AG27" s="25"/>
      <c r="AH27" s="25"/>
    </row>
    <row r="28" spans="1:34" ht="12.95" customHeight="1">
      <c r="A28" s="997"/>
      <c r="B28" s="997">
        <v>7</v>
      </c>
      <c r="C28" s="1000" t="s">
        <v>629</v>
      </c>
      <c r="D28" s="1001">
        <v>-1</v>
      </c>
      <c r="E28" s="1002">
        <v>15.744999999999999</v>
      </c>
      <c r="F28" s="1003"/>
      <c r="G28" s="1003"/>
      <c r="H28" s="1001"/>
      <c r="I28" s="1001"/>
      <c r="J28" s="1001"/>
      <c r="K28" s="1001">
        <v>25</v>
      </c>
      <c r="L28" s="997">
        <v>0</v>
      </c>
      <c r="M28" s="1022" t="s">
        <v>556</v>
      </c>
      <c r="N28" s="1005"/>
      <c r="O28" s="1026"/>
      <c r="P28" s="1021"/>
      <c r="Q28" s="997"/>
      <c r="R28" s="231"/>
      <c r="S28" s="231"/>
      <c r="T28" s="231"/>
      <c r="U28" s="231"/>
      <c r="V28" s="231"/>
      <c r="W28" s="231"/>
      <c r="X28" s="231"/>
      <c r="Y28" s="231"/>
      <c r="Z28" s="231"/>
      <c r="AA28" s="25"/>
      <c r="AB28" s="25"/>
      <c r="AC28" s="25"/>
      <c r="AD28" s="25"/>
      <c r="AE28" s="25"/>
      <c r="AF28" s="25"/>
      <c r="AG28" s="25"/>
      <c r="AH28" s="25"/>
    </row>
    <row r="29" spans="1:34" ht="12.95" customHeight="1">
      <c r="A29" s="997"/>
      <c r="B29" s="997">
        <v>8</v>
      </c>
      <c r="C29" s="1000" t="s">
        <v>126</v>
      </c>
      <c r="D29" s="1016">
        <v>-3</v>
      </c>
      <c r="E29" s="1003">
        <v>2.1480000000000001</v>
      </c>
      <c r="F29" s="1003">
        <v>7.1989999999999998</v>
      </c>
      <c r="G29" s="1003">
        <v>12.35</v>
      </c>
      <c r="H29" s="1016"/>
      <c r="I29" s="1016"/>
      <c r="J29" s="1016"/>
      <c r="K29" s="1016">
        <v>25</v>
      </c>
      <c r="L29" s="1017">
        <v>0</v>
      </c>
      <c r="M29" s="1018" t="s">
        <v>147</v>
      </c>
      <c r="N29" s="1019">
        <v>97.975999999999999</v>
      </c>
      <c r="O29" s="1026"/>
      <c r="P29" s="1021"/>
      <c r="Q29" s="997"/>
      <c r="R29" s="231"/>
      <c r="S29" s="231"/>
      <c r="T29" s="231"/>
      <c r="U29" s="231"/>
      <c r="V29" s="231"/>
      <c r="W29" s="231"/>
      <c r="X29" s="231"/>
      <c r="Y29" s="231"/>
      <c r="Z29" s="231"/>
      <c r="AA29" s="25"/>
      <c r="AB29" s="25"/>
      <c r="AC29" s="25"/>
      <c r="AD29" s="25"/>
      <c r="AE29" s="25"/>
      <c r="AF29" s="25"/>
      <c r="AG29" s="25"/>
      <c r="AH29" s="25"/>
    </row>
    <row r="30" spans="1:34" ht="12.95" customHeight="1">
      <c r="A30" s="997"/>
      <c r="B30" s="997">
        <v>9</v>
      </c>
      <c r="C30" s="1027"/>
      <c r="D30" s="997">
        <v>0</v>
      </c>
      <c r="E30" s="997">
        <v>0</v>
      </c>
      <c r="F30" s="997"/>
      <c r="G30" s="997"/>
      <c r="H30" s="999"/>
      <c r="I30" s="997"/>
      <c r="J30" s="997"/>
      <c r="K30" s="997"/>
      <c r="L30" s="997"/>
      <c r="M30" s="1014"/>
      <c r="N30" s="1028"/>
      <c r="O30" s="1029"/>
      <c r="P30" s="1021"/>
      <c r="Q30" s="997"/>
      <c r="R30" s="231"/>
      <c r="S30" s="231"/>
      <c r="T30" s="231"/>
      <c r="U30" s="231"/>
      <c r="V30" s="231"/>
      <c r="W30" s="231"/>
      <c r="X30" s="231"/>
      <c r="Y30" s="231"/>
      <c r="Z30" s="231"/>
    </row>
    <row r="31" spans="1:34" ht="12.95" customHeight="1">
      <c r="A31" s="997"/>
      <c r="B31" s="997">
        <v>10</v>
      </c>
      <c r="C31" s="1027"/>
      <c r="D31" s="997">
        <v>0</v>
      </c>
      <c r="E31" s="997">
        <v>0</v>
      </c>
      <c r="F31" s="997"/>
      <c r="G31" s="997"/>
      <c r="H31" s="999"/>
      <c r="I31" s="997"/>
      <c r="J31" s="997"/>
      <c r="K31" s="997"/>
      <c r="L31" s="997"/>
      <c r="M31" s="1014"/>
      <c r="N31" s="1028"/>
      <c r="O31" s="1029"/>
      <c r="P31" s="1021"/>
      <c r="Q31" s="997"/>
      <c r="R31" s="231"/>
      <c r="S31" s="231"/>
      <c r="T31" s="231"/>
      <c r="U31" s="231"/>
      <c r="V31" s="231"/>
      <c r="W31" s="231"/>
      <c r="X31" s="231"/>
      <c r="Y31" s="231"/>
      <c r="Z31" s="231"/>
    </row>
    <row r="32" spans="1:34">
      <c r="A32" s="2"/>
      <c r="B32" s="997">
        <v>11</v>
      </c>
      <c r="C32" s="970" t="s">
        <v>31</v>
      </c>
      <c r="D32" s="970"/>
      <c r="E32" s="970" t="s">
        <v>32</v>
      </c>
      <c r="F32" s="971"/>
      <c r="G32" s="971"/>
      <c r="H32" s="971"/>
      <c r="I32" s="971"/>
      <c r="J32" s="971"/>
      <c r="K32" s="970" t="s">
        <v>33</v>
      </c>
      <c r="L32" s="970"/>
      <c r="M32" s="971"/>
      <c r="N32" s="972"/>
      <c r="O32" s="102"/>
      <c r="P32" s="7"/>
      <c r="Q32" s="997"/>
      <c r="R32" s="231"/>
      <c r="S32" s="231"/>
      <c r="T32" s="231"/>
      <c r="U32" s="231"/>
      <c r="V32" s="231"/>
      <c r="W32" s="231"/>
      <c r="X32" s="231"/>
      <c r="Y32" s="231"/>
      <c r="Z32" s="231"/>
    </row>
    <row r="33" spans="1:34">
      <c r="A33" s="996"/>
      <c r="B33" s="997">
        <v>12</v>
      </c>
      <c r="C33" s="998" t="s">
        <v>381</v>
      </c>
      <c r="D33" s="997">
        <v>0</v>
      </c>
      <c r="E33" s="997">
        <v>0.63</v>
      </c>
      <c r="F33" s="999"/>
      <c r="G33" s="1000"/>
      <c r="H33" s="1001"/>
      <c r="I33" s="1002"/>
      <c r="J33" s="1003"/>
      <c r="K33" s="1003">
        <v>25</v>
      </c>
      <c r="L33" s="1001">
        <v>0</v>
      </c>
      <c r="M33" s="1004" t="s">
        <v>380</v>
      </c>
      <c r="N33" s="1005">
        <v>59.067</v>
      </c>
      <c r="O33" s="1006"/>
      <c r="P33" s="997"/>
      <c r="Q33" s="997"/>
      <c r="R33" s="231"/>
      <c r="S33" s="231"/>
      <c r="T33" s="231"/>
      <c r="U33" s="231"/>
      <c r="V33" s="231"/>
      <c r="W33" s="231"/>
      <c r="X33" s="231"/>
      <c r="Y33" s="231"/>
      <c r="Z33" s="231"/>
      <c r="AA33" s="25"/>
      <c r="AB33" s="25"/>
      <c r="AC33" s="25"/>
      <c r="AD33" s="25"/>
      <c r="AE33" s="25"/>
      <c r="AF33" s="25"/>
      <c r="AG33" s="25"/>
      <c r="AH33" s="25"/>
    </row>
    <row r="34" spans="1:34">
      <c r="A34" s="996"/>
      <c r="B34" s="997">
        <v>13</v>
      </c>
      <c r="C34" s="998" t="s">
        <v>128</v>
      </c>
      <c r="D34" s="997">
        <v>-1</v>
      </c>
      <c r="E34" s="997">
        <v>4.7569999999999997</v>
      </c>
      <c r="F34" s="999"/>
      <c r="G34" s="1000"/>
      <c r="H34" s="1001"/>
      <c r="I34" s="1002"/>
      <c r="J34" s="1003"/>
      <c r="K34" s="1003">
        <v>25</v>
      </c>
      <c r="L34" s="1001">
        <v>0</v>
      </c>
      <c r="M34" s="1004" t="s">
        <v>148</v>
      </c>
      <c r="N34" s="1005">
        <v>60.052</v>
      </c>
      <c r="O34" s="1006"/>
      <c r="P34" s="997"/>
      <c r="Q34" s="997"/>
      <c r="R34" s="100"/>
      <c r="S34" s="100"/>
      <c r="T34" s="100"/>
      <c r="U34" s="100"/>
      <c r="V34" s="100"/>
      <c r="W34" s="100"/>
      <c r="X34" s="100"/>
      <c r="Y34" s="100"/>
      <c r="Z34" s="100"/>
      <c r="AA34" s="25"/>
      <c r="AB34" s="25"/>
      <c r="AC34" s="25"/>
      <c r="AD34" s="25"/>
      <c r="AE34" s="25"/>
      <c r="AF34" s="25"/>
      <c r="AG34" s="25"/>
      <c r="AH34" s="25"/>
    </row>
    <row r="35" spans="1:34">
      <c r="A35" s="996"/>
      <c r="B35" s="997">
        <v>14</v>
      </c>
      <c r="C35" s="998" t="s">
        <v>411</v>
      </c>
      <c r="D35" s="997">
        <v>-1</v>
      </c>
      <c r="E35" s="997">
        <v>3.58</v>
      </c>
      <c r="F35" s="999"/>
      <c r="G35" s="1000"/>
      <c r="H35" s="1001"/>
      <c r="I35" s="1002"/>
      <c r="J35" s="1003"/>
      <c r="K35" s="1003">
        <v>18</v>
      </c>
      <c r="L35" s="1001">
        <v>0</v>
      </c>
      <c r="M35" s="1004" t="s">
        <v>410</v>
      </c>
      <c r="N35" s="1005">
        <v>102.089</v>
      </c>
      <c r="O35" s="1006"/>
      <c r="P35" s="997"/>
      <c r="Q35" s="997"/>
      <c r="R35" s="100"/>
      <c r="S35" s="100"/>
      <c r="T35" s="100"/>
      <c r="U35" s="100"/>
      <c r="V35" s="100"/>
      <c r="W35" s="100"/>
      <c r="X35" s="100"/>
      <c r="Y35" s="100"/>
      <c r="Z35" s="100"/>
      <c r="AA35" s="25"/>
      <c r="AB35" s="25"/>
      <c r="AC35" s="25"/>
      <c r="AD35" s="25"/>
      <c r="AE35" s="25"/>
      <c r="AF35" s="25"/>
      <c r="AG35" s="25"/>
      <c r="AH35" s="25"/>
    </row>
    <row r="36" spans="1:34">
      <c r="A36" s="996"/>
      <c r="B36" s="997">
        <v>15</v>
      </c>
      <c r="C36" s="998" t="s">
        <v>388</v>
      </c>
      <c r="D36" s="997">
        <v>-1</v>
      </c>
      <c r="E36" s="997">
        <v>4.25</v>
      </c>
      <c r="F36" s="999"/>
      <c r="G36" s="1000"/>
      <c r="H36" s="1001"/>
      <c r="I36" s="1002"/>
      <c r="J36" s="1003"/>
      <c r="K36" s="1003">
        <v>25</v>
      </c>
      <c r="L36" s="1001">
        <v>0</v>
      </c>
      <c r="M36" s="1004" t="s">
        <v>387</v>
      </c>
      <c r="N36" s="1005">
        <v>72.063000000000002</v>
      </c>
      <c r="O36" s="1006"/>
      <c r="P36" s="997"/>
      <c r="Q36" s="997"/>
      <c r="R36" s="100"/>
      <c r="S36" s="100"/>
      <c r="T36" s="100"/>
      <c r="U36" s="100"/>
      <c r="V36" s="100"/>
      <c r="W36" s="100"/>
      <c r="X36" s="100"/>
      <c r="Y36" s="100"/>
      <c r="Z36" s="100"/>
      <c r="AA36" s="25"/>
      <c r="AB36" s="25"/>
      <c r="AC36" s="25"/>
      <c r="AD36" s="25"/>
      <c r="AE36" s="25"/>
      <c r="AF36" s="25"/>
      <c r="AG36" s="25"/>
      <c r="AH36" s="25"/>
    </row>
    <row r="37" spans="1:34">
      <c r="A37" s="996"/>
      <c r="B37" s="997">
        <v>16</v>
      </c>
      <c r="C37" s="998" t="s">
        <v>48</v>
      </c>
      <c r="D37" s="997">
        <v>-2</v>
      </c>
      <c r="E37" s="997">
        <v>4.43</v>
      </c>
      <c r="F37" s="999">
        <v>5.41</v>
      </c>
      <c r="G37" s="1000"/>
      <c r="H37" s="1001"/>
      <c r="I37" s="1002"/>
      <c r="J37" s="1003"/>
      <c r="K37" s="1003">
        <v>25</v>
      </c>
      <c r="L37" s="1001">
        <v>0</v>
      </c>
      <c r="M37" s="1004" t="s">
        <v>47</v>
      </c>
      <c r="N37" s="1005">
        <v>146.143</v>
      </c>
      <c r="O37" s="1006"/>
      <c r="P37" s="997"/>
      <c r="Q37" s="997"/>
      <c r="R37" s="100"/>
      <c r="S37" s="100"/>
      <c r="T37" s="100"/>
      <c r="U37" s="100"/>
      <c r="V37" s="100"/>
      <c r="W37" s="100"/>
      <c r="X37" s="100"/>
      <c r="Y37" s="100"/>
      <c r="Z37" s="100"/>
      <c r="AA37" s="25"/>
      <c r="AB37" s="25"/>
      <c r="AC37" s="25"/>
      <c r="AD37" s="25"/>
      <c r="AE37" s="25"/>
      <c r="AF37" s="25"/>
      <c r="AG37" s="25"/>
      <c r="AH37" s="25"/>
    </row>
    <row r="38" spans="1:34">
      <c r="A38" s="996"/>
      <c r="B38" s="997">
        <v>17</v>
      </c>
      <c r="C38" s="998" t="s">
        <v>149</v>
      </c>
      <c r="D38" s="997">
        <v>-1</v>
      </c>
      <c r="E38" s="997">
        <v>2.3479999999999999</v>
      </c>
      <c r="F38" s="999">
        <v>9.8670000000000009</v>
      </c>
      <c r="G38" s="1000"/>
      <c r="H38" s="1001"/>
      <c r="I38" s="1002"/>
      <c r="J38" s="1003"/>
      <c r="K38" s="1003">
        <v>25</v>
      </c>
      <c r="L38" s="1001">
        <v>0</v>
      </c>
      <c r="M38" s="1004" t="s">
        <v>150</v>
      </c>
      <c r="N38" s="1005">
        <v>89.093999999999994</v>
      </c>
      <c r="O38" s="1006"/>
      <c r="P38" s="997"/>
      <c r="Q38" s="997"/>
      <c r="R38" s="100"/>
      <c r="S38" s="100"/>
      <c r="T38" s="100"/>
      <c r="U38" s="100"/>
      <c r="V38" s="100"/>
      <c r="W38" s="100"/>
      <c r="X38" s="100"/>
      <c r="Y38" s="100"/>
      <c r="Z38" s="100"/>
      <c r="AA38" s="25"/>
      <c r="AB38" s="25"/>
      <c r="AC38" s="25"/>
      <c r="AD38" s="25"/>
      <c r="AE38" s="25"/>
      <c r="AF38" s="25"/>
      <c r="AG38" s="25"/>
      <c r="AH38" s="25"/>
    </row>
    <row r="39" spans="1:34">
      <c r="A39" s="996"/>
      <c r="B39" s="997">
        <v>18</v>
      </c>
      <c r="C39" s="998" t="s">
        <v>557</v>
      </c>
      <c r="D39" s="997">
        <v>0</v>
      </c>
      <c r="E39" s="997">
        <v>4.5999999999999996</v>
      </c>
      <c r="F39" s="999"/>
      <c r="G39" s="1000"/>
      <c r="H39" s="1001"/>
      <c r="I39" s="1002"/>
      <c r="J39" s="1003"/>
      <c r="K39" s="1003">
        <v>25</v>
      </c>
      <c r="L39" s="1001">
        <v>0</v>
      </c>
      <c r="M39" s="1004" t="s">
        <v>558</v>
      </c>
      <c r="N39" s="1005">
        <v>93.13</v>
      </c>
      <c r="O39" s="1006"/>
      <c r="P39" s="997"/>
      <c r="Q39" s="997"/>
      <c r="R39" s="100"/>
      <c r="S39" s="100"/>
      <c r="T39" s="100"/>
      <c r="U39" s="100"/>
      <c r="V39" s="100"/>
      <c r="W39" s="100"/>
      <c r="X39" s="100"/>
      <c r="Y39" s="100"/>
      <c r="Z39" s="100"/>
      <c r="AA39" s="25"/>
      <c r="AB39" s="25"/>
      <c r="AC39" s="25"/>
      <c r="AD39" s="25"/>
      <c r="AE39" s="25"/>
      <c r="AF39" s="25"/>
      <c r="AG39" s="25"/>
      <c r="AH39" s="25"/>
    </row>
    <row r="40" spans="1:34">
      <c r="A40" s="996"/>
      <c r="B40" s="997">
        <v>19</v>
      </c>
      <c r="C40" s="998" t="s">
        <v>80</v>
      </c>
      <c r="D40" s="997">
        <v>-1</v>
      </c>
      <c r="E40" s="997">
        <v>2.1080000000000001</v>
      </c>
      <c r="F40" s="999">
        <v>4.9459999999999997</v>
      </c>
      <c r="G40" s="1000"/>
      <c r="H40" s="1001"/>
      <c r="I40" s="1002"/>
      <c r="J40" s="1003"/>
      <c r="K40" s="1003">
        <v>25</v>
      </c>
      <c r="L40" s="1001">
        <v>0</v>
      </c>
      <c r="M40" s="1004" t="s">
        <v>79</v>
      </c>
      <c r="N40" s="1005">
        <v>137.13800000000001</v>
      </c>
      <c r="O40" s="1006"/>
      <c r="P40" s="997"/>
      <c r="Q40" s="997"/>
      <c r="R40" s="100"/>
      <c r="S40" s="100"/>
      <c r="T40" s="100"/>
      <c r="U40" s="100"/>
      <c r="V40" s="100"/>
      <c r="W40" s="100"/>
      <c r="X40" s="100"/>
      <c r="Y40" s="100"/>
      <c r="Z40" s="100"/>
      <c r="AA40" s="25"/>
      <c r="AB40" s="25"/>
      <c r="AC40" s="25"/>
      <c r="AD40" s="25"/>
      <c r="AE40" s="25"/>
      <c r="AF40" s="25"/>
      <c r="AG40" s="25"/>
      <c r="AH40" s="25"/>
    </row>
    <row r="41" spans="1:34">
      <c r="A41" s="996"/>
      <c r="B41" s="997">
        <v>20</v>
      </c>
      <c r="C41" s="998" t="s">
        <v>81</v>
      </c>
      <c r="D41" s="997">
        <v>-1</v>
      </c>
      <c r="E41" s="997">
        <v>2.5009999999999999</v>
      </c>
      <c r="F41" s="999">
        <v>4.8739999999999997</v>
      </c>
      <c r="G41" s="1000"/>
      <c r="H41" s="1001"/>
      <c r="I41" s="1002"/>
      <c r="J41" s="1003"/>
      <c r="K41" s="1003">
        <v>25</v>
      </c>
      <c r="L41" s="1001">
        <v>0</v>
      </c>
      <c r="M41" s="1004" t="s">
        <v>79</v>
      </c>
      <c r="N41" s="1005">
        <v>137.13800000000001</v>
      </c>
      <c r="O41" s="1006"/>
      <c r="P41" s="997"/>
      <c r="Q41" s="997"/>
      <c r="R41" s="100"/>
      <c r="S41" s="100"/>
      <c r="T41" s="100"/>
      <c r="U41" s="100"/>
      <c r="V41" s="100"/>
      <c r="W41" s="100"/>
      <c r="X41" s="100"/>
      <c r="Y41" s="100"/>
      <c r="Z41" s="100"/>
      <c r="AA41" s="25"/>
      <c r="AB41" s="25"/>
      <c r="AC41" s="25"/>
      <c r="AD41" s="25"/>
      <c r="AE41" s="25"/>
      <c r="AF41" s="25"/>
      <c r="AG41" s="25"/>
      <c r="AH41" s="25"/>
    </row>
    <row r="42" spans="1:34">
      <c r="A42" s="996"/>
      <c r="B42" s="997">
        <v>21</v>
      </c>
      <c r="C42" s="998" t="s">
        <v>429</v>
      </c>
      <c r="D42" s="997">
        <v>-1</v>
      </c>
      <c r="E42" s="997">
        <v>2.29</v>
      </c>
      <c r="F42" s="999">
        <v>9.83</v>
      </c>
      <c r="G42" s="1000"/>
      <c r="H42" s="1001"/>
      <c r="I42" s="1002"/>
      <c r="J42" s="1003"/>
      <c r="K42" s="1003">
        <v>25</v>
      </c>
      <c r="L42" s="1001">
        <v>0</v>
      </c>
      <c r="M42" s="1004" t="s">
        <v>428</v>
      </c>
      <c r="N42" s="1005"/>
      <c r="O42" s="1006"/>
      <c r="P42" s="997"/>
      <c r="Q42" s="997"/>
      <c r="R42" s="100"/>
      <c r="S42" s="100"/>
      <c r="T42" s="100"/>
      <c r="U42" s="100"/>
      <c r="V42" s="100"/>
      <c r="W42" s="100"/>
      <c r="X42" s="100"/>
      <c r="Y42" s="100"/>
      <c r="Z42" s="100"/>
      <c r="AA42" s="25"/>
      <c r="AB42" s="25"/>
      <c r="AC42" s="25"/>
      <c r="AD42" s="25"/>
      <c r="AE42" s="25"/>
      <c r="AF42" s="25"/>
      <c r="AG42" s="25"/>
      <c r="AH42" s="25"/>
    </row>
    <row r="43" spans="1:34">
      <c r="A43" s="996"/>
      <c r="B43" s="997">
        <v>22</v>
      </c>
      <c r="C43" s="998" t="s">
        <v>55</v>
      </c>
      <c r="D43" s="997">
        <v>-1</v>
      </c>
      <c r="E43" s="997">
        <v>4.3730000000000002</v>
      </c>
      <c r="F43" s="999">
        <v>10.804</v>
      </c>
      <c r="G43" s="1000"/>
      <c r="H43" s="1001"/>
      <c r="I43" s="1002"/>
      <c r="J43" s="1003"/>
      <c r="K43" s="1003">
        <v>25</v>
      </c>
      <c r="L43" s="1001">
        <v>0</v>
      </c>
      <c r="M43" s="1004" t="s">
        <v>54</v>
      </c>
      <c r="N43" s="1005"/>
      <c r="O43" s="1006"/>
      <c r="P43" s="997"/>
      <c r="Q43" s="997"/>
      <c r="R43" s="100"/>
      <c r="S43" s="100"/>
      <c r="T43" s="100"/>
      <c r="U43" s="100"/>
      <c r="V43" s="100"/>
      <c r="W43" s="100"/>
      <c r="X43" s="100"/>
      <c r="Y43" s="100"/>
      <c r="Z43" s="100"/>
      <c r="AA43" s="25"/>
      <c r="AB43" s="25"/>
      <c r="AC43" s="25"/>
      <c r="AD43" s="25"/>
      <c r="AE43" s="25"/>
      <c r="AF43" s="25"/>
      <c r="AG43" s="25"/>
      <c r="AH43" s="25"/>
    </row>
    <row r="44" spans="1:34">
      <c r="A44" s="996"/>
      <c r="B44" s="997">
        <v>23</v>
      </c>
      <c r="C44" s="998" t="s">
        <v>456</v>
      </c>
      <c r="D44" s="997">
        <v>-1</v>
      </c>
      <c r="E44" s="997">
        <v>4.2699999999999996</v>
      </c>
      <c r="F44" s="999">
        <v>10.766</v>
      </c>
      <c r="G44" s="1000"/>
      <c r="H44" s="1001"/>
      <c r="I44" s="1002"/>
      <c r="J44" s="1003"/>
      <c r="K44" s="1003">
        <v>25</v>
      </c>
      <c r="L44" s="1001">
        <v>0</v>
      </c>
      <c r="M44" s="1004" t="s">
        <v>455</v>
      </c>
      <c r="N44" s="1005"/>
      <c r="O44" s="1006"/>
      <c r="P44" s="997"/>
      <c r="Q44" s="997"/>
      <c r="R44" s="100"/>
      <c r="S44" s="100"/>
      <c r="T44" s="100"/>
      <c r="U44" s="100"/>
      <c r="V44" s="100"/>
      <c r="W44" s="100"/>
      <c r="X44" s="100"/>
      <c r="Y44" s="100"/>
      <c r="Z44" s="100"/>
      <c r="AA44" s="25"/>
      <c r="AB44" s="25"/>
      <c r="AC44" s="25"/>
      <c r="AD44" s="25"/>
      <c r="AE44" s="25"/>
      <c r="AF44" s="25"/>
      <c r="AG44" s="25"/>
      <c r="AH44" s="25"/>
    </row>
    <row r="45" spans="1:34">
      <c r="A45" s="996"/>
      <c r="B45" s="997">
        <v>24</v>
      </c>
      <c r="C45" s="998" t="s">
        <v>151</v>
      </c>
      <c r="D45" s="997">
        <v>-1</v>
      </c>
      <c r="E45" s="997">
        <v>4.78</v>
      </c>
      <c r="F45" s="999">
        <v>9.9700000000000006</v>
      </c>
      <c r="G45" s="1000"/>
      <c r="H45" s="1001"/>
      <c r="I45" s="1002"/>
      <c r="J45" s="1003"/>
      <c r="K45" s="1003">
        <v>20</v>
      </c>
      <c r="L45" s="1001">
        <v>0</v>
      </c>
      <c r="M45" s="1004" t="s">
        <v>152</v>
      </c>
      <c r="N45" s="1005"/>
      <c r="O45" s="1006"/>
      <c r="P45" s="997"/>
      <c r="Q45" s="997"/>
      <c r="R45" s="100"/>
      <c r="S45" s="100"/>
      <c r="T45" s="100"/>
      <c r="U45" s="100"/>
      <c r="V45" s="100"/>
      <c r="W45" s="100"/>
      <c r="X45" s="100"/>
      <c r="Y45" s="100"/>
      <c r="Z45" s="100"/>
      <c r="AA45" s="25"/>
      <c r="AB45" s="25"/>
      <c r="AC45" s="25"/>
      <c r="AD45" s="25"/>
      <c r="AE45" s="25"/>
      <c r="AF45" s="25"/>
      <c r="AG45" s="25"/>
      <c r="AH45" s="25"/>
    </row>
    <row r="46" spans="1:34">
      <c r="A46" s="996"/>
      <c r="B46" s="997">
        <v>25</v>
      </c>
      <c r="C46" s="998" t="s">
        <v>153</v>
      </c>
      <c r="D46" s="997">
        <v>-1</v>
      </c>
      <c r="E46" s="997">
        <v>3.55</v>
      </c>
      <c r="F46" s="999">
        <v>10.24</v>
      </c>
      <c r="G46" s="1000"/>
      <c r="H46" s="1001"/>
      <c r="I46" s="1002"/>
      <c r="J46" s="1003"/>
      <c r="K46" s="1003">
        <v>25</v>
      </c>
      <c r="L46" s="1001">
        <v>0</v>
      </c>
      <c r="M46" s="1004" t="s">
        <v>396</v>
      </c>
      <c r="N46" s="1005"/>
      <c r="O46" s="1006"/>
      <c r="P46" s="997"/>
      <c r="Q46" s="997"/>
      <c r="R46" s="100"/>
      <c r="S46" s="100"/>
      <c r="T46" s="100"/>
      <c r="U46" s="100"/>
      <c r="V46" s="100"/>
      <c r="W46" s="100"/>
      <c r="X46" s="100"/>
      <c r="Y46" s="100"/>
      <c r="Z46" s="100"/>
      <c r="AA46" s="25"/>
      <c r="AB46" s="25"/>
      <c r="AC46" s="25"/>
      <c r="AD46" s="25"/>
      <c r="AE46" s="25"/>
      <c r="AF46" s="25"/>
      <c r="AG46" s="25"/>
      <c r="AH46" s="25"/>
    </row>
    <row r="47" spans="1:34">
      <c r="A47" s="996"/>
      <c r="B47" s="997">
        <v>26</v>
      </c>
      <c r="C47" s="998" t="s">
        <v>129</v>
      </c>
      <c r="D47" s="997">
        <v>0</v>
      </c>
      <c r="E47" s="997">
        <v>9.2439999999999998</v>
      </c>
      <c r="F47" s="999"/>
      <c r="G47" s="1000"/>
      <c r="H47" s="1001"/>
      <c r="I47" s="1002"/>
      <c r="J47" s="1003"/>
      <c r="K47" s="1003">
        <v>25</v>
      </c>
      <c r="L47" s="1001">
        <v>0</v>
      </c>
      <c r="M47" s="1004" t="s">
        <v>346</v>
      </c>
      <c r="N47" s="1005">
        <v>17.026</v>
      </c>
      <c r="O47" s="1006"/>
      <c r="P47" s="997"/>
      <c r="Q47" s="997"/>
      <c r="R47" s="100"/>
      <c r="S47" s="100"/>
      <c r="T47" s="100"/>
      <c r="U47" s="100"/>
      <c r="V47" s="100"/>
      <c r="W47" s="100"/>
      <c r="X47" s="100"/>
      <c r="Y47" s="100"/>
      <c r="Z47" s="100"/>
      <c r="AA47" s="25"/>
      <c r="AB47" s="25"/>
      <c r="AC47" s="25"/>
      <c r="AD47" s="25"/>
      <c r="AE47" s="25"/>
      <c r="AF47" s="25"/>
      <c r="AG47" s="25"/>
      <c r="AH47" s="25"/>
    </row>
    <row r="48" spans="1:34">
      <c r="A48" s="996"/>
      <c r="B48" s="997">
        <v>27</v>
      </c>
      <c r="C48" s="998" t="s">
        <v>367</v>
      </c>
      <c r="D48" s="997">
        <v>0</v>
      </c>
      <c r="E48" s="997">
        <v>4.63</v>
      </c>
      <c r="F48" s="999"/>
      <c r="G48" s="1000"/>
      <c r="H48" s="1001"/>
      <c r="I48" s="1002"/>
      <c r="J48" s="1003"/>
      <c r="K48" s="1003">
        <v>25</v>
      </c>
      <c r="L48" s="1001">
        <v>0</v>
      </c>
      <c r="M48" s="1004" t="s">
        <v>38</v>
      </c>
      <c r="N48" s="1005"/>
      <c r="O48" s="1006"/>
      <c r="P48" s="997"/>
      <c r="Q48" s="997"/>
      <c r="R48" s="100"/>
      <c r="S48" s="100"/>
      <c r="T48" s="100"/>
      <c r="U48" s="100"/>
      <c r="V48" s="100"/>
      <c r="W48" s="100"/>
      <c r="X48" s="100"/>
      <c r="Y48" s="100"/>
      <c r="Z48" s="100"/>
      <c r="AA48" s="25"/>
      <c r="AB48" s="25"/>
      <c r="AC48" s="25"/>
      <c r="AD48" s="25"/>
      <c r="AE48" s="25"/>
      <c r="AF48" s="25"/>
      <c r="AG48" s="25"/>
      <c r="AH48" s="25"/>
    </row>
    <row r="49" spans="1:34">
      <c r="A49" s="996"/>
      <c r="B49" s="997">
        <v>28</v>
      </c>
      <c r="C49" s="998" t="s">
        <v>154</v>
      </c>
      <c r="D49" s="997">
        <v>-1</v>
      </c>
      <c r="E49" s="997">
        <v>1.823</v>
      </c>
      <c r="F49" s="999">
        <v>8.9909999999999997</v>
      </c>
      <c r="G49" s="1000">
        <v>12.48</v>
      </c>
      <c r="H49" s="1001"/>
      <c r="I49" s="1002"/>
      <c r="J49" s="1003"/>
      <c r="K49" s="1003">
        <v>25</v>
      </c>
      <c r="L49" s="1001">
        <v>0</v>
      </c>
      <c r="M49" s="1004" t="s">
        <v>58</v>
      </c>
      <c r="N49" s="1005"/>
      <c r="O49" s="1006"/>
      <c r="P49" s="997"/>
      <c r="Q49" s="997"/>
      <c r="R49" s="100"/>
      <c r="S49" s="100"/>
      <c r="T49" s="100"/>
      <c r="U49" s="100"/>
      <c r="V49" s="100"/>
      <c r="W49" s="100"/>
      <c r="X49" s="100"/>
      <c r="Y49" s="100"/>
      <c r="Z49" s="100"/>
      <c r="AA49" s="25"/>
      <c r="AB49" s="25"/>
      <c r="AC49" s="25"/>
      <c r="AD49" s="25"/>
      <c r="AE49" s="25"/>
      <c r="AF49" s="25"/>
      <c r="AG49" s="25"/>
      <c r="AH49" s="25"/>
    </row>
    <row r="50" spans="1:34">
      <c r="A50" s="996"/>
      <c r="B50" s="997">
        <v>29</v>
      </c>
      <c r="C50" s="998" t="s">
        <v>155</v>
      </c>
      <c r="D50" s="997">
        <v>-3</v>
      </c>
      <c r="E50" s="997">
        <v>2.2400000000000002</v>
      </c>
      <c r="F50" s="999">
        <v>6.96</v>
      </c>
      <c r="G50" s="1000">
        <v>11.5</v>
      </c>
      <c r="H50" s="1001"/>
      <c r="I50" s="1002"/>
      <c r="J50" s="1003"/>
      <c r="K50" s="1003">
        <v>25</v>
      </c>
      <c r="L50" s="1001">
        <v>0</v>
      </c>
      <c r="M50" s="1004" t="s">
        <v>353</v>
      </c>
      <c r="N50" s="1005"/>
      <c r="O50" s="1006"/>
      <c r="P50" s="997"/>
      <c r="Q50" s="997"/>
      <c r="R50" s="100"/>
      <c r="S50" s="100"/>
      <c r="T50" s="100"/>
      <c r="U50" s="100"/>
      <c r="V50" s="100"/>
      <c r="W50" s="100"/>
      <c r="X50" s="100"/>
      <c r="Y50" s="100"/>
      <c r="Z50" s="100"/>
      <c r="AA50" s="25"/>
      <c r="AB50" s="25"/>
      <c r="AC50" s="25"/>
      <c r="AD50" s="25"/>
      <c r="AE50" s="25"/>
      <c r="AF50" s="25"/>
      <c r="AG50" s="25"/>
      <c r="AH50" s="25"/>
    </row>
    <row r="51" spans="1:34">
      <c r="A51" s="996"/>
      <c r="B51" s="997">
        <v>30</v>
      </c>
      <c r="C51" s="998" t="s">
        <v>156</v>
      </c>
      <c r="D51" s="997">
        <v>-1</v>
      </c>
      <c r="E51" s="997">
        <v>9.2200000000000006</v>
      </c>
      <c r="F51" s="999"/>
      <c r="G51" s="1000"/>
      <c r="H51" s="1001"/>
      <c r="I51" s="1002"/>
      <c r="J51" s="1003"/>
      <c r="K51" s="1003"/>
      <c r="L51" s="1001">
        <v>0</v>
      </c>
      <c r="M51" s="1004" t="s">
        <v>354</v>
      </c>
      <c r="N51" s="1005"/>
      <c r="O51" s="1006"/>
      <c r="P51" s="997"/>
      <c r="Q51" s="997"/>
      <c r="R51" s="100"/>
      <c r="S51" s="100"/>
      <c r="T51" s="100"/>
      <c r="U51" s="100"/>
      <c r="V51" s="100"/>
      <c r="W51" s="100"/>
      <c r="X51" s="100"/>
      <c r="Y51" s="100"/>
      <c r="Z51" s="100"/>
      <c r="AA51" s="25"/>
      <c r="AB51" s="25"/>
      <c r="AC51" s="25"/>
      <c r="AD51" s="25"/>
      <c r="AE51" s="25"/>
      <c r="AF51" s="25"/>
      <c r="AG51" s="25"/>
      <c r="AH51" s="25"/>
    </row>
    <row r="52" spans="1:34">
      <c r="A52" s="996"/>
      <c r="B52" s="997">
        <v>31</v>
      </c>
      <c r="C52" s="998" t="s">
        <v>43</v>
      </c>
      <c r="D52" s="997">
        <v>-2</v>
      </c>
      <c r="E52" s="997">
        <v>4.0999999999999996</v>
      </c>
      <c r="F52" s="999">
        <v>11.79</v>
      </c>
      <c r="G52" s="1000"/>
      <c r="H52" s="1001"/>
      <c r="I52" s="1002"/>
      <c r="J52" s="1003"/>
      <c r="K52" s="1003">
        <v>24</v>
      </c>
      <c r="L52" s="1001">
        <v>0</v>
      </c>
      <c r="M52" s="1004" t="s">
        <v>42</v>
      </c>
      <c r="N52" s="1005"/>
      <c r="O52" s="1006"/>
      <c r="P52" s="997"/>
      <c r="Q52" s="997"/>
      <c r="R52" s="100"/>
      <c r="S52" s="100"/>
      <c r="T52" s="100"/>
      <c r="U52" s="100"/>
      <c r="V52" s="100"/>
      <c r="W52" s="100"/>
      <c r="X52" s="100"/>
      <c r="Y52" s="100"/>
      <c r="Z52" s="100"/>
      <c r="AA52" s="25"/>
      <c r="AB52" s="25"/>
      <c r="AC52" s="25"/>
      <c r="AD52" s="25"/>
      <c r="AE52" s="25"/>
      <c r="AF52" s="25"/>
      <c r="AG52" s="25"/>
      <c r="AH52" s="25"/>
    </row>
    <row r="53" spans="1:34">
      <c r="A53" s="996"/>
      <c r="B53" s="997">
        <v>32</v>
      </c>
      <c r="C53" s="998" t="s">
        <v>157</v>
      </c>
      <c r="D53" s="997">
        <v>-1</v>
      </c>
      <c r="E53" s="997">
        <v>2.14</v>
      </c>
      <c r="F53" s="999">
        <v>8.93</v>
      </c>
      <c r="G53" s="1000"/>
      <c r="H53" s="1001"/>
      <c r="I53" s="1002"/>
      <c r="J53" s="1003"/>
      <c r="K53" s="1003">
        <v>25</v>
      </c>
      <c r="L53" s="988">
        <v>0</v>
      </c>
      <c r="M53" s="1004" t="s">
        <v>421</v>
      </c>
      <c r="N53" s="1005"/>
      <c r="O53" s="1006"/>
      <c r="P53" s="997"/>
      <c r="Q53" s="997"/>
      <c r="R53" s="100"/>
      <c r="S53" s="100"/>
      <c r="T53" s="100"/>
      <c r="U53" s="100"/>
      <c r="V53" s="100"/>
      <c r="W53" s="100"/>
      <c r="X53" s="100"/>
      <c r="Y53" s="100"/>
      <c r="Z53" s="100"/>
      <c r="AA53" s="25"/>
      <c r="AB53" s="25"/>
      <c r="AC53" s="25"/>
      <c r="AD53" s="25"/>
      <c r="AE53" s="25"/>
      <c r="AF53" s="25"/>
      <c r="AG53" s="25"/>
      <c r="AH53" s="25"/>
    </row>
    <row r="54" spans="1:34">
      <c r="A54" s="996"/>
      <c r="B54" s="997">
        <v>33</v>
      </c>
      <c r="C54" s="998" t="s">
        <v>418</v>
      </c>
      <c r="D54" s="997">
        <v>-2</v>
      </c>
      <c r="E54" s="997">
        <v>1.99</v>
      </c>
      <c r="F54" s="999">
        <v>3.9</v>
      </c>
      <c r="G54" s="1000">
        <v>10.002000000000001</v>
      </c>
      <c r="H54" s="1001"/>
      <c r="I54" s="1002"/>
      <c r="J54" s="1003"/>
      <c r="K54" s="1003">
        <v>25</v>
      </c>
      <c r="L54" s="1001">
        <v>0</v>
      </c>
      <c r="M54" s="1004" t="s">
        <v>417</v>
      </c>
      <c r="N54" s="1005"/>
      <c r="O54" s="1006"/>
      <c r="P54" s="997"/>
      <c r="Q54" s="997"/>
      <c r="R54" s="100"/>
      <c r="S54" s="100"/>
      <c r="T54" s="100"/>
      <c r="U54" s="100"/>
      <c r="V54" s="100"/>
      <c r="W54" s="100"/>
      <c r="X54" s="100"/>
      <c r="Y54" s="100"/>
      <c r="Z54" s="100"/>
      <c r="AA54" s="25"/>
      <c r="AB54" s="25"/>
      <c r="AC54" s="25"/>
      <c r="AD54" s="25"/>
      <c r="AE54" s="25"/>
      <c r="AF54" s="25"/>
      <c r="AG54" s="25"/>
      <c r="AH54" s="25"/>
    </row>
    <row r="55" spans="1:34">
      <c r="A55" s="996"/>
      <c r="B55" s="997">
        <v>34</v>
      </c>
      <c r="C55" s="998" t="s">
        <v>158</v>
      </c>
      <c r="D55" s="997">
        <v>0</v>
      </c>
      <c r="E55" s="997">
        <v>7.43</v>
      </c>
      <c r="F55" s="999"/>
      <c r="G55" s="1000"/>
      <c r="H55" s="1001"/>
      <c r="I55" s="1002"/>
      <c r="J55" s="1003"/>
      <c r="K55" s="1003">
        <v>25</v>
      </c>
      <c r="L55" s="1001">
        <v>0</v>
      </c>
      <c r="M55" s="1004" t="s">
        <v>118</v>
      </c>
      <c r="N55" s="1005">
        <v>184.19</v>
      </c>
      <c r="O55" s="1006"/>
      <c r="P55" s="997"/>
      <c r="Q55" s="997"/>
      <c r="R55" s="100"/>
      <c r="S55" s="100"/>
      <c r="T55" s="100"/>
      <c r="U55" s="100"/>
      <c r="V55" s="100"/>
      <c r="W55" s="100"/>
      <c r="X55" s="100"/>
      <c r="Y55" s="100"/>
      <c r="Z55" s="100"/>
      <c r="AA55" s="25"/>
      <c r="AB55" s="25"/>
      <c r="AC55" s="25"/>
      <c r="AD55" s="25"/>
      <c r="AE55" s="25"/>
      <c r="AF55" s="25"/>
      <c r="AG55" s="25"/>
      <c r="AH55" s="25"/>
    </row>
    <row r="56" spans="1:34">
      <c r="A56" s="996"/>
      <c r="B56" s="997">
        <v>35</v>
      </c>
      <c r="C56" s="998" t="s">
        <v>403</v>
      </c>
      <c r="D56" s="997">
        <v>-1</v>
      </c>
      <c r="E56" s="997">
        <v>4.01</v>
      </c>
      <c r="F56" s="999"/>
      <c r="G56" s="1000"/>
      <c r="H56" s="1001"/>
      <c r="I56" s="1002"/>
      <c r="J56" s="1003"/>
      <c r="K56" s="1003">
        <v>25</v>
      </c>
      <c r="L56" s="1001">
        <v>0</v>
      </c>
      <c r="M56" s="1004" t="s">
        <v>402</v>
      </c>
      <c r="N56" s="1005">
        <v>128.09</v>
      </c>
      <c r="O56" s="1006"/>
      <c r="P56" s="997"/>
      <c r="Q56" s="997"/>
      <c r="R56" s="100"/>
      <c r="S56" s="100"/>
      <c r="T56" s="100"/>
      <c r="U56" s="100"/>
      <c r="V56" s="100"/>
      <c r="W56" s="100"/>
      <c r="X56" s="100"/>
      <c r="Y56" s="100"/>
      <c r="Z56" s="100"/>
      <c r="AA56" s="25"/>
      <c r="AB56" s="25"/>
      <c r="AC56" s="25"/>
      <c r="AD56" s="25"/>
      <c r="AE56" s="25"/>
      <c r="AF56" s="25"/>
      <c r="AG56" s="25"/>
      <c r="AH56" s="25"/>
    </row>
    <row r="57" spans="1:34">
      <c r="A57" s="996"/>
      <c r="B57" s="997">
        <v>36</v>
      </c>
      <c r="C57" s="998" t="s">
        <v>37</v>
      </c>
      <c r="D57" s="997">
        <v>-1</v>
      </c>
      <c r="E57" s="997">
        <v>0.7</v>
      </c>
      <c r="F57" s="999"/>
      <c r="G57" s="1000"/>
      <c r="H57" s="1001"/>
      <c r="I57" s="1002"/>
      <c r="J57" s="1003"/>
      <c r="K57" s="1003">
        <v>25</v>
      </c>
      <c r="L57" s="1001">
        <v>0</v>
      </c>
      <c r="M57" s="1004" t="s">
        <v>36</v>
      </c>
      <c r="N57" s="1005"/>
      <c r="O57" s="1006"/>
      <c r="P57" s="997"/>
      <c r="Q57" s="997"/>
      <c r="R57" s="100"/>
      <c r="S57" s="100"/>
      <c r="T57" s="100"/>
      <c r="U57" s="100"/>
      <c r="V57" s="100"/>
      <c r="W57" s="100"/>
      <c r="X57" s="100"/>
      <c r="Y57" s="100"/>
      <c r="Z57" s="100"/>
      <c r="AA57" s="25"/>
      <c r="AB57" s="25"/>
      <c r="AC57" s="25"/>
      <c r="AD57" s="25"/>
      <c r="AE57" s="25"/>
      <c r="AF57" s="25"/>
      <c r="AG57" s="25"/>
      <c r="AH57" s="25"/>
    </row>
    <row r="58" spans="1:34">
      <c r="A58" s="996"/>
      <c r="B58" s="997">
        <v>37</v>
      </c>
      <c r="C58" s="998" t="s">
        <v>75</v>
      </c>
      <c r="D58" s="997">
        <v>-1</v>
      </c>
      <c r="E58" s="997">
        <v>4.1900000000000004</v>
      </c>
      <c r="F58" s="999"/>
      <c r="G58" s="1000"/>
      <c r="H58" s="1001"/>
      <c r="I58" s="1002"/>
      <c r="J58" s="1003"/>
      <c r="K58" s="1003">
        <v>25</v>
      </c>
      <c r="L58" s="1001">
        <v>0</v>
      </c>
      <c r="M58" s="1004" t="s">
        <v>74</v>
      </c>
      <c r="N58" s="1005"/>
      <c r="O58" s="1006"/>
      <c r="P58" s="997"/>
      <c r="Q58" s="997"/>
      <c r="R58" s="100"/>
      <c r="S58" s="100"/>
      <c r="T58" s="100"/>
      <c r="U58" s="100"/>
      <c r="V58" s="100"/>
      <c r="W58" s="100"/>
      <c r="X58" s="100"/>
      <c r="Y58" s="100"/>
      <c r="Z58" s="100"/>
      <c r="AA58" s="25"/>
      <c r="AB58" s="25"/>
      <c r="AC58" s="25"/>
      <c r="AD58" s="25"/>
      <c r="AE58" s="25"/>
      <c r="AF58" s="25"/>
      <c r="AG58" s="25"/>
      <c r="AH58" s="25"/>
    </row>
    <row r="59" spans="1:34">
      <c r="A59" s="996"/>
      <c r="B59" s="997">
        <v>38</v>
      </c>
      <c r="C59" s="998" t="s">
        <v>86</v>
      </c>
      <c r="D59" s="997">
        <v>0</v>
      </c>
      <c r="E59" s="997">
        <v>9.33</v>
      </c>
      <c r="F59" s="999"/>
      <c r="G59" s="1000"/>
      <c r="H59" s="1001"/>
      <c r="I59" s="1002"/>
      <c r="J59" s="1003"/>
      <c r="K59" s="1003">
        <v>25</v>
      </c>
      <c r="L59" s="1001">
        <v>0</v>
      </c>
      <c r="M59" s="1004" t="s">
        <v>85</v>
      </c>
      <c r="N59" s="1005"/>
      <c r="O59" s="1006"/>
      <c r="P59" s="997"/>
      <c r="Q59" s="997"/>
      <c r="R59" s="100"/>
      <c r="S59" s="100"/>
      <c r="T59" s="100"/>
      <c r="U59" s="100"/>
      <c r="V59" s="100"/>
      <c r="W59" s="100"/>
      <c r="X59" s="100"/>
      <c r="Y59" s="100"/>
      <c r="Z59" s="100"/>
      <c r="AA59" s="25"/>
      <c r="AB59" s="25"/>
      <c r="AC59" s="25"/>
      <c r="AD59" s="25"/>
      <c r="AE59" s="25"/>
      <c r="AF59" s="25"/>
      <c r="AG59" s="25"/>
      <c r="AH59" s="25"/>
    </row>
    <row r="60" spans="1:34">
      <c r="A60" s="996"/>
      <c r="B60" s="997">
        <v>39</v>
      </c>
      <c r="C60" s="998" t="s">
        <v>294</v>
      </c>
      <c r="D60" s="997">
        <v>0</v>
      </c>
      <c r="E60" s="997">
        <v>5.13</v>
      </c>
      <c r="F60" s="999"/>
      <c r="G60" s="1000"/>
      <c r="H60" s="1001"/>
      <c r="I60" s="1002"/>
      <c r="J60" s="1003"/>
      <c r="K60" s="1003">
        <v>25</v>
      </c>
      <c r="L60" s="1001">
        <v>0</v>
      </c>
      <c r="M60" s="1004" t="s">
        <v>293</v>
      </c>
      <c r="N60" s="1005"/>
      <c r="O60" s="1006"/>
      <c r="P60" s="997"/>
      <c r="Q60" s="997"/>
      <c r="R60" s="100"/>
      <c r="S60" s="100"/>
      <c r="T60" s="100"/>
      <c r="U60" s="100"/>
      <c r="V60" s="100"/>
      <c r="W60" s="100"/>
      <c r="X60" s="100"/>
      <c r="Y60" s="100"/>
      <c r="Z60" s="100"/>
      <c r="AA60" s="25"/>
      <c r="AB60" s="25"/>
      <c r="AC60" s="25"/>
      <c r="AD60" s="25"/>
      <c r="AE60" s="25"/>
      <c r="AF60" s="25"/>
      <c r="AG60" s="25"/>
      <c r="AH60" s="25"/>
    </row>
    <row r="61" spans="1:34">
      <c r="A61" s="996"/>
      <c r="B61" s="997">
        <v>40</v>
      </c>
      <c r="C61" s="998" t="s">
        <v>457</v>
      </c>
      <c r="D61" s="997">
        <v>-1</v>
      </c>
      <c r="E61" s="997">
        <v>1.83</v>
      </c>
      <c r="F61" s="999"/>
      <c r="G61" s="1000"/>
      <c r="H61" s="1001"/>
      <c r="I61" s="1002"/>
      <c r="J61" s="1003"/>
      <c r="K61" s="1003">
        <v>0</v>
      </c>
      <c r="L61" s="1001">
        <v>0</v>
      </c>
      <c r="M61" s="1004" t="s">
        <v>455</v>
      </c>
      <c r="N61" s="1005"/>
      <c r="O61" s="1006"/>
      <c r="P61" s="997"/>
      <c r="Q61" s="997"/>
      <c r="R61" s="100"/>
      <c r="S61" s="100"/>
      <c r="T61" s="100"/>
      <c r="U61" s="100"/>
      <c r="V61" s="100"/>
      <c r="W61" s="100"/>
      <c r="X61" s="100"/>
      <c r="Y61" s="100"/>
      <c r="Z61" s="100"/>
      <c r="AA61" s="25"/>
      <c r="AB61" s="25"/>
      <c r="AC61" s="25"/>
      <c r="AD61" s="25"/>
      <c r="AE61" s="25"/>
      <c r="AF61" s="25"/>
      <c r="AG61" s="25"/>
      <c r="AH61" s="25"/>
    </row>
    <row r="62" spans="1:34">
      <c r="A62" s="996"/>
      <c r="B62" s="997">
        <v>41</v>
      </c>
      <c r="C62" s="998" t="s">
        <v>159</v>
      </c>
      <c r="D62" s="997">
        <v>-3</v>
      </c>
      <c r="E62" s="997">
        <v>9.2360000000000007</v>
      </c>
      <c r="F62" s="999">
        <v>12.74</v>
      </c>
      <c r="G62" s="1000">
        <v>13.8</v>
      </c>
      <c r="H62" s="1001"/>
      <c r="I62" s="1002"/>
      <c r="J62" s="1003"/>
      <c r="K62" s="1003">
        <v>20</v>
      </c>
      <c r="L62" s="1001">
        <v>0</v>
      </c>
      <c r="M62" s="1004" t="s">
        <v>160</v>
      </c>
      <c r="N62" s="1005"/>
      <c r="O62" s="1006"/>
      <c r="P62" s="997"/>
      <c r="Q62" s="997"/>
      <c r="R62" s="100"/>
      <c r="S62" s="100"/>
      <c r="T62" s="100"/>
      <c r="U62" s="100"/>
      <c r="V62" s="100"/>
      <c r="W62" s="100"/>
      <c r="X62" s="100"/>
      <c r="Y62" s="100"/>
      <c r="Z62" s="100"/>
      <c r="AA62" s="25"/>
      <c r="AB62" s="25"/>
      <c r="AC62" s="25"/>
      <c r="AD62" s="25"/>
      <c r="AE62" s="25"/>
      <c r="AF62" s="25"/>
      <c r="AG62" s="25"/>
      <c r="AH62" s="25"/>
    </row>
    <row r="63" spans="1:34">
      <c r="A63" s="996"/>
      <c r="B63" s="997">
        <v>42</v>
      </c>
      <c r="C63" s="998" t="s">
        <v>423</v>
      </c>
      <c r="D63" s="997">
        <v>-1</v>
      </c>
      <c r="E63" s="997">
        <v>4.83</v>
      </c>
      <c r="F63" s="999"/>
      <c r="G63" s="1000"/>
      <c r="H63" s="1001"/>
      <c r="I63" s="1002"/>
      <c r="J63" s="1003"/>
      <c r="K63" s="1003">
        <v>25</v>
      </c>
      <c r="L63" s="1001">
        <v>0</v>
      </c>
      <c r="M63" s="1004" t="s">
        <v>422</v>
      </c>
      <c r="N63" s="1005"/>
      <c r="O63" s="1006"/>
      <c r="P63" s="997"/>
      <c r="Q63" s="997"/>
      <c r="R63" s="100"/>
      <c r="S63" s="100"/>
      <c r="T63" s="100"/>
      <c r="U63" s="100"/>
      <c r="V63" s="100"/>
      <c r="W63" s="100"/>
      <c r="X63" s="100"/>
      <c r="Y63" s="100"/>
      <c r="Z63" s="100"/>
      <c r="AA63" s="25"/>
      <c r="AB63" s="25"/>
      <c r="AC63" s="25"/>
      <c r="AD63" s="25"/>
      <c r="AE63" s="25"/>
      <c r="AF63" s="25"/>
      <c r="AG63" s="25"/>
      <c r="AH63" s="25"/>
    </row>
    <row r="64" spans="1:34">
      <c r="A64" s="996"/>
      <c r="B64" s="997">
        <v>43</v>
      </c>
      <c r="C64" s="998" t="s">
        <v>409</v>
      </c>
      <c r="D64" s="997">
        <v>-1</v>
      </c>
      <c r="E64" s="997">
        <v>4.34</v>
      </c>
      <c r="F64" s="999"/>
      <c r="G64" s="1000"/>
      <c r="H64" s="1001"/>
      <c r="I64" s="1002"/>
      <c r="J64" s="1003"/>
      <c r="K64" s="1003">
        <v>25</v>
      </c>
      <c r="L64" s="1001">
        <v>0</v>
      </c>
      <c r="M64" s="1004" t="s">
        <v>408</v>
      </c>
      <c r="N64" s="1005"/>
      <c r="O64" s="1006"/>
      <c r="P64" s="997"/>
      <c r="Q64" s="997"/>
      <c r="R64" s="100"/>
      <c r="S64" s="100"/>
      <c r="T64" s="100"/>
      <c r="U64" s="100"/>
      <c r="V64" s="100"/>
      <c r="W64" s="100"/>
      <c r="X64" s="100"/>
      <c r="Y64" s="100"/>
      <c r="Z64" s="100"/>
      <c r="AA64" s="25"/>
      <c r="AB64" s="25"/>
      <c r="AC64" s="25"/>
      <c r="AD64" s="25"/>
      <c r="AE64" s="25"/>
      <c r="AF64" s="25"/>
      <c r="AG64" s="25"/>
      <c r="AH64" s="25"/>
    </row>
    <row r="65" spans="1:34">
      <c r="A65" s="996"/>
      <c r="B65" s="997">
        <v>44</v>
      </c>
      <c r="C65" s="998" t="s">
        <v>435</v>
      </c>
      <c r="D65" s="997">
        <v>0</v>
      </c>
      <c r="E65" s="997">
        <v>10.77</v>
      </c>
      <c r="F65" s="999"/>
      <c r="G65" s="1000"/>
      <c r="H65" s="1001"/>
      <c r="I65" s="1002"/>
      <c r="J65" s="1003"/>
      <c r="K65" s="1003">
        <v>20</v>
      </c>
      <c r="L65" s="1001">
        <v>0</v>
      </c>
      <c r="M65" s="1004" t="s">
        <v>434</v>
      </c>
      <c r="N65" s="1005"/>
      <c r="O65" s="1006"/>
      <c r="P65" s="997"/>
      <c r="Q65" s="997"/>
      <c r="R65" s="100"/>
      <c r="S65" s="100"/>
      <c r="T65" s="100"/>
      <c r="U65" s="100"/>
      <c r="V65" s="100"/>
      <c r="W65" s="100"/>
      <c r="X65" s="100"/>
      <c r="Y65" s="100"/>
      <c r="Z65" s="100"/>
      <c r="AA65" s="25"/>
      <c r="AB65" s="25"/>
      <c r="AC65" s="25"/>
      <c r="AD65" s="25"/>
      <c r="AE65" s="25"/>
      <c r="AF65" s="25"/>
      <c r="AG65" s="25"/>
      <c r="AH65" s="25"/>
    </row>
    <row r="66" spans="1:34">
      <c r="A66" s="996"/>
      <c r="B66" s="997">
        <v>45</v>
      </c>
      <c r="C66" s="998" t="s">
        <v>436</v>
      </c>
      <c r="D66" s="997">
        <v>0</v>
      </c>
      <c r="E66" s="997">
        <v>10.56</v>
      </c>
      <c r="F66" s="999"/>
      <c r="G66" s="1000"/>
      <c r="H66" s="1001"/>
      <c r="I66" s="1002"/>
      <c r="J66" s="1003"/>
      <c r="K66" s="1003">
        <v>25</v>
      </c>
      <c r="L66" s="1001">
        <v>0</v>
      </c>
      <c r="M66" s="1004" t="s">
        <v>434</v>
      </c>
      <c r="N66" s="1005"/>
      <c r="O66" s="1006"/>
      <c r="P66" s="997"/>
      <c r="Q66" s="997"/>
      <c r="R66" s="100"/>
      <c r="S66" s="100"/>
      <c r="T66" s="100"/>
      <c r="U66" s="100"/>
      <c r="V66" s="100"/>
      <c r="W66" s="100"/>
      <c r="X66" s="100"/>
      <c r="Y66" s="100"/>
      <c r="Z66" s="100"/>
      <c r="AA66" s="25"/>
      <c r="AB66" s="25"/>
      <c r="AC66" s="25"/>
      <c r="AD66" s="25"/>
      <c r="AE66" s="25"/>
      <c r="AF66" s="25"/>
      <c r="AG66" s="25"/>
      <c r="AH66" s="25"/>
    </row>
    <row r="67" spans="1:34">
      <c r="A67" s="996"/>
      <c r="B67" s="997">
        <v>46</v>
      </c>
      <c r="C67" s="998" t="s">
        <v>437</v>
      </c>
      <c r="D67" s="997">
        <v>0</v>
      </c>
      <c r="E67" s="997">
        <v>10.68</v>
      </c>
      <c r="F67" s="999"/>
      <c r="G67" s="1000"/>
      <c r="H67" s="1001"/>
      <c r="I67" s="1002"/>
      <c r="J67" s="1003"/>
      <c r="K67" s="1003">
        <v>25</v>
      </c>
      <c r="L67" s="1001">
        <v>0</v>
      </c>
      <c r="M67" s="1004" t="s">
        <v>434</v>
      </c>
      <c r="N67" s="1005"/>
      <c r="O67" s="1006"/>
      <c r="P67" s="997"/>
      <c r="Q67" s="997"/>
      <c r="R67" s="100"/>
      <c r="S67" s="100"/>
      <c r="T67" s="100"/>
      <c r="U67" s="100"/>
      <c r="V67" s="100"/>
      <c r="W67" s="100"/>
      <c r="X67" s="100"/>
      <c r="Y67" s="100"/>
      <c r="Z67" s="100"/>
      <c r="AA67" s="25"/>
      <c r="AB67" s="25"/>
      <c r="AC67" s="25"/>
      <c r="AD67" s="25"/>
      <c r="AE67" s="25"/>
      <c r="AF67" s="25"/>
      <c r="AG67" s="25"/>
      <c r="AH67" s="25"/>
    </row>
    <row r="68" spans="1:34">
      <c r="A68" s="996"/>
      <c r="B68" s="997">
        <v>47</v>
      </c>
      <c r="C68" s="998" t="s">
        <v>463</v>
      </c>
      <c r="D68" s="997">
        <v>0</v>
      </c>
      <c r="E68" s="997">
        <v>10.050000000000001</v>
      </c>
      <c r="F68" s="999">
        <v>10.93</v>
      </c>
      <c r="G68" s="1000"/>
      <c r="H68" s="1001"/>
      <c r="I68" s="1002"/>
      <c r="J68" s="1003"/>
      <c r="K68" s="1003">
        <v>25</v>
      </c>
      <c r="L68" s="1001">
        <v>0</v>
      </c>
      <c r="M68" s="1004" t="s">
        <v>462</v>
      </c>
      <c r="N68" s="1005"/>
      <c r="O68" s="1006"/>
      <c r="P68" s="997"/>
      <c r="Q68" s="997"/>
      <c r="R68" s="100"/>
      <c r="S68" s="100"/>
      <c r="T68" s="100"/>
      <c r="U68" s="100"/>
      <c r="V68" s="100"/>
      <c r="W68" s="100"/>
      <c r="X68" s="100"/>
      <c r="Y68" s="100"/>
      <c r="Z68" s="100"/>
      <c r="AA68" s="25"/>
      <c r="AB68" s="25"/>
      <c r="AC68" s="25"/>
      <c r="AD68" s="25"/>
      <c r="AE68" s="25"/>
      <c r="AF68" s="25"/>
      <c r="AG68" s="25"/>
      <c r="AH68" s="25"/>
    </row>
    <row r="69" spans="1:34">
      <c r="A69" s="996"/>
      <c r="B69" s="997">
        <v>48</v>
      </c>
      <c r="C69" s="998" t="s">
        <v>161</v>
      </c>
      <c r="D69" s="997">
        <v>-2</v>
      </c>
      <c r="E69" s="997">
        <v>6.3520000000000003</v>
      </c>
      <c r="F69" s="999">
        <v>10.329000000000001</v>
      </c>
      <c r="G69" s="1000"/>
      <c r="H69" s="1001"/>
      <c r="I69" s="1002"/>
      <c r="J69" s="1003"/>
      <c r="K69" s="1003">
        <v>25</v>
      </c>
      <c r="L69" s="1001">
        <v>0</v>
      </c>
      <c r="M69" s="1004" t="s">
        <v>331</v>
      </c>
      <c r="N69" s="1005"/>
      <c r="O69" s="1006"/>
      <c r="P69" s="997"/>
      <c r="Q69" s="997"/>
      <c r="R69" s="100"/>
      <c r="S69" s="100"/>
      <c r="T69" s="100"/>
      <c r="U69" s="100"/>
      <c r="V69" s="100"/>
      <c r="W69" s="100"/>
      <c r="X69" s="100"/>
      <c r="Y69" s="100"/>
      <c r="Z69" s="100"/>
      <c r="AA69" s="25"/>
      <c r="AB69" s="25"/>
      <c r="AC69" s="25"/>
      <c r="AD69" s="25"/>
      <c r="AE69" s="25"/>
      <c r="AF69" s="25"/>
      <c r="AG69" s="25"/>
      <c r="AH69" s="25"/>
    </row>
    <row r="70" spans="1:34">
      <c r="A70" s="996"/>
      <c r="B70" s="997">
        <v>49</v>
      </c>
      <c r="C70" s="998" t="s">
        <v>162</v>
      </c>
      <c r="D70" s="997">
        <v>-2</v>
      </c>
      <c r="E70" s="997">
        <v>9.4</v>
      </c>
      <c r="F70" s="999">
        <v>12.8</v>
      </c>
      <c r="G70" s="1000"/>
      <c r="H70" s="1001"/>
      <c r="I70" s="1002"/>
      <c r="J70" s="1003"/>
      <c r="K70" s="1003">
        <v>25</v>
      </c>
      <c r="L70" s="1001">
        <v>0</v>
      </c>
      <c r="M70" s="1004" t="s">
        <v>163</v>
      </c>
      <c r="N70" s="1005">
        <v>110.1</v>
      </c>
      <c r="O70" s="1006"/>
      <c r="P70" s="997"/>
      <c r="Q70" s="997"/>
      <c r="R70" s="100"/>
      <c r="S70" s="100"/>
      <c r="T70" s="100"/>
      <c r="U70" s="100"/>
      <c r="V70" s="100"/>
      <c r="W70" s="100"/>
      <c r="X70" s="100"/>
      <c r="Y70" s="100"/>
      <c r="Z70" s="100"/>
      <c r="AA70" s="25"/>
      <c r="AB70" s="25"/>
      <c r="AC70" s="25"/>
      <c r="AD70" s="25"/>
      <c r="AE70" s="25"/>
      <c r="AF70" s="25"/>
      <c r="AG70" s="25"/>
      <c r="AH70" s="25"/>
    </row>
    <row r="71" spans="1:34">
      <c r="A71" s="996"/>
      <c r="B71" s="997">
        <v>50</v>
      </c>
      <c r="C71" s="998" t="s">
        <v>164</v>
      </c>
      <c r="D71" s="997">
        <v>-1</v>
      </c>
      <c r="E71" s="997">
        <v>2.8650000000000002</v>
      </c>
      <c r="F71" s="999"/>
      <c r="G71" s="1000"/>
      <c r="H71" s="1001"/>
      <c r="I71" s="1002"/>
      <c r="J71" s="1003"/>
      <c r="K71" s="1003">
        <v>25</v>
      </c>
      <c r="L71" s="1001">
        <v>0</v>
      </c>
      <c r="M71" s="1004" t="s">
        <v>165</v>
      </c>
      <c r="N71" s="1005"/>
      <c r="O71" s="1006"/>
      <c r="P71" s="997"/>
      <c r="Q71" s="997"/>
      <c r="R71" s="100"/>
      <c r="S71" s="100"/>
      <c r="T71" s="100"/>
      <c r="U71" s="100"/>
      <c r="V71" s="100"/>
      <c r="W71" s="100"/>
      <c r="X71" s="100"/>
      <c r="Y71" s="100"/>
      <c r="Z71" s="100"/>
      <c r="AA71" s="25"/>
      <c r="AB71" s="25"/>
      <c r="AC71" s="25"/>
      <c r="AD71" s="25"/>
      <c r="AE71" s="25"/>
      <c r="AF71" s="25"/>
      <c r="AG71" s="25"/>
      <c r="AH71" s="25"/>
    </row>
    <row r="72" spans="1:34">
      <c r="A72" s="996"/>
      <c r="B72" s="997">
        <v>51</v>
      </c>
      <c r="C72" s="998" t="s">
        <v>479</v>
      </c>
      <c r="D72" s="997">
        <v>0</v>
      </c>
      <c r="E72" s="997">
        <v>2.65</v>
      </c>
      <c r="F72" s="999"/>
      <c r="G72" s="1000"/>
      <c r="H72" s="1001"/>
      <c r="I72" s="1002"/>
      <c r="J72" s="1003"/>
      <c r="K72" s="1003">
        <v>25</v>
      </c>
      <c r="L72" s="1001">
        <v>0</v>
      </c>
      <c r="M72" s="1004" t="s">
        <v>478</v>
      </c>
      <c r="N72" s="1005"/>
      <c r="O72" s="1006"/>
      <c r="P72" s="997"/>
      <c r="Q72" s="997"/>
      <c r="R72" s="100"/>
      <c r="S72" s="100"/>
      <c r="T72" s="100"/>
      <c r="U72" s="100"/>
      <c r="V72" s="100"/>
      <c r="W72" s="100"/>
      <c r="X72" s="100"/>
      <c r="Y72" s="100"/>
      <c r="Z72" s="100"/>
      <c r="AA72" s="25"/>
      <c r="AB72" s="25"/>
      <c r="AC72" s="25"/>
      <c r="AD72" s="25"/>
      <c r="AE72" s="25"/>
      <c r="AF72" s="25"/>
      <c r="AG72" s="25"/>
      <c r="AH72" s="25"/>
    </row>
    <row r="73" spans="1:34">
      <c r="A73" s="996"/>
      <c r="B73" s="997">
        <v>52</v>
      </c>
      <c r="C73" s="998" t="s">
        <v>480</v>
      </c>
      <c r="D73" s="997">
        <v>0</v>
      </c>
      <c r="E73" s="997">
        <v>3.46</v>
      </c>
      <c r="F73" s="999"/>
      <c r="G73" s="1000"/>
      <c r="H73" s="1001"/>
      <c r="I73" s="1002"/>
      <c r="J73" s="1003"/>
      <c r="K73" s="1003">
        <v>25</v>
      </c>
      <c r="L73" s="1001">
        <v>0</v>
      </c>
      <c r="M73" s="1004" t="s">
        <v>478</v>
      </c>
      <c r="N73" s="1005"/>
      <c r="O73" s="1006"/>
      <c r="P73" s="997"/>
      <c r="Q73" s="997"/>
      <c r="R73" s="100"/>
      <c r="S73" s="100"/>
      <c r="T73" s="100"/>
      <c r="U73" s="100"/>
      <c r="V73" s="100"/>
      <c r="W73" s="100"/>
      <c r="X73" s="100"/>
      <c r="Y73" s="100"/>
      <c r="Z73" s="100"/>
      <c r="AA73" s="25"/>
      <c r="AB73" s="25"/>
      <c r="AC73" s="25"/>
      <c r="AD73" s="25"/>
      <c r="AE73" s="25"/>
      <c r="AF73" s="25"/>
      <c r="AG73" s="25"/>
      <c r="AH73" s="25"/>
    </row>
    <row r="74" spans="1:34">
      <c r="A74" s="996"/>
      <c r="B74" s="997">
        <v>53</v>
      </c>
      <c r="C74" s="998" t="s">
        <v>481</v>
      </c>
      <c r="D74" s="997">
        <v>0</v>
      </c>
      <c r="E74" s="997">
        <v>4.1500000000000004</v>
      </c>
      <c r="F74" s="999"/>
      <c r="G74" s="1000"/>
      <c r="H74" s="1001"/>
      <c r="I74" s="1002"/>
      <c r="J74" s="1003"/>
      <c r="K74" s="1003">
        <v>25</v>
      </c>
      <c r="L74" s="1001">
        <v>0</v>
      </c>
      <c r="M74" s="1004" t="s">
        <v>478</v>
      </c>
      <c r="N74" s="1005"/>
      <c r="O74" s="1006"/>
      <c r="P74" s="997"/>
      <c r="Q74" s="997"/>
      <c r="R74" s="100"/>
      <c r="S74" s="100"/>
      <c r="T74" s="100"/>
      <c r="U74" s="100"/>
      <c r="V74" s="100"/>
      <c r="W74" s="100"/>
      <c r="X74" s="100"/>
      <c r="Y74" s="100"/>
      <c r="Z74" s="100"/>
      <c r="AA74" s="25"/>
      <c r="AB74" s="25"/>
      <c r="AC74" s="25"/>
      <c r="AD74" s="25"/>
      <c r="AE74" s="25"/>
      <c r="AF74" s="25"/>
      <c r="AG74" s="25"/>
      <c r="AH74" s="25"/>
    </row>
    <row r="75" spans="1:34">
      <c r="A75" s="996"/>
      <c r="B75" s="997">
        <v>54</v>
      </c>
      <c r="C75" s="998" t="s">
        <v>65</v>
      </c>
      <c r="D75" s="997">
        <v>-1</v>
      </c>
      <c r="E75" s="997">
        <v>2.92</v>
      </c>
      <c r="F75" s="999"/>
      <c r="G75" s="1000"/>
      <c r="H75" s="1001"/>
      <c r="I75" s="1002"/>
      <c r="J75" s="1003"/>
      <c r="K75" s="1003">
        <v>25</v>
      </c>
      <c r="L75" s="1001">
        <v>0</v>
      </c>
      <c r="M75" s="1004" t="s">
        <v>64</v>
      </c>
      <c r="N75" s="1005"/>
      <c r="O75" s="1006"/>
      <c r="P75" s="997"/>
      <c r="Q75" s="997"/>
      <c r="R75" s="100"/>
      <c r="S75" s="100"/>
      <c r="T75" s="100"/>
      <c r="U75" s="100"/>
      <c r="V75" s="100"/>
      <c r="W75" s="100"/>
      <c r="X75" s="100"/>
      <c r="Y75" s="100"/>
      <c r="Z75" s="100"/>
      <c r="AA75" s="25"/>
      <c r="AB75" s="25"/>
      <c r="AC75" s="25"/>
      <c r="AD75" s="25"/>
      <c r="AE75" s="25"/>
      <c r="AF75" s="25"/>
      <c r="AG75" s="25"/>
      <c r="AH75" s="25"/>
    </row>
    <row r="76" spans="1:34">
      <c r="A76" s="996"/>
      <c r="B76" s="997">
        <v>55</v>
      </c>
      <c r="C76" s="998" t="s">
        <v>66</v>
      </c>
      <c r="D76" s="997">
        <v>-1</v>
      </c>
      <c r="E76" s="997">
        <v>3.82</v>
      </c>
      <c r="F76" s="999"/>
      <c r="G76" s="1000"/>
      <c r="H76" s="1001"/>
      <c r="I76" s="1002"/>
      <c r="J76" s="1003"/>
      <c r="K76" s="1003">
        <v>25</v>
      </c>
      <c r="L76" s="1001">
        <v>0</v>
      </c>
      <c r="M76" s="1004" t="s">
        <v>64</v>
      </c>
      <c r="N76" s="1005"/>
      <c r="O76" s="1006"/>
      <c r="P76" s="997"/>
      <c r="Q76" s="997"/>
      <c r="R76" s="100"/>
      <c r="S76" s="100"/>
      <c r="T76" s="100"/>
      <c r="U76" s="100"/>
      <c r="V76" s="100"/>
      <c r="W76" s="100"/>
      <c r="X76" s="100"/>
      <c r="Y76" s="100"/>
      <c r="Z76" s="100"/>
      <c r="AA76" s="25"/>
      <c r="AB76" s="25"/>
      <c r="AC76" s="25"/>
      <c r="AD76" s="25"/>
      <c r="AE76" s="25"/>
      <c r="AF76" s="25"/>
      <c r="AG76" s="25"/>
      <c r="AH76" s="25"/>
    </row>
    <row r="77" spans="1:34">
      <c r="A77" s="996"/>
      <c r="B77" s="997">
        <v>56</v>
      </c>
      <c r="C77" s="998" t="s">
        <v>67</v>
      </c>
      <c r="D77" s="997">
        <v>-1</v>
      </c>
      <c r="E77" s="997">
        <v>3.98</v>
      </c>
      <c r="F77" s="999"/>
      <c r="G77" s="1000"/>
      <c r="H77" s="1001"/>
      <c r="I77" s="1002"/>
      <c r="J77" s="1003"/>
      <c r="K77" s="1003">
        <v>25</v>
      </c>
      <c r="L77" s="1001">
        <v>0</v>
      </c>
      <c r="M77" s="1004" t="s">
        <v>64</v>
      </c>
      <c r="N77" s="1005"/>
      <c r="O77" s="1006"/>
      <c r="P77" s="997"/>
      <c r="Q77" s="997"/>
      <c r="R77" s="100"/>
      <c r="S77" s="100"/>
      <c r="T77" s="100"/>
      <c r="U77" s="100"/>
      <c r="V77" s="100"/>
      <c r="W77" s="100"/>
      <c r="X77" s="100"/>
      <c r="Y77" s="100"/>
      <c r="Z77" s="100"/>
      <c r="AA77" s="25"/>
      <c r="AB77" s="25"/>
      <c r="AC77" s="25"/>
      <c r="AD77" s="25"/>
      <c r="AE77" s="25"/>
      <c r="AF77" s="25"/>
      <c r="AG77" s="25"/>
      <c r="AH77" s="25"/>
    </row>
    <row r="78" spans="1:34">
      <c r="A78" s="996"/>
      <c r="B78" s="997">
        <v>57</v>
      </c>
      <c r="C78" s="998" t="s">
        <v>470</v>
      </c>
      <c r="D78" s="997">
        <v>-1</v>
      </c>
      <c r="E78" s="997">
        <v>8.85</v>
      </c>
      <c r="F78" s="999"/>
      <c r="G78" s="1000"/>
      <c r="H78" s="1001"/>
      <c r="I78" s="1002"/>
      <c r="J78" s="1003"/>
      <c r="K78" s="1003">
        <v>25</v>
      </c>
      <c r="L78" s="1001">
        <v>0</v>
      </c>
      <c r="M78" s="1004" t="s">
        <v>468</v>
      </c>
      <c r="N78" s="1005"/>
      <c r="O78" s="1006"/>
      <c r="P78" s="997"/>
      <c r="Q78" s="997"/>
      <c r="R78" s="100"/>
      <c r="S78" s="100"/>
      <c r="T78" s="100"/>
      <c r="U78" s="100"/>
      <c r="V78" s="100"/>
      <c r="W78" s="100"/>
      <c r="X78" s="100"/>
      <c r="Y78" s="100"/>
      <c r="Z78" s="100"/>
      <c r="AA78" s="25"/>
      <c r="AB78" s="25"/>
      <c r="AC78" s="25"/>
      <c r="AD78" s="25"/>
      <c r="AE78" s="25"/>
      <c r="AF78" s="25"/>
      <c r="AG78" s="25"/>
      <c r="AH78" s="25"/>
    </row>
    <row r="79" spans="1:34">
      <c r="A79" s="996"/>
      <c r="B79" s="997">
        <v>58</v>
      </c>
      <c r="C79" s="998" t="s">
        <v>471</v>
      </c>
      <c r="D79" s="997">
        <v>-1</v>
      </c>
      <c r="E79" s="997">
        <v>9.18</v>
      </c>
      <c r="F79" s="999"/>
      <c r="G79" s="1000"/>
      <c r="H79" s="1001"/>
      <c r="I79" s="1002"/>
      <c r="J79" s="1003"/>
      <c r="K79" s="1003">
        <v>25</v>
      </c>
      <c r="L79" s="1001">
        <v>0</v>
      </c>
      <c r="M79" s="1004" t="s">
        <v>468</v>
      </c>
      <c r="N79" s="1005"/>
      <c r="O79" s="1006"/>
      <c r="P79" s="997"/>
      <c r="Q79" s="997"/>
      <c r="R79" s="100"/>
      <c r="S79" s="100"/>
      <c r="T79" s="100"/>
      <c r="U79" s="100"/>
      <c r="V79" s="100"/>
      <c r="W79" s="100"/>
      <c r="X79" s="100"/>
      <c r="Y79" s="100"/>
      <c r="Z79" s="100"/>
      <c r="AA79" s="25"/>
      <c r="AB79" s="25"/>
      <c r="AC79" s="25"/>
      <c r="AD79" s="25"/>
      <c r="AE79" s="25"/>
      <c r="AF79" s="25"/>
      <c r="AG79" s="25"/>
      <c r="AH79" s="25"/>
    </row>
    <row r="80" spans="1:34">
      <c r="A80" s="996"/>
      <c r="B80" s="997">
        <v>59</v>
      </c>
      <c r="C80" s="998" t="s">
        <v>469</v>
      </c>
      <c r="D80" s="997">
        <v>-1</v>
      </c>
      <c r="E80" s="997">
        <v>8.49</v>
      </c>
      <c r="F80" s="999"/>
      <c r="G80" s="1000"/>
      <c r="H80" s="1001"/>
      <c r="I80" s="1002"/>
      <c r="J80" s="1003"/>
      <c r="K80" s="1003">
        <v>25</v>
      </c>
      <c r="L80" s="1001">
        <v>0</v>
      </c>
      <c r="M80" s="1004" t="s">
        <v>468</v>
      </c>
      <c r="N80" s="1005"/>
      <c r="O80" s="1006"/>
      <c r="P80" s="997"/>
      <c r="Q80" s="997"/>
      <c r="R80" s="100"/>
      <c r="S80" s="100"/>
      <c r="T80" s="100"/>
      <c r="U80" s="100"/>
      <c r="V80" s="100"/>
      <c r="W80" s="100"/>
      <c r="X80" s="100"/>
      <c r="Y80" s="100"/>
      <c r="Z80" s="100"/>
      <c r="AA80" s="25"/>
      <c r="AB80" s="25"/>
      <c r="AC80" s="25"/>
      <c r="AD80" s="25"/>
      <c r="AE80" s="25"/>
      <c r="AF80" s="25"/>
      <c r="AG80" s="25"/>
      <c r="AH80" s="25"/>
    </row>
    <row r="81" spans="1:34">
      <c r="A81" s="996"/>
      <c r="B81" s="997">
        <v>60</v>
      </c>
      <c r="C81" s="998" t="s">
        <v>461</v>
      </c>
      <c r="D81" s="997">
        <v>0</v>
      </c>
      <c r="E81" s="997">
        <v>13.9</v>
      </c>
      <c r="F81" s="999"/>
      <c r="G81" s="1000"/>
      <c r="H81" s="1001"/>
      <c r="I81" s="1002"/>
      <c r="J81" s="1003"/>
      <c r="K81" s="1003">
        <v>25</v>
      </c>
      <c r="L81" s="1001">
        <v>0</v>
      </c>
      <c r="M81" s="1004" t="s">
        <v>460</v>
      </c>
      <c r="N81" s="1005"/>
      <c r="O81" s="1006"/>
      <c r="P81" s="997"/>
      <c r="Q81" s="997"/>
      <c r="R81" s="100"/>
      <c r="S81" s="100"/>
      <c r="T81" s="100"/>
      <c r="U81" s="100"/>
      <c r="V81" s="100"/>
      <c r="W81" s="100"/>
      <c r="X81" s="100"/>
      <c r="Y81" s="100"/>
      <c r="Z81" s="100"/>
      <c r="AA81" s="25"/>
      <c r="AB81" s="25"/>
      <c r="AC81" s="25"/>
      <c r="AD81" s="25"/>
      <c r="AE81" s="25"/>
      <c r="AF81" s="25"/>
      <c r="AG81" s="25"/>
      <c r="AH81" s="25"/>
    </row>
    <row r="82" spans="1:34">
      <c r="A82" s="996"/>
      <c r="B82" s="997">
        <v>61</v>
      </c>
      <c r="C82" s="998" t="s">
        <v>166</v>
      </c>
      <c r="D82" s="997">
        <v>-2</v>
      </c>
      <c r="E82" s="1007">
        <v>-0.2</v>
      </c>
      <c r="F82" s="999">
        <v>6.51</v>
      </c>
      <c r="G82" s="1000"/>
      <c r="H82" s="1001"/>
      <c r="I82" s="1002"/>
      <c r="J82" s="1003"/>
      <c r="K82" s="1003">
        <v>20</v>
      </c>
      <c r="L82" s="1001">
        <v>0</v>
      </c>
      <c r="M82" s="1004" t="s">
        <v>167</v>
      </c>
      <c r="N82" s="1005"/>
      <c r="O82" s="1006"/>
      <c r="P82" s="997"/>
      <c r="Q82" s="997"/>
      <c r="R82" s="100"/>
      <c r="S82" s="100"/>
      <c r="T82" s="100"/>
      <c r="U82" s="100"/>
      <c r="V82" s="100"/>
      <c r="W82" s="100"/>
      <c r="X82" s="100"/>
      <c r="Y82" s="100"/>
      <c r="Z82" s="100"/>
      <c r="AA82" s="25"/>
      <c r="AB82" s="25"/>
      <c r="AC82" s="25"/>
      <c r="AD82" s="25"/>
      <c r="AE82" s="25"/>
      <c r="AF82" s="25"/>
      <c r="AG82" s="25"/>
      <c r="AH82" s="25"/>
    </row>
    <row r="83" spans="1:34">
      <c r="A83" s="996"/>
      <c r="B83" s="997">
        <v>62</v>
      </c>
      <c r="C83" s="998" t="s">
        <v>136</v>
      </c>
      <c r="D83" s="997">
        <v>-3</v>
      </c>
      <c r="E83" s="997">
        <v>3.1280000000000001</v>
      </c>
      <c r="F83" s="999">
        <v>4.7610000000000001</v>
      </c>
      <c r="G83" s="1000">
        <v>6.3959999999999999</v>
      </c>
      <c r="H83" s="1001"/>
      <c r="I83" s="1002"/>
      <c r="J83" s="1003"/>
      <c r="K83" s="1003">
        <v>25</v>
      </c>
      <c r="L83" s="1001">
        <v>0</v>
      </c>
      <c r="M83" s="1004" t="s">
        <v>355</v>
      </c>
      <c r="N83" s="1005"/>
      <c r="O83" s="1006"/>
      <c r="P83" s="997"/>
      <c r="Q83" s="997"/>
      <c r="R83" s="100"/>
      <c r="S83" s="100"/>
      <c r="T83" s="100"/>
      <c r="U83" s="100"/>
      <c r="V83" s="100"/>
      <c r="W83" s="100"/>
      <c r="X83" s="100"/>
      <c r="Y83" s="100"/>
      <c r="Z83" s="100"/>
      <c r="AA83" s="25"/>
      <c r="AB83" s="25"/>
      <c r="AC83" s="25"/>
      <c r="AD83" s="25"/>
      <c r="AE83" s="25"/>
      <c r="AF83" s="25"/>
      <c r="AG83" s="25"/>
      <c r="AH83" s="25"/>
    </row>
    <row r="84" spans="1:34">
      <c r="A84" s="996"/>
      <c r="B84" s="997">
        <v>63</v>
      </c>
      <c r="C84" s="998" t="s">
        <v>299</v>
      </c>
      <c r="D84" s="997">
        <v>0</v>
      </c>
      <c r="E84" s="997">
        <v>8.2100000000000009</v>
      </c>
      <c r="F84" s="999"/>
      <c r="G84" s="1000"/>
      <c r="H84" s="1001"/>
      <c r="I84" s="1002"/>
      <c r="J84" s="1003"/>
      <c r="K84" s="1003">
        <v>25</v>
      </c>
      <c r="L84" s="1001">
        <v>0</v>
      </c>
      <c r="M84" s="1004" t="s">
        <v>298</v>
      </c>
      <c r="N84" s="1005"/>
      <c r="O84" s="1006"/>
      <c r="P84" s="997"/>
      <c r="Q84" s="997"/>
      <c r="R84" s="100"/>
      <c r="S84" s="100"/>
      <c r="T84" s="100"/>
      <c r="U84" s="100"/>
      <c r="V84" s="100"/>
      <c r="W84" s="100"/>
      <c r="X84" s="100"/>
      <c r="Y84" s="100"/>
      <c r="Z84" s="100"/>
      <c r="AA84" s="25"/>
      <c r="AB84" s="25"/>
      <c r="AC84" s="25"/>
      <c r="AD84" s="25"/>
      <c r="AE84" s="25"/>
      <c r="AF84" s="25"/>
      <c r="AG84" s="25"/>
      <c r="AH84" s="25"/>
    </row>
    <row r="85" spans="1:34">
      <c r="A85" s="996"/>
      <c r="B85" s="997">
        <v>64</v>
      </c>
      <c r="C85" s="998" t="s">
        <v>420</v>
      </c>
      <c r="D85" s="997">
        <v>0</v>
      </c>
      <c r="E85" s="997">
        <v>4.83</v>
      </c>
      <c r="F85" s="999">
        <v>9.1999999999999993</v>
      </c>
      <c r="G85" s="1000"/>
      <c r="H85" s="1001"/>
      <c r="I85" s="1002"/>
      <c r="J85" s="1003"/>
      <c r="K85" s="1003">
        <v>25</v>
      </c>
      <c r="L85" s="1001">
        <v>0</v>
      </c>
      <c r="M85" s="1004" t="s">
        <v>419</v>
      </c>
      <c r="N85" s="1005"/>
      <c r="O85" s="1006"/>
      <c r="P85" s="997"/>
      <c r="Q85" s="997"/>
      <c r="R85" s="100"/>
      <c r="S85" s="100"/>
      <c r="T85" s="100"/>
      <c r="U85" s="100"/>
      <c r="V85" s="100"/>
      <c r="W85" s="100"/>
      <c r="X85" s="100"/>
      <c r="Y85" s="100"/>
      <c r="Z85" s="100"/>
      <c r="AA85" s="25"/>
      <c r="AB85" s="25"/>
      <c r="AC85" s="25"/>
      <c r="AD85" s="25"/>
      <c r="AE85" s="25"/>
      <c r="AF85" s="25"/>
      <c r="AG85" s="25"/>
      <c r="AH85" s="25"/>
    </row>
    <row r="86" spans="1:34">
      <c r="A86" s="996"/>
      <c r="B86" s="997">
        <v>65</v>
      </c>
      <c r="C86" s="998" t="s">
        <v>83</v>
      </c>
      <c r="D86" s="997">
        <v>-1</v>
      </c>
      <c r="E86" s="997">
        <v>10.01</v>
      </c>
      <c r="F86" s="999"/>
      <c r="G86" s="1000"/>
      <c r="H86" s="1001"/>
      <c r="I86" s="1002"/>
      <c r="J86" s="1003"/>
      <c r="K86" s="1003">
        <v>25</v>
      </c>
      <c r="L86" s="1001">
        <v>0</v>
      </c>
      <c r="M86" s="1004" t="s">
        <v>82</v>
      </c>
      <c r="N86" s="1005"/>
      <c r="O86" s="1006"/>
      <c r="P86" s="997"/>
      <c r="Q86" s="997"/>
      <c r="R86" s="100"/>
      <c r="S86" s="100"/>
      <c r="T86" s="100"/>
      <c r="U86" s="100"/>
      <c r="V86" s="100"/>
      <c r="W86" s="100"/>
      <c r="X86" s="100"/>
      <c r="Y86" s="100"/>
      <c r="Z86" s="100"/>
      <c r="AA86" s="25"/>
      <c r="AB86" s="25"/>
      <c r="AC86" s="25"/>
      <c r="AD86" s="25"/>
      <c r="AE86" s="25"/>
      <c r="AF86" s="25"/>
      <c r="AG86" s="25"/>
      <c r="AH86" s="25"/>
    </row>
    <row r="87" spans="1:34">
      <c r="A87" s="996"/>
      <c r="B87" s="997">
        <v>66</v>
      </c>
      <c r="C87" s="998" t="s">
        <v>168</v>
      </c>
      <c r="D87" s="997">
        <v>-1</v>
      </c>
      <c r="E87" s="997">
        <v>10.199999999999999</v>
      </c>
      <c r="F87" s="999"/>
      <c r="G87" s="1000"/>
      <c r="H87" s="1001"/>
      <c r="I87" s="1002"/>
      <c r="J87" s="1003"/>
      <c r="K87" s="1003">
        <v>25</v>
      </c>
      <c r="L87" s="1001">
        <v>0</v>
      </c>
      <c r="M87" s="1004" t="s">
        <v>82</v>
      </c>
      <c r="N87" s="1005"/>
      <c r="O87" s="1006"/>
      <c r="P87" s="997"/>
      <c r="Q87" s="997"/>
      <c r="R87" s="100"/>
      <c r="S87" s="100"/>
      <c r="T87" s="100"/>
      <c r="U87" s="100"/>
      <c r="V87" s="100"/>
      <c r="W87" s="100"/>
      <c r="X87" s="100"/>
      <c r="Y87" s="100"/>
      <c r="Z87" s="100"/>
      <c r="AA87" s="25"/>
      <c r="AB87" s="25"/>
      <c r="AC87" s="25"/>
      <c r="AD87" s="25"/>
      <c r="AE87" s="25"/>
      <c r="AF87" s="25"/>
      <c r="AG87" s="25"/>
      <c r="AH87" s="25"/>
    </row>
    <row r="88" spans="1:34">
      <c r="A88" s="996"/>
      <c r="B88" s="997">
        <v>67</v>
      </c>
      <c r="C88" s="998" t="s">
        <v>84</v>
      </c>
      <c r="D88" s="997">
        <v>-1</v>
      </c>
      <c r="E88" s="997">
        <v>10.17</v>
      </c>
      <c r="F88" s="999"/>
      <c r="G88" s="1000"/>
      <c r="H88" s="1001"/>
      <c r="I88" s="1002"/>
      <c r="J88" s="1003"/>
      <c r="K88" s="1003">
        <v>25</v>
      </c>
      <c r="L88" s="1001">
        <v>0</v>
      </c>
      <c r="M88" s="1004" t="s">
        <v>82</v>
      </c>
      <c r="N88" s="1005"/>
      <c r="O88" s="1006"/>
      <c r="P88" s="997"/>
      <c r="Q88" s="997"/>
      <c r="R88" s="100"/>
      <c r="S88" s="100"/>
      <c r="T88" s="100"/>
      <c r="U88" s="100"/>
      <c r="V88" s="100"/>
      <c r="W88" s="100"/>
      <c r="X88" s="100"/>
      <c r="Y88" s="100"/>
      <c r="Z88" s="100"/>
      <c r="AA88" s="25"/>
      <c r="AB88" s="25"/>
      <c r="AC88" s="25"/>
      <c r="AD88" s="25"/>
      <c r="AE88" s="25"/>
      <c r="AF88" s="25"/>
      <c r="AG88" s="25"/>
      <c r="AH88" s="25"/>
    </row>
    <row r="89" spans="1:34">
      <c r="A89" s="996"/>
      <c r="B89" s="997">
        <v>68</v>
      </c>
      <c r="C89" s="998" t="s">
        <v>169</v>
      </c>
      <c r="D89" s="997">
        <v>-1</v>
      </c>
      <c r="E89" s="997">
        <v>4.37</v>
      </c>
      <c r="F89" s="999"/>
      <c r="G89" s="1000"/>
      <c r="H89" s="1001"/>
      <c r="I89" s="1002"/>
      <c r="J89" s="1003"/>
      <c r="K89" s="1003">
        <v>25</v>
      </c>
      <c r="L89" s="988">
        <v>0</v>
      </c>
      <c r="M89" s="1004" t="s">
        <v>170</v>
      </c>
      <c r="N89" s="1005"/>
      <c r="O89" s="1006"/>
      <c r="P89" s="997"/>
      <c r="Q89" s="997"/>
      <c r="R89" s="100"/>
      <c r="S89" s="100"/>
      <c r="T89" s="100"/>
      <c r="U89" s="100"/>
      <c r="V89" s="100"/>
      <c r="W89" s="100"/>
      <c r="X89" s="100"/>
      <c r="Y89" s="100"/>
      <c r="Z89" s="100"/>
      <c r="AA89" s="25"/>
      <c r="AB89" s="25"/>
      <c r="AC89" s="25"/>
      <c r="AD89" s="25"/>
      <c r="AE89" s="25"/>
      <c r="AF89" s="25"/>
      <c r="AG89" s="25"/>
      <c r="AH89" s="25"/>
    </row>
    <row r="90" spans="1:34">
      <c r="A90" s="996"/>
      <c r="B90" s="997">
        <v>69</v>
      </c>
      <c r="C90" s="998" t="s">
        <v>171</v>
      </c>
      <c r="D90" s="997">
        <v>-1</v>
      </c>
      <c r="E90" s="997">
        <v>3.46</v>
      </c>
      <c r="F90" s="999"/>
      <c r="G90" s="1000"/>
      <c r="H90" s="1001"/>
      <c r="I90" s="1002"/>
      <c r="J90" s="1003"/>
      <c r="K90" s="1003"/>
      <c r="L90" s="1001"/>
      <c r="M90" s="1004" t="s">
        <v>356</v>
      </c>
      <c r="N90" s="1005"/>
      <c r="O90" s="1006"/>
      <c r="P90" s="997"/>
      <c r="Q90" s="997"/>
      <c r="R90" s="100"/>
      <c r="S90" s="100"/>
      <c r="T90" s="100"/>
      <c r="U90" s="100"/>
      <c r="V90" s="100"/>
      <c r="W90" s="100"/>
      <c r="X90" s="100"/>
      <c r="Y90" s="100"/>
      <c r="Z90" s="100"/>
      <c r="AA90" s="25"/>
      <c r="AB90" s="25"/>
      <c r="AC90" s="25"/>
      <c r="AD90" s="25"/>
      <c r="AE90" s="25"/>
      <c r="AF90" s="25"/>
      <c r="AG90" s="25"/>
      <c r="AH90" s="25"/>
    </row>
    <row r="91" spans="1:34">
      <c r="A91" s="996"/>
      <c r="B91" s="997">
        <v>70</v>
      </c>
      <c r="C91" s="998" t="s">
        <v>398</v>
      </c>
      <c r="D91" s="997">
        <v>-2</v>
      </c>
      <c r="E91" s="997">
        <v>1.71</v>
      </c>
      <c r="F91" s="999">
        <v>8.36</v>
      </c>
      <c r="G91" s="1000">
        <v>10.77</v>
      </c>
      <c r="H91" s="1001"/>
      <c r="I91" s="1002"/>
      <c r="J91" s="1003"/>
      <c r="K91" s="1003">
        <v>25</v>
      </c>
      <c r="L91" s="1001">
        <v>0</v>
      </c>
      <c r="M91" s="1004" t="s">
        <v>397</v>
      </c>
      <c r="N91" s="1005"/>
      <c r="O91" s="1006"/>
      <c r="P91" s="997"/>
      <c r="Q91" s="997"/>
      <c r="R91" s="100"/>
      <c r="S91" s="100"/>
      <c r="T91" s="100"/>
      <c r="U91" s="100"/>
      <c r="V91" s="100"/>
      <c r="W91" s="100"/>
      <c r="X91" s="100"/>
      <c r="Y91" s="100"/>
      <c r="Z91" s="100"/>
      <c r="AA91" s="25"/>
      <c r="AB91" s="25"/>
      <c r="AC91" s="25"/>
      <c r="AD91" s="25"/>
      <c r="AE91" s="25"/>
      <c r="AF91" s="25"/>
      <c r="AG91" s="25"/>
      <c r="AH91" s="25"/>
    </row>
    <row r="92" spans="1:34">
      <c r="A92" s="996"/>
      <c r="B92" s="997">
        <v>71</v>
      </c>
      <c r="C92" s="998" t="s">
        <v>284</v>
      </c>
      <c r="D92" s="997">
        <v>0</v>
      </c>
      <c r="E92" s="997">
        <v>10.64</v>
      </c>
      <c r="F92" s="999"/>
      <c r="G92" s="1000"/>
      <c r="H92" s="1001"/>
      <c r="I92" s="1002"/>
      <c r="J92" s="1003"/>
      <c r="K92" s="1003">
        <v>25</v>
      </c>
      <c r="L92" s="1001">
        <v>0</v>
      </c>
      <c r="M92" s="1004" t="s">
        <v>283</v>
      </c>
      <c r="N92" s="1005"/>
      <c r="O92" s="1006"/>
      <c r="P92" s="997"/>
      <c r="Q92" s="997"/>
      <c r="R92" s="100"/>
      <c r="S92" s="100"/>
      <c r="T92" s="100"/>
      <c r="U92" s="100"/>
      <c r="V92" s="100"/>
      <c r="W92" s="100"/>
      <c r="X92" s="100"/>
      <c r="Y92" s="100"/>
      <c r="Z92" s="100"/>
      <c r="AA92" s="25"/>
      <c r="AB92" s="25"/>
      <c r="AC92" s="25"/>
      <c r="AD92" s="25"/>
      <c r="AE92" s="25"/>
      <c r="AF92" s="25"/>
      <c r="AG92" s="25"/>
      <c r="AH92" s="25"/>
    </row>
    <row r="93" spans="1:34">
      <c r="A93" s="996"/>
      <c r="B93" s="997">
        <v>72</v>
      </c>
      <c r="C93" s="998" t="s">
        <v>433</v>
      </c>
      <c r="D93" s="997">
        <v>-1</v>
      </c>
      <c r="E93" s="997">
        <v>1.85</v>
      </c>
      <c r="F93" s="999">
        <v>8.24</v>
      </c>
      <c r="G93" s="1000">
        <v>10.44</v>
      </c>
      <c r="H93" s="1001"/>
      <c r="I93" s="1002"/>
      <c r="J93" s="1003"/>
      <c r="K93" s="1003">
        <v>25</v>
      </c>
      <c r="L93" s="1001">
        <v>0</v>
      </c>
      <c r="M93" s="1004" t="s">
        <v>432</v>
      </c>
      <c r="N93" s="1005"/>
      <c r="O93" s="1006"/>
      <c r="P93" s="997"/>
      <c r="Q93" s="997"/>
      <c r="R93" s="100"/>
      <c r="S93" s="100"/>
      <c r="T93" s="100"/>
      <c r="U93" s="100"/>
      <c r="V93" s="100"/>
      <c r="W93" s="100"/>
      <c r="X93" s="100"/>
      <c r="Y93" s="100"/>
      <c r="Z93" s="100"/>
      <c r="AA93" s="25"/>
      <c r="AB93" s="25"/>
      <c r="AC93" s="25"/>
      <c r="AD93" s="25"/>
      <c r="AE93" s="25"/>
      <c r="AF93" s="25"/>
      <c r="AG93" s="25"/>
      <c r="AH93" s="25"/>
    </row>
    <row r="94" spans="1:34">
      <c r="A94" s="996"/>
      <c r="B94" s="997">
        <v>73</v>
      </c>
      <c r="C94" s="998" t="s">
        <v>172</v>
      </c>
      <c r="D94" s="997">
        <v>-1</v>
      </c>
      <c r="E94" s="997">
        <v>1.3</v>
      </c>
      <c r="F94" s="999"/>
      <c r="G94" s="1000"/>
      <c r="H94" s="1001"/>
      <c r="I94" s="1002"/>
      <c r="J94" s="1003"/>
      <c r="K94" s="1003">
        <v>25</v>
      </c>
      <c r="L94" s="1001">
        <v>0</v>
      </c>
      <c r="M94" s="1004" t="s">
        <v>173</v>
      </c>
      <c r="N94" s="1005"/>
      <c r="O94" s="1006"/>
      <c r="P94" s="997"/>
      <c r="Q94" s="997"/>
      <c r="R94" s="100"/>
      <c r="S94" s="100"/>
      <c r="T94" s="100"/>
      <c r="U94" s="100"/>
      <c r="V94" s="100"/>
      <c r="W94" s="100"/>
      <c r="X94" s="100"/>
      <c r="Y94" s="100"/>
      <c r="Z94" s="100"/>
      <c r="AA94" s="25"/>
      <c r="AB94" s="25"/>
      <c r="AC94" s="25"/>
      <c r="AD94" s="25"/>
      <c r="AE94" s="25"/>
      <c r="AF94" s="25"/>
      <c r="AG94" s="25"/>
      <c r="AH94" s="25"/>
    </row>
    <row r="95" spans="1:34">
      <c r="A95" s="996"/>
      <c r="B95" s="997">
        <v>74</v>
      </c>
      <c r="C95" s="998" t="s">
        <v>467</v>
      </c>
      <c r="D95" s="997">
        <v>-1</v>
      </c>
      <c r="E95" s="997">
        <v>7.46</v>
      </c>
      <c r="F95" s="999"/>
      <c r="G95" s="1000"/>
      <c r="H95" s="1001"/>
      <c r="I95" s="1002"/>
      <c r="J95" s="1003"/>
      <c r="K95" s="1003">
        <v>25</v>
      </c>
      <c r="L95" s="1001">
        <v>0</v>
      </c>
      <c r="M95" s="1004" t="s">
        <v>466</v>
      </c>
      <c r="N95" s="1005"/>
      <c r="O95" s="1006"/>
      <c r="P95" s="997"/>
      <c r="Q95" s="997"/>
      <c r="R95" s="100"/>
      <c r="S95" s="100"/>
      <c r="T95" s="100"/>
      <c r="U95" s="100"/>
      <c r="V95" s="100"/>
      <c r="W95" s="100"/>
      <c r="X95" s="100"/>
      <c r="Y95" s="100"/>
      <c r="Z95" s="100"/>
      <c r="AA95" s="25"/>
      <c r="AB95" s="25"/>
      <c r="AC95" s="25"/>
      <c r="AD95" s="25"/>
      <c r="AE95" s="25"/>
      <c r="AF95" s="25"/>
      <c r="AG95" s="25"/>
      <c r="AH95" s="25"/>
    </row>
    <row r="96" spans="1:34">
      <c r="A96" s="996"/>
      <c r="B96" s="997">
        <v>75</v>
      </c>
      <c r="C96" s="998" t="s">
        <v>174</v>
      </c>
      <c r="D96" s="997">
        <v>0</v>
      </c>
      <c r="E96" s="997">
        <v>10.933</v>
      </c>
      <c r="F96" s="999"/>
      <c r="G96" s="1000"/>
      <c r="H96" s="1001"/>
      <c r="I96" s="1002"/>
      <c r="J96" s="1003"/>
      <c r="K96" s="1003">
        <v>25</v>
      </c>
      <c r="L96" s="1001">
        <v>0</v>
      </c>
      <c r="M96" s="1004" t="s">
        <v>175</v>
      </c>
      <c r="N96" s="1005"/>
      <c r="O96" s="1006"/>
      <c r="P96" s="997"/>
      <c r="Q96" s="997"/>
      <c r="R96" s="100"/>
      <c r="S96" s="100"/>
      <c r="T96" s="100"/>
      <c r="U96" s="100"/>
      <c r="V96" s="100"/>
      <c r="W96" s="100"/>
      <c r="X96" s="100"/>
      <c r="Y96" s="100"/>
      <c r="Z96" s="100"/>
      <c r="AA96" s="25"/>
      <c r="AB96" s="25"/>
      <c r="AC96" s="25"/>
      <c r="AD96" s="25"/>
      <c r="AE96" s="25"/>
      <c r="AF96" s="25"/>
      <c r="AG96" s="25"/>
      <c r="AH96" s="25"/>
    </row>
    <row r="97" spans="1:34">
      <c r="A97" s="996"/>
      <c r="B97" s="997">
        <v>76</v>
      </c>
      <c r="C97" s="998" t="s">
        <v>60</v>
      </c>
      <c r="D97" s="997">
        <v>0</v>
      </c>
      <c r="E97" s="997">
        <v>11.05</v>
      </c>
      <c r="F97" s="999"/>
      <c r="G97" s="1000"/>
      <c r="H97" s="1001"/>
      <c r="I97" s="1002"/>
      <c r="J97" s="1003"/>
      <c r="K97" s="1003">
        <v>25</v>
      </c>
      <c r="L97" s="1001">
        <v>0</v>
      </c>
      <c r="M97" s="1004" t="s">
        <v>59</v>
      </c>
      <c r="N97" s="1005"/>
      <c r="O97" s="1006"/>
      <c r="P97" s="997"/>
      <c r="Q97" s="997"/>
      <c r="R97" s="100"/>
      <c r="S97" s="100"/>
      <c r="T97" s="100"/>
      <c r="U97" s="100"/>
      <c r="V97" s="100"/>
      <c r="W97" s="100"/>
      <c r="X97" s="100"/>
      <c r="Y97" s="100"/>
      <c r="Z97" s="100"/>
      <c r="AA97" s="25"/>
      <c r="AB97" s="25"/>
      <c r="AC97" s="25"/>
      <c r="AD97" s="25"/>
      <c r="AE97" s="25"/>
      <c r="AF97" s="25"/>
      <c r="AG97" s="25"/>
      <c r="AH97" s="25"/>
    </row>
    <row r="98" spans="1:34">
      <c r="A98" s="996"/>
      <c r="B98" s="997">
        <v>77</v>
      </c>
      <c r="C98" s="998" t="s">
        <v>176</v>
      </c>
      <c r="D98" s="997">
        <v>0</v>
      </c>
      <c r="E98" s="997">
        <v>10.773999999999999</v>
      </c>
      <c r="F98" s="999"/>
      <c r="G98" s="1000"/>
      <c r="H98" s="1001"/>
      <c r="I98" s="1002"/>
      <c r="J98" s="1003"/>
      <c r="K98" s="1003">
        <v>25</v>
      </c>
      <c r="L98" s="1001">
        <v>0</v>
      </c>
      <c r="M98" s="1004" t="s">
        <v>177</v>
      </c>
      <c r="N98" s="1005"/>
      <c r="O98" s="1006"/>
      <c r="P98" s="997"/>
      <c r="Q98" s="997"/>
      <c r="R98" s="100"/>
      <c r="S98" s="100"/>
      <c r="T98" s="100"/>
      <c r="U98" s="100"/>
      <c r="V98" s="100"/>
      <c r="W98" s="100"/>
      <c r="X98" s="100"/>
      <c r="Y98" s="100"/>
      <c r="Z98" s="100"/>
      <c r="AA98" s="25"/>
      <c r="AB98" s="25"/>
      <c r="AC98" s="25"/>
      <c r="AD98" s="25"/>
      <c r="AE98" s="25"/>
      <c r="AF98" s="25"/>
      <c r="AG98" s="25"/>
      <c r="AH98" s="25"/>
    </row>
    <row r="99" spans="1:34">
      <c r="A99" s="996"/>
      <c r="B99" s="997">
        <v>78</v>
      </c>
      <c r="C99" s="998" t="s">
        <v>699</v>
      </c>
      <c r="D99" s="997">
        <v>-2</v>
      </c>
      <c r="E99" s="997">
        <v>10.66</v>
      </c>
      <c r="F99" s="999">
        <v>12</v>
      </c>
      <c r="G99" s="1000"/>
      <c r="H99" s="1001"/>
      <c r="I99" s="1002"/>
      <c r="J99" s="1003"/>
      <c r="K99" s="1003">
        <v>25</v>
      </c>
      <c r="L99" s="1001">
        <v>0</v>
      </c>
      <c r="M99" s="1004" t="s">
        <v>178</v>
      </c>
      <c r="N99" s="1005"/>
      <c r="O99" s="1006"/>
      <c r="P99" s="997"/>
      <c r="Q99" s="997"/>
      <c r="R99" s="100"/>
      <c r="S99" s="100"/>
      <c r="T99" s="100"/>
      <c r="U99" s="100"/>
      <c r="V99" s="100"/>
      <c r="W99" s="100"/>
      <c r="X99" s="100"/>
      <c r="Y99" s="100"/>
      <c r="Z99" s="100"/>
      <c r="AA99" s="25"/>
      <c r="AB99" s="25"/>
      <c r="AC99" s="25"/>
      <c r="AD99" s="25"/>
      <c r="AE99" s="25"/>
      <c r="AF99" s="25"/>
      <c r="AG99" s="25"/>
      <c r="AH99" s="25"/>
    </row>
    <row r="100" spans="1:34">
      <c r="A100" s="996"/>
      <c r="B100" s="997">
        <v>79</v>
      </c>
      <c r="C100" s="998" t="s">
        <v>559</v>
      </c>
      <c r="D100" s="997">
        <v>0</v>
      </c>
      <c r="E100" s="997">
        <v>6.58</v>
      </c>
      <c r="F100" s="999"/>
      <c r="G100" s="1000"/>
      <c r="H100" s="1001"/>
      <c r="I100" s="1002"/>
      <c r="J100" s="1003"/>
      <c r="K100" s="1003">
        <v>25</v>
      </c>
      <c r="L100" s="1001">
        <v>0</v>
      </c>
      <c r="M100" s="1004" t="s">
        <v>85</v>
      </c>
      <c r="N100" s="1005"/>
      <c r="O100" s="1006"/>
      <c r="P100" s="997"/>
      <c r="Q100" s="997"/>
      <c r="R100" s="100"/>
      <c r="S100" s="100"/>
      <c r="T100" s="100"/>
      <c r="U100" s="100"/>
      <c r="V100" s="100"/>
      <c r="W100" s="100"/>
      <c r="X100" s="100"/>
      <c r="Y100" s="100"/>
      <c r="Z100" s="100"/>
      <c r="AA100" s="25"/>
      <c r="AB100" s="25"/>
      <c r="AC100" s="25"/>
      <c r="AD100" s="25"/>
      <c r="AE100" s="25"/>
      <c r="AF100" s="25"/>
      <c r="AG100" s="25"/>
      <c r="AH100" s="25"/>
    </row>
    <row r="101" spans="1:34">
      <c r="A101" s="996"/>
      <c r="B101" s="997">
        <v>80</v>
      </c>
      <c r="C101" s="998" t="s">
        <v>560</v>
      </c>
      <c r="D101" s="997">
        <v>0</v>
      </c>
      <c r="E101" s="997">
        <v>6.99</v>
      </c>
      <c r="F101" s="999"/>
      <c r="G101" s="1000"/>
      <c r="H101" s="1001"/>
      <c r="I101" s="1002"/>
      <c r="J101" s="1003"/>
      <c r="K101" s="1003">
        <v>25</v>
      </c>
      <c r="L101" s="1001">
        <v>0</v>
      </c>
      <c r="M101" s="1004" t="s">
        <v>85</v>
      </c>
      <c r="N101" s="1005"/>
      <c r="O101" s="1006"/>
      <c r="P101" s="997"/>
      <c r="Q101" s="997"/>
      <c r="R101" s="100"/>
      <c r="S101" s="100"/>
      <c r="T101" s="100"/>
      <c r="U101" s="100"/>
      <c r="V101" s="100"/>
      <c r="W101" s="100"/>
      <c r="X101" s="100"/>
      <c r="Y101" s="100"/>
      <c r="Z101" s="100"/>
      <c r="AA101" s="25"/>
      <c r="AB101" s="25"/>
      <c r="AC101" s="25"/>
      <c r="AD101" s="25"/>
      <c r="AE101" s="25"/>
      <c r="AF101" s="25"/>
      <c r="AG101" s="25"/>
      <c r="AH101" s="25"/>
    </row>
    <row r="102" spans="1:34">
      <c r="A102" s="996"/>
      <c r="B102" s="997">
        <v>81</v>
      </c>
      <c r="C102" s="998" t="s">
        <v>561</v>
      </c>
      <c r="D102" s="997">
        <v>0</v>
      </c>
      <c r="E102" s="997">
        <v>6.4</v>
      </c>
      <c r="F102" s="999"/>
      <c r="G102" s="1000"/>
      <c r="H102" s="1001"/>
      <c r="I102" s="1002"/>
      <c r="J102" s="1003"/>
      <c r="K102" s="1003">
        <v>25</v>
      </c>
      <c r="L102" s="1001">
        <v>0</v>
      </c>
      <c r="M102" s="1004" t="s">
        <v>85</v>
      </c>
      <c r="N102" s="1005"/>
      <c r="O102" s="1006"/>
      <c r="P102" s="997"/>
      <c r="Q102" s="997"/>
      <c r="R102" s="100"/>
      <c r="S102" s="100"/>
      <c r="T102" s="100"/>
      <c r="U102" s="100"/>
      <c r="V102" s="100"/>
      <c r="W102" s="100"/>
      <c r="X102" s="100"/>
      <c r="Y102" s="100"/>
      <c r="Z102" s="100"/>
      <c r="AA102" s="25"/>
      <c r="AB102" s="25"/>
      <c r="AC102" s="25"/>
      <c r="AD102" s="25"/>
      <c r="AE102" s="25"/>
      <c r="AF102" s="25"/>
      <c r="AG102" s="25"/>
      <c r="AH102" s="25"/>
    </row>
    <row r="103" spans="1:34">
      <c r="A103" s="996"/>
      <c r="B103" s="997">
        <v>82</v>
      </c>
      <c r="C103" s="998" t="s">
        <v>562</v>
      </c>
      <c r="D103" s="997">
        <v>0</v>
      </c>
      <c r="E103" s="997">
        <v>6.65</v>
      </c>
      <c r="F103" s="999"/>
      <c r="G103" s="1000"/>
      <c r="H103" s="1001"/>
      <c r="I103" s="1002"/>
      <c r="J103" s="1003"/>
      <c r="K103" s="1003">
        <v>25</v>
      </c>
      <c r="L103" s="1001">
        <v>0</v>
      </c>
      <c r="M103" s="1004" t="s">
        <v>85</v>
      </c>
      <c r="N103" s="1005"/>
      <c r="O103" s="1006"/>
      <c r="P103" s="997"/>
      <c r="Q103" s="997"/>
      <c r="R103" s="100"/>
      <c r="S103" s="100"/>
      <c r="T103" s="100"/>
      <c r="U103" s="100"/>
      <c r="V103" s="100"/>
      <c r="W103" s="100"/>
      <c r="X103" s="100"/>
      <c r="Y103" s="100"/>
      <c r="Z103" s="100"/>
      <c r="AA103" s="25"/>
      <c r="AB103" s="25"/>
      <c r="AC103" s="25"/>
      <c r="AD103" s="25"/>
      <c r="AE103" s="25"/>
      <c r="AF103" s="25"/>
      <c r="AG103" s="25"/>
      <c r="AH103" s="25"/>
    </row>
    <row r="104" spans="1:34">
      <c r="A104" s="996"/>
      <c r="B104" s="997">
        <v>83</v>
      </c>
      <c r="C104" s="998" t="s">
        <v>563</v>
      </c>
      <c r="D104" s="997">
        <v>0</v>
      </c>
      <c r="E104" s="997">
        <v>6.46</v>
      </c>
      <c r="F104" s="999"/>
      <c r="G104" s="1000"/>
      <c r="H104" s="1001"/>
      <c r="I104" s="1002"/>
      <c r="J104" s="1003"/>
      <c r="K104" s="1003">
        <v>25</v>
      </c>
      <c r="L104" s="1001">
        <v>0</v>
      </c>
      <c r="M104" s="1004" t="s">
        <v>85</v>
      </c>
      <c r="N104" s="1005"/>
      <c r="O104" s="1006"/>
      <c r="P104" s="997"/>
      <c r="Q104" s="997"/>
      <c r="R104" s="100"/>
      <c r="S104" s="100"/>
      <c r="T104" s="100"/>
      <c r="U104" s="100"/>
      <c r="V104" s="100"/>
      <c r="W104" s="100"/>
      <c r="X104" s="100"/>
      <c r="Y104" s="100"/>
      <c r="Z104" s="100"/>
      <c r="AA104" s="25"/>
      <c r="AB104" s="25"/>
      <c r="AC104" s="25"/>
      <c r="AD104" s="25"/>
      <c r="AE104" s="25"/>
      <c r="AF104" s="25"/>
      <c r="AG104" s="25"/>
      <c r="AH104" s="25"/>
    </row>
    <row r="105" spans="1:34">
      <c r="A105" s="996"/>
      <c r="B105" s="997">
        <v>84</v>
      </c>
      <c r="C105" s="998" t="s">
        <v>564</v>
      </c>
      <c r="D105" s="997">
        <v>0</v>
      </c>
      <c r="E105" s="997">
        <v>6.15</v>
      </c>
      <c r="F105" s="999"/>
      <c r="G105" s="1000"/>
      <c r="H105" s="1001"/>
      <c r="I105" s="1002"/>
      <c r="J105" s="1003"/>
      <c r="K105" s="1003">
        <v>25</v>
      </c>
      <c r="L105" s="1001">
        <v>0</v>
      </c>
      <c r="M105" s="1004" t="s">
        <v>85</v>
      </c>
      <c r="N105" s="1005"/>
      <c r="O105" s="1006"/>
      <c r="P105" s="997"/>
      <c r="Q105" s="997"/>
      <c r="R105" s="100"/>
      <c r="S105" s="100"/>
      <c r="T105" s="100"/>
      <c r="U105" s="100"/>
      <c r="V105" s="100"/>
      <c r="W105" s="100"/>
      <c r="X105" s="100"/>
      <c r="Y105" s="100"/>
      <c r="Z105" s="100"/>
      <c r="AA105" s="25"/>
      <c r="AB105" s="25"/>
      <c r="AC105" s="25"/>
      <c r="AD105" s="25"/>
      <c r="AE105" s="25"/>
      <c r="AF105" s="25"/>
      <c r="AG105" s="25"/>
      <c r="AH105" s="25"/>
    </row>
    <row r="106" spans="1:34">
      <c r="A106" s="996"/>
      <c r="B106" s="997">
        <v>85</v>
      </c>
      <c r="C106" s="998" t="s">
        <v>71</v>
      </c>
      <c r="D106" s="997">
        <v>-1</v>
      </c>
      <c r="E106" s="997">
        <v>2.8</v>
      </c>
      <c r="F106" s="999"/>
      <c r="G106" s="1000"/>
      <c r="H106" s="1001"/>
      <c r="I106" s="1002"/>
      <c r="J106" s="1003"/>
      <c r="K106" s="1003">
        <v>25</v>
      </c>
      <c r="L106" s="1001">
        <v>0</v>
      </c>
      <c r="M106" s="1004" t="s">
        <v>70</v>
      </c>
      <c r="N106" s="1005"/>
      <c r="O106" s="1006"/>
      <c r="P106" s="997"/>
      <c r="Q106" s="997"/>
      <c r="R106" s="100"/>
      <c r="S106" s="100"/>
      <c r="T106" s="100"/>
      <c r="U106" s="100"/>
      <c r="V106" s="100"/>
      <c r="W106" s="100"/>
      <c r="X106" s="100"/>
      <c r="Y106" s="100"/>
      <c r="Z106" s="100"/>
      <c r="AA106" s="25"/>
      <c r="AB106" s="25"/>
      <c r="AC106" s="25"/>
      <c r="AD106" s="25"/>
      <c r="AE106" s="25"/>
      <c r="AF106" s="25"/>
      <c r="AG106" s="25"/>
      <c r="AH106" s="25"/>
    </row>
    <row r="107" spans="1:34">
      <c r="A107" s="996"/>
      <c r="B107" s="997">
        <v>86</v>
      </c>
      <c r="C107" s="998" t="s">
        <v>295</v>
      </c>
      <c r="D107" s="997">
        <v>0</v>
      </c>
      <c r="E107" s="997">
        <v>0.79</v>
      </c>
      <c r="F107" s="999"/>
      <c r="G107" s="1000"/>
      <c r="H107" s="1001"/>
      <c r="I107" s="1002"/>
      <c r="J107" s="1003"/>
      <c r="K107" s="1003">
        <v>25</v>
      </c>
      <c r="L107" s="1001">
        <v>0</v>
      </c>
      <c r="M107" s="1004" t="s">
        <v>293</v>
      </c>
      <c r="N107" s="1005"/>
      <c r="O107" s="1006"/>
      <c r="P107" s="997"/>
      <c r="Q107" s="997"/>
      <c r="R107" s="100"/>
      <c r="S107" s="100"/>
      <c r="T107" s="100"/>
      <c r="U107" s="100"/>
      <c r="V107" s="100"/>
      <c r="W107" s="100"/>
      <c r="X107" s="100"/>
      <c r="Y107" s="100"/>
      <c r="Z107" s="100"/>
      <c r="AA107" s="25"/>
      <c r="AB107" s="25"/>
      <c r="AC107" s="25"/>
      <c r="AD107" s="25"/>
      <c r="AE107" s="25"/>
      <c r="AF107" s="25"/>
      <c r="AG107" s="25"/>
      <c r="AH107" s="25"/>
    </row>
    <row r="108" spans="1:34">
      <c r="A108" s="996"/>
      <c r="B108" s="997">
        <v>87</v>
      </c>
      <c r="C108" s="998" t="s">
        <v>72</v>
      </c>
      <c r="D108" s="997">
        <v>-2</v>
      </c>
      <c r="E108" s="997">
        <v>2.16</v>
      </c>
      <c r="F108" s="999">
        <v>4.76</v>
      </c>
      <c r="G108" s="1000"/>
      <c r="H108" s="1001"/>
      <c r="I108" s="1002"/>
      <c r="J108" s="1003"/>
      <c r="K108" s="1003">
        <v>25</v>
      </c>
      <c r="L108" s="1001">
        <v>0</v>
      </c>
      <c r="M108" s="1004" t="s">
        <v>70</v>
      </c>
      <c r="N108" s="1005"/>
      <c r="O108" s="1006"/>
      <c r="P108" s="997"/>
      <c r="Q108" s="997"/>
      <c r="R108" s="100"/>
      <c r="S108" s="100"/>
      <c r="T108" s="100"/>
      <c r="U108" s="100"/>
      <c r="V108" s="100"/>
      <c r="W108" s="100"/>
      <c r="X108" s="100"/>
      <c r="Y108" s="100"/>
      <c r="Z108" s="100"/>
      <c r="AA108" s="25"/>
      <c r="AB108" s="25"/>
      <c r="AC108" s="25"/>
      <c r="AD108" s="25"/>
      <c r="AE108" s="25"/>
      <c r="AF108" s="25"/>
      <c r="AG108" s="25"/>
      <c r="AH108" s="25"/>
    </row>
    <row r="109" spans="1:34">
      <c r="A109" s="996"/>
      <c r="B109" s="997">
        <v>88</v>
      </c>
      <c r="C109" s="998" t="s">
        <v>115</v>
      </c>
      <c r="D109" s="997">
        <v>-1</v>
      </c>
      <c r="E109" s="997">
        <v>8.9</v>
      </c>
      <c r="F109" s="999">
        <v>10.6</v>
      </c>
      <c r="G109" s="1000"/>
      <c r="H109" s="1001"/>
      <c r="I109" s="1002"/>
      <c r="J109" s="1003"/>
      <c r="K109" s="1003">
        <v>25</v>
      </c>
      <c r="L109" s="1001">
        <v>0</v>
      </c>
      <c r="M109" s="1004" t="s">
        <v>114</v>
      </c>
      <c r="N109" s="1005">
        <v>153.18</v>
      </c>
      <c r="O109" s="1006"/>
      <c r="P109" s="997"/>
      <c r="Q109" s="997"/>
      <c r="R109" s="100"/>
      <c r="S109" s="100"/>
      <c r="T109" s="100"/>
      <c r="U109" s="100"/>
      <c r="V109" s="100"/>
      <c r="W109" s="100"/>
      <c r="X109" s="100"/>
      <c r="Y109" s="100"/>
      <c r="Z109" s="100"/>
      <c r="AA109" s="25"/>
      <c r="AB109" s="25"/>
      <c r="AC109" s="25"/>
      <c r="AD109" s="25"/>
      <c r="AE109" s="25"/>
      <c r="AF109" s="25"/>
      <c r="AG109" s="25"/>
      <c r="AH109" s="25"/>
    </row>
    <row r="110" spans="1:34">
      <c r="A110" s="996"/>
      <c r="B110" s="997">
        <v>89</v>
      </c>
      <c r="C110" s="998" t="s">
        <v>280</v>
      </c>
      <c r="D110" s="997">
        <v>0</v>
      </c>
      <c r="E110" s="997">
        <v>10.138999999999999</v>
      </c>
      <c r="F110" s="999"/>
      <c r="G110" s="1000"/>
      <c r="H110" s="1001"/>
      <c r="I110" s="1002"/>
      <c r="J110" s="1003"/>
      <c r="K110" s="1003">
        <v>10</v>
      </c>
      <c r="L110" s="1001">
        <v>0</v>
      </c>
      <c r="M110" s="1004" t="s">
        <v>279</v>
      </c>
      <c r="N110" s="1005">
        <v>165.23</v>
      </c>
      <c r="O110" s="1006"/>
      <c r="P110" s="997"/>
      <c r="Q110" s="997"/>
      <c r="R110" s="100"/>
      <c r="S110" s="100"/>
      <c r="T110" s="100"/>
      <c r="U110" s="100"/>
      <c r="V110" s="100"/>
      <c r="W110" s="100"/>
      <c r="X110" s="100"/>
      <c r="Y110" s="100"/>
      <c r="Z110" s="100"/>
      <c r="AA110" s="25"/>
      <c r="AB110" s="25"/>
      <c r="AC110" s="25"/>
      <c r="AD110" s="25"/>
      <c r="AE110" s="25"/>
      <c r="AF110" s="25"/>
      <c r="AG110" s="25"/>
      <c r="AH110" s="25"/>
    </row>
    <row r="111" spans="1:34">
      <c r="A111" s="996"/>
      <c r="B111" s="997">
        <v>90</v>
      </c>
      <c r="C111" s="998" t="s">
        <v>383</v>
      </c>
      <c r="D111" s="997">
        <v>0</v>
      </c>
      <c r="E111" s="997">
        <v>9.5</v>
      </c>
      <c r="F111" s="999"/>
      <c r="G111" s="1000"/>
      <c r="H111" s="1001"/>
      <c r="I111" s="1002"/>
      <c r="J111" s="1003"/>
      <c r="K111" s="1003">
        <v>25</v>
      </c>
      <c r="L111" s="1001">
        <v>0</v>
      </c>
      <c r="M111" s="1004" t="s">
        <v>382</v>
      </c>
      <c r="N111" s="1005"/>
      <c r="O111" s="1006"/>
      <c r="P111" s="997"/>
      <c r="Q111" s="997"/>
      <c r="R111" s="100"/>
      <c r="S111" s="100"/>
      <c r="T111" s="100"/>
      <c r="U111" s="100"/>
      <c r="V111" s="100"/>
      <c r="W111" s="100"/>
      <c r="X111" s="100"/>
      <c r="Y111" s="100"/>
      <c r="Z111" s="100"/>
      <c r="AA111" s="25"/>
      <c r="AB111" s="25"/>
      <c r="AC111" s="25"/>
      <c r="AD111" s="25"/>
      <c r="AE111" s="25"/>
      <c r="AF111" s="25"/>
      <c r="AG111" s="25"/>
      <c r="AH111" s="25"/>
    </row>
    <row r="112" spans="1:34">
      <c r="A112" s="996"/>
      <c r="B112" s="997">
        <v>91</v>
      </c>
      <c r="C112" s="998" t="s">
        <v>179</v>
      </c>
      <c r="D112" s="997">
        <v>0</v>
      </c>
      <c r="E112" s="997">
        <v>10.635999999999999</v>
      </c>
      <c r="F112" s="999"/>
      <c r="G112" s="1000"/>
      <c r="H112" s="1001"/>
      <c r="I112" s="1002"/>
      <c r="J112" s="1003"/>
      <c r="K112" s="1003">
        <v>25</v>
      </c>
      <c r="L112" s="1001">
        <v>0</v>
      </c>
      <c r="M112" s="1004" t="s">
        <v>180</v>
      </c>
      <c r="N112" s="1005"/>
      <c r="O112" s="1006"/>
      <c r="P112" s="997"/>
      <c r="Q112" s="997"/>
      <c r="R112" s="100"/>
      <c r="S112" s="100"/>
      <c r="T112" s="100"/>
      <c r="U112" s="100"/>
      <c r="V112" s="100"/>
      <c r="W112" s="100"/>
      <c r="X112" s="100"/>
      <c r="Y112" s="100"/>
      <c r="Z112" s="100"/>
      <c r="AA112" s="25"/>
      <c r="AB112" s="25"/>
      <c r="AC112" s="25"/>
      <c r="AD112" s="25"/>
      <c r="AE112" s="25"/>
      <c r="AF112" s="25"/>
      <c r="AG112" s="25"/>
      <c r="AH112" s="25"/>
    </row>
    <row r="113" spans="1:34">
      <c r="A113" s="996"/>
      <c r="B113" s="997">
        <v>92</v>
      </c>
      <c r="C113" s="998" t="s">
        <v>181</v>
      </c>
      <c r="D113" s="997">
        <v>0</v>
      </c>
      <c r="E113" s="997">
        <v>6.8479999999999999</v>
      </c>
      <c r="F113" s="999">
        <v>9.9280000000000008</v>
      </c>
      <c r="G113" s="1000"/>
      <c r="H113" s="1001"/>
      <c r="I113" s="1002"/>
      <c r="J113" s="1003"/>
      <c r="K113" s="1003">
        <v>25</v>
      </c>
      <c r="L113" s="1001">
        <v>0</v>
      </c>
      <c r="M113" s="1004" t="s">
        <v>182</v>
      </c>
      <c r="N113" s="1005"/>
      <c r="O113" s="1006"/>
      <c r="P113" s="997"/>
      <c r="Q113" s="997"/>
      <c r="R113" s="100"/>
      <c r="S113" s="100"/>
      <c r="T113" s="100"/>
      <c r="U113" s="100"/>
      <c r="V113" s="100"/>
      <c r="W113" s="100"/>
      <c r="X113" s="100"/>
      <c r="Y113" s="100"/>
      <c r="Z113" s="100"/>
      <c r="AA113" s="25"/>
      <c r="AB113" s="25"/>
      <c r="AC113" s="25"/>
      <c r="AD113" s="25"/>
      <c r="AE113" s="25"/>
      <c r="AF113" s="25"/>
      <c r="AG113" s="25"/>
      <c r="AH113" s="25"/>
    </row>
    <row r="114" spans="1:34">
      <c r="A114" s="996"/>
      <c r="B114" s="997">
        <v>93</v>
      </c>
      <c r="C114" s="998" t="s">
        <v>183</v>
      </c>
      <c r="D114" s="997">
        <v>-4</v>
      </c>
      <c r="E114" s="1167">
        <v>-0.21</v>
      </c>
      <c r="F114" s="1163">
        <v>1.5</v>
      </c>
      <c r="G114" s="1164">
        <v>2.21</v>
      </c>
      <c r="H114" s="1165">
        <v>3.11</v>
      </c>
      <c r="I114" s="1166">
        <v>6.75</v>
      </c>
      <c r="J114" s="1166">
        <v>11.03</v>
      </c>
      <c r="K114" s="1166">
        <v>25</v>
      </c>
      <c r="L114" s="988">
        <v>0</v>
      </c>
      <c r="M114" s="1004" t="s">
        <v>146</v>
      </c>
      <c r="N114" s="1005"/>
      <c r="O114" s="1006"/>
      <c r="P114" s="997"/>
      <c r="Q114" s="997"/>
      <c r="R114" s="100"/>
      <c r="S114" s="100"/>
      <c r="T114" s="100"/>
      <c r="U114" s="100"/>
      <c r="V114" s="100"/>
      <c r="W114" s="100"/>
      <c r="X114" s="100"/>
      <c r="Y114" s="100"/>
      <c r="Z114" s="100"/>
      <c r="AA114" s="25"/>
      <c r="AB114" s="25"/>
      <c r="AC114" s="25"/>
      <c r="AD114" s="25"/>
      <c r="AE114" s="25"/>
      <c r="AF114" s="25"/>
      <c r="AG114" s="25"/>
      <c r="AH114" s="25"/>
    </row>
    <row r="115" spans="1:34">
      <c r="A115" s="996"/>
      <c r="B115" s="997">
        <v>94</v>
      </c>
      <c r="C115" s="998" t="s">
        <v>379</v>
      </c>
      <c r="D115" s="997">
        <v>0</v>
      </c>
      <c r="E115" s="997">
        <v>8.01</v>
      </c>
      <c r="F115" s="999"/>
      <c r="G115" s="1000"/>
      <c r="H115" s="1001"/>
      <c r="I115" s="1002"/>
      <c r="J115" s="1003"/>
      <c r="K115" s="1003">
        <v>25</v>
      </c>
      <c r="L115" s="1001">
        <v>0</v>
      </c>
      <c r="M115" s="1004" t="s">
        <v>378</v>
      </c>
      <c r="N115" s="1005"/>
      <c r="O115" s="1006"/>
      <c r="P115" s="997"/>
      <c r="Q115" s="997"/>
      <c r="R115" s="100"/>
      <c r="S115" s="100"/>
      <c r="T115" s="100"/>
      <c r="U115" s="100"/>
      <c r="V115" s="100"/>
      <c r="W115" s="100"/>
      <c r="X115" s="100"/>
      <c r="Y115" s="100"/>
      <c r="Z115" s="100"/>
      <c r="AA115" s="25"/>
      <c r="AB115" s="25"/>
      <c r="AC115" s="25"/>
      <c r="AD115" s="25"/>
      <c r="AE115" s="25"/>
      <c r="AF115" s="25"/>
      <c r="AG115" s="25"/>
      <c r="AH115" s="25"/>
    </row>
    <row r="116" spans="1:34">
      <c r="A116" s="996"/>
      <c r="B116" s="997">
        <v>95</v>
      </c>
      <c r="C116" s="998" t="s">
        <v>87</v>
      </c>
      <c r="D116" s="997">
        <v>0</v>
      </c>
      <c r="E116" s="997">
        <v>5.89</v>
      </c>
      <c r="F116" s="999"/>
      <c r="G116" s="1000"/>
      <c r="H116" s="1001"/>
      <c r="I116" s="1002"/>
      <c r="J116" s="1003"/>
      <c r="K116" s="1003">
        <v>25</v>
      </c>
      <c r="L116" s="1001">
        <v>0</v>
      </c>
      <c r="M116" s="1004" t="s">
        <v>85</v>
      </c>
      <c r="N116" s="1005"/>
      <c r="O116" s="1006"/>
      <c r="P116" s="997"/>
      <c r="Q116" s="997"/>
      <c r="R116" s="100"/>
      <c r="S116" s="100"/>
      <c r="T116" s="100"/>
      <c r="U116" s="100"/>
      <c r="V116" s="100"/>
      <c r="W116" s="100"/>
      <c r="X116" s="100"/>
      <c r="Y116" s="100"/>
      <c r="Z116" s="100"/>
      <c r="AA116" s="25"/>
      <c r="AB116" s="25"/>
      <c r="AC116" s="25"/>
      <c r="AD116" s="25"/>
      <c r="AE116" s="25"/>
      <c r="AF116" s="25"/>
      <c r="AG116" s="25"/>
      <c r="AH116" s="25"/>
    </row>
    <row r="117" spans="1:34">
      <c r="A117" s="996"/>
      <c r="B117" s="997">
        <v>96</v>
      </c>
      <c r="C117" s="998" t="s">
        <v>370</v>
      </c>
      <c r="D117" s="997">
        <v>-1</v>
      </c>
      <c r="E117" s="997">
        <v>3.7450000000000001</v>
      </c>
      <c r="F117" s="999"/>
      <c r="G117" s="1000"/>
      <c r="H117" s="1001"/>
      <c r="I117" s="1002"/>
      <c r="J117" s="1003"/>
      <c r="K117" s="1003">
        <v>20</v>
      </c>
      <c r="L117" s="1001">
        <v>0</v>
      </c>
      <c r="M117" s="1004" t="s">
        <v>184</v>
      </c>
      <c r="N117" s="1005"/>
      <c r="O117" s="1006"/>
      <c r="P117" s="997"/>
      <c r="Q117" s="997"/>
      <c r="R117" s="100"/>
      <c r="S117" s="100"/>
      <c r="T117" s="100"/>
      <c r="U117" s="100"/>
      <c r="V117" s="100"/>
      <c r="W117" s="100"/>
      <c r="X117" s="100"/>
      <c r="Y117" s="100"/>
      <c r="Z117" s="100"/>
      <c r="AA117" s="25"/>
      <c r="AB117" s="25"/>
      <c r="AC117" s="25"/>
      <c r="AD117" s="25"/>
      <c r="AE117" s="25"/>
      <c r="AF117" s="25"/>
      <c r="AG117" s="25"/>
      <c r="AH117" s="25"/>
    </row>
    <row r="118" spans="1:34">
      <c r="A118" s="996"/>
      <c r="B118" s="997">
        <v>97</v>
      </c>
      <c r="C118" s="998" t="s">
        <v>185</v>
      </c>
      <c r="D118" s="997">
        <v>-2</v>
      </c>
      <c r="E118" s="997">
        <v>3.0529999999999999</v>
      </c>
      <c r="F118" s="999">
        <v>4.4939999999999998</v>
      </c>
      <c r="G118" s="1000"/>
      <c r="H118" s="1001"/>
      <c r="I118" s="1002"/>
      <c r="J118" s="1003"/>
      <c r="K118" s="1003">
        <v>25</v>
      </c>
      <c r="L118" s="1001">
        <v>0</v>
      </c>
      <c r="M118" s="1004" t="s">
        <v>404</v>
      </c>
      <c r="N118" s="1005">
        <v>116.07</v>
      </c>
      <c r="O118" s="1006"/>
      <c r="P118" s="997"/>
      <c r="Q118" s="997"/>
      <c r="R118" s="100"/>
      <c r="S118" s="100"/>
      <c r="T118" s="100"/>
      <c r="U118" s="100"/>
      <c r="V118" s="100"/>
      <c r="W118" s="100"/>
      <c r="X118" s="100"/>
      <c r="Y118" s="100"/>
      <c r="Z118" s="100"/>
      <c r="AA118" s="25"/>
      <c r="AB118" s="25"/>
      <c r="AC118" s="25"/>
      <c r="AD118" s="25"/>
      <c r="AE118" s="25"/>
      <c r="AF118" s="25"/>
      <c r="AG118" s="25"/>
      <c r="AH118" s="25"/>
    </row>
    <row r="119" spans="1:34">
      <c r="A119" s="996"/>
      <c r="B119" s="997">
        <v>98</v>
      </c>
      <c r="C119" s="998" t="s">
        <v>445</v>
      </c>
      <c r="D119" s="997">
        <v>-2</v>
      </c>
      <c r="E119" s="997">
        <v>2.23</v>
      </c>
      <c r="F119" s="999">
        <v>4.42</v>
      </c>
      <c r="G119" s="1000">
        <v>9.9499999999999993</v>
      </c>
      <c r="H119" s="1001"/>
      <c r="I119" s="1002"/>
      <c r="J119" s="1003"/>
      <c r="K119" s="1003">
        <v>25</v>
      </c>
      <c r="L119" s="1001">
        <v>0</v>
      </c>
      <c r="M119" s="1004" t="s">
        <v>444</v>
      </c>
      <c r="N119" s="1005">
        <v>147.13</v>
      </c>
      <c r="O119" s="1006"/>
      <c r="P119" s="997"/>
      <c r="Q119" s="997"/>
      <c r="R119" s="100"/>
      <c r="S119" s="100"/>
      <c r="T119" s="100"/>
      <c r="U119" s="100"/>
      <c r="V119" s="100"/>
      <c r="W119" s="100"/>
      <c r="X119" s="100"/>
      <c r="Y119" s="100"/>
      <c r="Z119" s="100"/>
      <c r="AA119" s="25"/>
      <c r="AB119" s="25"/>
      <c r="AC119" s="25"/>
      <c r="AD119" s="25"/>
      <c r="AE119" s="25"/>
      <c r="AF119" s="25"/>
      <c r="AG119" s="25"/>
      <c r="AH119" s="25"/>
    </row>
    <row r="120" spans="1:34">
      <c r="A120" s="996"/>
      <c r="B120" s="997">
        <v>99</v>
      </c>
      <c r="C120" s="998" t="s">
        <v>449</v>
      </c>
      <c r="D120" s="997">
        <v>-1</v>
      </c>
      <c r="E120" s="997">
        <v>2.17</v>
      </c>
      <c r="F120" s="999">
        <v>9.1300000000000008</v>
      </c>
      <c r="G120" s="1000"/>
      <c r="H120" s="1001"/>
      <c r="I120" s="1002"/>
      <c r="J120" s="1003"/>
      <c r="K120" s="1003">
        <v>25</v>
      </c>
      <c r="L120" s="1001">
        <v>0</v>
      </c>
      <c r="M120" s="1004" t="s">
        <v>448</v>
      </c>
      <c r="N120" s="1005">
        <v>146.15</v>
      </c>
      <c r="O120" s="1006"/>
      <c r="P120" s="997"/>
      <c r="Q120" s="997"/>
      <c r="R120" s="100"/>
      <c r="S120" s="100"/>
      <c r="T120" s="100"/>
      <c r="U120" s="100"/>
      <c r="V120" s="100"/>
      <c r="W120" s="100"/>
      <c r="X120" s="100"/>
      <c r="Y120" s="100"/>
      <c r="Z120" s="100"/>
      <c r="AA120" s="25"/>
      <c r="AB120" s="25"/>
      <c r="AC120" s="25"/>
      <c r="AD120" s="25"/>
      <c r="AE120" s="25"/>
      <c r="AF120" s="25"/>
      <c r="AG120" s="25"/>
      <c r="AH120" s="25"/>
    </row>
    <row r="121" spans="1:34">
      <c r="A121" s="996"/>
      <c r="B121" s="997">
        <v>100</v>
      </c>
      <c r="C121" s="998" t="s">
        <v>186</v>
      </c>
      <c r="D121" s="997">
        <v>-2</v>
      </c>
      <c r="E121" s="997">
        <v>2.12</v>
      </c>
      <c r="F121" s="999">
        <v>3.59</v>
      </c>
      <c r="G121" s="1000">
        <v>8.75</v>
      </c>
      <c r="H121" s="1001">
        <v>9.65</v>
      </c>
      <c r="I121" s="1002"/>
      <c r="J121" s="1003"/>
      <c r="K121" s="1003">
        <v>25</v>
      </c>
      <c r="L121" s="1001">
        <v>0</v>
      </c>
      <c r="M121" s="1004" t="s">
        <v>282</v>
      </c>
      <c r="N121" s="1005"/>
      <c r="O121" s="1006"/>
      <c r="P121" s="997"/>
      <c r="Q121" s="997"/>
      <c r="R121" s="100"/>
      <c r="S121" s="100"/>
      <c r="T121" s="100"/>
      <c r="U121" s="100"/>
      <c r="V121" s="100"/>
      <c r="W121" s="100"/>
      <c r="X121" s="100"/>
      <c r="Y121" s="100"/>
      <c r="Z121" s="100"/>
      <c r="AA121" s="25"/>
      <c r="AB121" s="25"/>
      <c r="AC121" s="25"/>
      <c r="AD121" s="25"/>
      <c r="AE121" s="25"/>
      <c r="AF121" s="25"/>
      <c r="AG121" s="25"/>
      <c r="AH121" s="25"/>
    </row>
    <row r="122" spans="1:34">
      <c r="A122" s="996"/>
      <c r="B122" s="997">
        <v>101</v>
      </c>
      <c r="C122" s="998" t="s">
        <v>395</v>
      </c>
      <c r="D122" s="997">
        <v>-1</v>
      </c>
      <c r="E122" s="997">
        <v>3.52</v>
      </c>
      <c r="F122" s="999"/>
      <c r="G122" s="1000"/>
      <c r="H122" s="1001"/>
      <c r="I122" s="1002"/>
      <c r="J122" s="1003"/>
      <c r="K122" s="1003">
        <v>25</v>
      </c>
      <c r="L122" s="1001">
        <v>0</v>
      </c>
      <c r="M122" s="1004" t="s">
        <v>394</v>
      </c>
      <c r="N122" s="1005"/>
      <c r="O122" s="1006"/>
      <c r="P122" s="997"/>
      <c r="Q122" s="997"/>
      <c r="R122" s="100"/>
      <c r="S122" s="100"/>
      <c r="T122" s="100"/>
      <c r="U122" s="100"/>
      <c r="V122" s="100"/>
      <c r="W122" s="100"/>
      <c r="X122" s="100"/>
      <c r="Y122" s="100"/>
      <c r="Z122" s="100"/>
      <c r="AA122" s="25"/>
      <c r="AB122" s="25"/>
      <c r="AC122" s="25"/>
      <c r="AD122" s="25"/>
      <c r="AE122" s="25"/>
      <c r="AF122" s="25"/>
      <c r="AG122" s="25"/>
      <c r="AH122" s="25"/>
    </row>
    <row r="123" spans="1:34">
      <c r="A123" s="996"/>
      <c r="B123" s="997">
        <v>102</v>
      </c>
      <c r="C123" s="998" t="s">
        <v>401</v>
      </c>
      <c r="D123" s="997">
        <v>-1</v>
      </c>
      <c r="E123" s="997">
        <v>14.15</v>
      </c>
      <c r="F123" s="999"/>
      <c r="G123" s="1000"/>
      <c r="H123" s="1001"/>
      <c r="I123" s="1002"/>
      <c r="J123" s="1003"/>
      <c r="K123" s="1003">
        <v>25</v>
      </c>
      <c r="L123" s="1001">
        <v>0</v>
      </c>
      <c r="M123" s="1004" t="s">
        <v>400</v>
      </c>
      <c r="N123" s="1005"/>
      <c r="O123" s="1006"/>
      <c r="P123" s="997"/>
      <c r="Q123" s="997"/>
      <c r="R123" s="100"/>
      <c r="S123" s="100"/>
      <c r="T123" s="100"/>
      <c r="U123" s="100"/>
      <c r="V123" s="100"/>
      <c r="W123" s="100"/>
      <c r="X123" s="100"/>
      <c r="Y123" s="100"/>
      <c r="Z123" s="100"/>
      <c r="AA123" s="25"/>
      <c r="AB123" s="25"/>
      <c r="AC123" s="25"/>
      <c r="AD123" s="25"/>
      <c r="AE123" s="25"/>
      <c r="AF123" s="25"/>
      <c r="AG123" s="25"/>
      <c r="AH123" s="25"/>
    </row>
    <row r="124" spans="1:34">
      <c r="A124" s="996"/>
      <c r="B124" s="997">
        <v>103</v>
      </c>
      <c r="C124" s="998" t="s">
        <v>187</v>
      </c>
      <c r="D124" s="997">
        <v>-1</v>
      </c>
      <c r="E124" s="997">
        <v>2.35</v>
      </c>
      <c r="F124" s="999">
        <v>9.7780000000000005</v>
      </c>
      <c r="G124" s="1000"/>
      <c r="H124" s="1001"/>
      <c r="I124" s="1002"/>
      <c r="J124" s="1003"/>
      <c r="K124" s="1003">
        <v>25</v>
      </c>
      <c r="L124" s="1001">
        <v>0</v>
      </c>
      <c r="M124" s="1004" t="s">
        <v>188</v>
      </c>
      <c r="N124" s="1005">
        <v>75.069999999999993</v>
      </c>
      <c r="O124" s="1006"/>
      <c r="P124" s="997"/>
      <c r="Q124" s="997"/>
      <c r="R124" s="100"/>
      <c r="S124" s="100"/>
      <c r="T124" s="100"/>
      <c r="U124" s="100"/>
      <c r="V124" s="100"/>
      <c r="W124" s="100"/>
      <c r="X124" s="100"/>
      <c r="Y124" s="100"/>
      <c r="Z124" s="100"/>
      <c r="AA124" s="25"/>
      <c r="AB124" s="25"/>
      <c r="AC124" s="25"/>
      <c r="AD124" s="25"/>
      <c r="AE124" s="25"/>
      <c r="AF124" s="25"/>
      <c r="AG124" s="25"/>
      <c r="AH124" s="25"/>
    </row>
    <row r="125" spans="1:34">
      <c r="A125" s="996"/>
      <c r="B125" s="997">
        <v>104</v>
      </c>
      <c r="C125" s="998" t="s">
        <v>189</v>
      </c>
      <c r="D125" s="997">
        <v>-1</v>
      </c>
      <c r="E125" s="997">
        <v>3.831</v>
      </c>
      <c r="F125" s="999"/>
      <c r="G125" s="1000"/>
      <c r="H125" s="1001"/>
      <c r="I125" s="1002"/>
      <c r="J125" s="1003"/>
      <c r="K125" s="1003">
        <v>25</v>
      </c>
      <c r="L125" s="1001">
        <v>0</v>
      </c>
      <c r="M125" s="1004" t="s">
        <v>190</v>
      </c>
      <c r="N125" s="1005"/>
      <c r="O125" s="1006"/>
      <c r="P125" s="997"/>
      <c r="Q125" s="997"/>
      <c r="R125" s="100"/>
      <c r="S125" s="100"/>
      <c r="T125" s="100"/>
      <c r="U125" s="100"/>
      <c r="V125" s="100"/>
      <c r="W125" s="100"/>
      <c r="X125" s="100"/>
      <c r="Y125" s="100"/>
      <c r="Z125" s="100"/>
      <c r="AA125" s="25"/>
      <c r="AB125" s="25"/>
      <c r="AC125" s="25"/>
      <c r="AD125" s="25"/>
      <c r="AE125" s="25"/>
      <c r="AF125" s="25"/>
      <c r="AG125" s="25"/>
      <c r="AH125" s="25"/>
    </row>
    <row r="126" spans="1:34">
      <c r="A126" s="996"/>
      <c r="B126" s="997">
        <v>105</v>
      </c>
      <c r="C126" s="998" t="s">
        <v>191</v>
      </c>
      <c r="D126" s="997">
        <v>-1</v>
      </c>
      <c r="E126" s="997">
        <v>3.18</v>
      </c>
      <c r="F126" s="999"/>
      <c r="G126" s="1000"/>
      <c r="H126" s="1001"/>
      <c r="I126" s="1002"/>
      <c r="J126" s="1003"/>
      <c r="K126" s="1003">
        <v>25</v>
      </c>
      <c r="L126" s="1001">
        <v>0</v>
      </c>
      <c r="M126" s="1004" t="s">
        <v>374</v>
      </c>
      <c r="N126" s="1005"/>
      <c r="O126" s="1006"/>
      <c r="P126" s="997"/>
      <c r="Q126" s="997"/>
      <c r="R126" s="100"/>
      <c r="S126" s="100"/>
      <c r="T126" s="100"/>
      <c r="U126" s="100"/>
      <c r="V126" s="100"/>
      <c r="W126" s="100"/>
      <c r="X126" s="100"/>
      <c r="Y126" s="100"/>
      <c r="Z126" s="100"/>
      <c r="AA126" s="25"/>
      <c r="AB126" s="25"/>
      <c r="AC126" s="25"/>
      <c r="AD126" s="25"/>
      <c r="AE126" s="25"/>
      <c r="AF126" s="25"/>
      <c r="AG126" s="25"/>
      <c r="AH126" s="25"/>
    </row>
    <row r="127" spans="1:34">
      <c r="A127" s="996"/>
      <c r="B127" s="997">
        <v>106</v>
      </c>
      <c r="C127" s="998" t="s">
        <v>89</v>
      </c>
      <c r="D127" s="997">
        <v>-1</v>
      </c>
      <c r="E127" s="997">
        <v>4.71</v>
      </c>
      <c r="F127" s="999"/>
      <c r="G127" s="1000"/>
      <c r="H127" s="1001"/>
      <c r="I127" s="1002"/>
      <c r="J127" s="1003"/>
      <c r="K127" s="1003">
        <v>25</v>
      </c>
      <c r="L127" s="1001">
        <v>0</v>
      </c>
      <c r="M127" s="1004" t="s">
        <v>88</v>
      </c>
      <c r="N127" s="1005"/>
      <c r="O127" s="1006"/>
      <c r="P127" s="997"/>
      <c r="Q127" s="997"/>
      <c r="R127" s="100"/>
      <c r="S127" s="100"/>
      <c r="T127" s="100"/>
      <c r="U127" s="100"/>
      <c r="V127" s="100"/>
      <c r="W127" s="100"/>
      <c r="X127" s="100"/>
      <c r="Y127" s="100"/>
      <c r="Z127" s="100"/>
      <c r="AA127" s="25"/>
      <c r="AB127" s="25"/>
      <c r="AC127" s="25"/>
      <c r="AD127" s="25"/>
      <c r="AE127" s="25"/>
      <c r="AF127" s="25"/>
      <c r="AG127" s="25"/>
      <c r="AH127" s="25"/>
    </row>
    <row r="128" spans="1:34">
      <c r="A128" s="996"/>
      <c r="B128" s="997">
        <v>107</v>
      </c>
      <c r="C128" s="998" t="s">
        <v>91</v>
      </c>
      <c r="D128" s="997">
        <v>-1</v>
      </c>
      <c r="E128" s="997">
        <v>4.8899999999999997</v>
      </c>
      <c r="F128" s="999"/>
      <c r="G128" s="1000"/>
      <c r="H128" s="1001"/>
      <c r="I128" s="1002"/>
      <c r="J128" s="1003"/>
      <c r="K128" s="1003">
        <v>25</v>
      </c>
      <c r="L128" s="1001">
        <v>0</v>
      </c>
      <c r="M128" s="1004" t="s">
        <v>90</v>
      </c>
      <c r="N128" s="1005"/>
      <c r="O128" s="1006"/>
      <c r="P128" s="997"/>
      <c r="Q128" s="997"/>
      <c r="R128" s="100"/>
      <c r="S128" s="100"/>
      <c r="T128" s="100"/>
      <c r="U128" s="100"/>
      <c r="V128" s="100"/>
      <c r="W128" s="100"/>
      <c r="X128" s="100"/>
      <c r="Y128" s="100"/>
      <c r="Z128" s="100"/>
      <c r="AA128" s="25"/>
      <c r="AB128" s="25"/>
      <c r="AC128" s="25"/>
      <c r="AD128" s="25"/>
      <c r="AE128" s="25"/>
      <c r="AF128" s="25"/>
      <c r="AG128" s="25"/>
      <c r="AH128" s="25"/>
    </row>
    <row r="129" spans="1:34">
      <c r="A129" s="996"/>
      <c r="B129" s="997">
        <v>108</v>
      </c>
      <c r="C129" s="998" t="s">
        <v>93</v>
      </c>
      <c r="D129" s="997">
        <v>0</v>
      </c>
      <c r="E129" s="997">
        <v>10.67</v>
      </c>
      <c r="F129" s="999"/>
      <c r="G129" s="1000"/>
      <c r="H129" s="1001"/>
      <c r="I129" s="1002"/>
      <c r="J129" s="1003"/>
      <c r="K129" s="1003">
        <v>25</v>
      </c>
      <c r="L129" s="1001">
        <v>0</v>
      </c>
      <c r="M129" s="1004" t="s">
        <v>92</v>
      </c>
      <c r="N129" s="1005"/>
      <c r="O129" s="1006"/>
      <c r="P129" s="997"/>
      <c r="Q129" s="997"/>
      <c r="R129" s="100"/>
      <c r="S129" s="100"/>
      <c r="T129" s="100"/>
      <c r="U129" s="100"/>
      <c r="V129" s="100"/>
      <c r="W129" s="100"/>
      <c r="X129" s="100"/>
      <c r="Y129" s="100"/>
      <c r="Z129" s="100"/>
      <c r="AA129" s="25"/>
      <c r="AB129" s="25"/>
      <c r="AC129" s="25"/>
      <c r="AD129" s="25"/>
      <c r="AE129" s="25"/>
      <c r="AF129" s="25"/>
      <c r="AG129" s="25"/>
      <c r="AH129" s="25"/>
    </row>
    <row r="130" spans="1:34">
      <c r="A130" s="996"/>
      <c r="B130" s="997">
        <v>109</v>
      </c>
      <c r="C130" s="998" t="s">
        <v>63</v>
      </c>
      <c r="D130" s="997">
        <v>0</v>
      </c>
      <c r="E130" s="997">
        <v>11.856999999999999</v>
      </c>
      <c r="F130" s="999">
        <v>10.762</v>
      </c>
      <c r="G130" s="1000"/>
      <c r="H130" s="1001"/>
      <c r="I130" s="1002"/>
      <c r="J130" s="1003"/>
      <c r="K130" s="1003">
        <v>0</v>
      </c>
      <c r="L130" s="1001">
        <v>0</v>
      </c>
      <c r="M130" s="1004" t="s">
        <v>62</v>
      </c>
      <c r="N130" s="1005"/>
      <c r="O130" s="1006"/>
      <c r="P130" s="997"/>
      <c r="Q130" s="997"/>
      <c r="R130" s="100"/>
      <c r="S130" s="100"/>
      <c r="T130" s="100"/>
      <c r="U130" s="100"/>
      <c r="V130" s="100"/>
      <c r="W130" s="100"/>
      <c r="X130" s="100"/>
      <c r="Y130" s="100"/>
      <c r="Z130" s="100"/>
      <c r="AA130" s="25"/>
      <c r="AB130" s="25"/>
      <c r="AC130" s="25"/>
      <c r="AD130" s="25"/>
      <c r="AE130" s="25"/>
      <c r="AF130" s="25"/>
      <c r="AG130" s="25"/>
      <c r="AH130" s="25"/>
    </row>
    <row r="131" spans="1:34">
      <c r="A131" s="996"/>
      <c r="B131" s="997">
        <v>110</v>
      </c>
      <c r="C131" s="998" t="s">
        <v>50</v>
      </c>
      <c r="D131" s="997">
        <v>-1</v>
      </c>
      <c r="E131" s="997">
        <v>4.8499999999999996</v>
      </c>
      <c r="F131" s="999"/>
      <c r="G131" s="1000"/>
      <c r="H131" s="1001"/>
      <c r="I131" s="1002"/>
      <c r="J131" s="1003"/>
      <c r="K131" s="1003">
        <v>25</v>
      </c>
      <c r="L131" s="1001">
        <v>0</v>
      </c>
      <c r="M131" s="1004" t="s">
        <v>49</v>
      </c>
      <c r="N131" s="1005"/>
      <c r="O131" s="1006"/>
      <c r="P131" s="997"/>
      <c r="Q131" s="997"/>
      <c r="R131" s="100"/>
      <c r="S131" s="100"/>
      <c r="T131" s="100"/>
      <c r="U131" s="100"/>
      <c r="V131" s="100"/>
      <c r="W131" s="100"/>
      <c r="X131" s="100"/>
      <c r="Y131" s="100"/>
      <c r="Z131" s="100"/>
      <c r="AA131" s="25"/>
      <c r="AB131" s="25"/>
      <c r="AC131" s="25"/>
      <c r="AD131" s="25"/>
      <c r="AE131" s="25"/>
      <c r="AF131" s="25"/>
      <c r="AG131" s="25"/>
      <c r="AH131" s="25"/>
    </row>
    <row r="132" spans="1:34">
      <c r="A132" s="996"/>
      <c r="B132" s="997">
        <v>111</v>
      </c>
      <c r="C132" s="998" t="s">
        <v>61</v>
      </c>
      <c r="D132" s="997">
        <v>0</v>
      </c>
      <c r="E132" s="997">
        <v>10.56</v>
      </c>
      <c r="F132" s="999"/>
      <c r="G132" s="1000"/>
      <c r="H132" s="1001"/>
      <c r="I132" s="1002"/>
      <c r="J132" s="1003"/>
      <c r="K132" s="1003">
        <v>25</v>
      </c>
      <c r="L132" s="1001">
        <v>0</v>
      </c>
      <c r="M132" s="1004" t="s">
        <v>59</v>
      </c>
      <c r="N132" s="1005"/>
      <c r="O132" s="1006"/>
      <c r="P132" s="997"/>
      <c r="Q132" s="997"/>
      <c r="R132" s="100"/>
      <c r="S132" s="100"/>
      <c r="T132" s="100"/>
      <c r="U132" s="100"/>
      <c r="V132" s="100"/>
      <c r="W132" s="100"/>
      <c r="X132" s="100"/>
      <c r="Y132" s="100"/>
      <c r="Z132" s="100"/>
      <c r="AA132" s="25"/>
      <c r="AB132" s="25"/>
      <c r="AC132" s="25"/>
      <c r="AD132" s="25"/>
      <c r="AE132" s="25"/>
      <c r="AF132" s="25"/>
      <c r="AG132" s="25"/>
      <c r="AH132" s="25"/>
    </row>
    <row r="133" spans="1:34">
      <c r="A133" s="996"/>
      <c r="B133" s="997">
        <v>112</v>
      </c>
      <c r="C133" s="998" t="s">
        <v>447</v>
      </c>
      <c r="D133" s="997">
        <v>0</v>
      </c>
      <c r="E133" s="997">
        <v>6.04</v>
      </c>
      <c r="F133" s="999">
        <v>9.75</v>
      </c>
      <c r="G133" s="1000"/>
      <c r="H133" s="1001"/>
      <c r="I133" s="1002"/>
      <c r="J133" s="1003"/>
      <c r="K133" s="1003">
        <v>25</v>
      </c>
      <c r="L133" s="1001">
        <v>0</v>
      </c>
      <c r="M133" s="1004" t="s">
        <v>446</v>
      </c>
      <c r="N133" s="1005"/>
      <c r="O133" s="1006"/>
      <c r="P133" s="997"/>
      <c r="Q133" s="997"/>
      <c r="R133" s="100"/>
      <c r="S133" s="100"/>
      <c r="T133" s="100"/>
      <c r="U133" s="100"/>
      <c r="V133" s="100"/>
      <c r="W133" s="100"/>
      <c r="X133" s="100"/>
      <c r="Y133" s="100"/>
      <c r="Z133" s="100"/>
      <c r="AA133" s="25"/>
      <c r="AB133" s="25"/>
      <c r="AC133" s="25"/>
      <c r="AD133" s="25"/>
      <c r="AE133" s="25"/>
      <c r="AF133" s="25"/>
      <c r="AG133" s="25"/>
      <c r="AH133" s="25"/>
    </row>
    <row r="134" spans="1:34">
      <c r="A134" s="996"/>
      <c r="B134" s="997">
        <v>113</v>
      </c>
      <c r="C134" s="998" t="s">
        <v>192</v>
      </c>
      <c r="D134" s="997">
        <v>-1</v>
      </c>
      <c r="E134" s="997">
        <v>1.49</v>
      </c>
      <c r="F134" s="999">
        <v>6.02</v>
      </c>
      <c r="G134" s="1000">
        <v>9.2899999999999991</v>
      </c>
      <c r="H134" s="1001"/>
      <c r="I134" s="1002"/>
      <c r="J134" s="1003"/>
      <c r="K134" s="1003">
        <v>25</v>
      </c>
      <c r="L134" s="988">
        <v>0</v>
      </c>
      <c r="M134" s="1004" t="s">
        <v>46</v>
      </c>
      <c r="N134" s="1005"/>
      <c r="O134" s="1006"/>
      <c r="P134" s="997"/>
      <c r="Q134" s="997"/>
      <c r="R134" s="100"/>
      <c r="S134" s="100"/>
      <c r="T134" s="100"/>
      <c r="U134" s="100"/>
      <c r="V134" s="100"/>
      <c r="W134" s="100"/>
      <c r="X134" s="100"/>
      <c r="Y134" s="100"/>
      <c r="Z134" s="100"/>
      <c r="AA134" s="25"/>
      <c r="AB134" s="25"/>
      <c r="AC134" s="25"/>
      <c r="AD134" s="25"/>
      <c r="AE134" s="25"/>
      <c r="AF134" s="25"/>
      <c r="AG134" s="25"/>
      <c r="AH134" s="25"/>
    </row>
    <row r="135" spans="1:34">
      <c r="A135" s="996"/>
      <c r="B135" s="997">
        <v>114</v>
      </c>
      <c r="C135" s="998" t="s">
        <v>565</v>
      </c>
      <c r="D135" s="997">
        <v>0</v>
      </c>
      <c r="E135" s="997">
        <v>8.07</v>
      </c>
      <c r="F135" s="999"/>
      <c r="G135" s="1000"/>
      <c r="H135" s="1001"/>
      <c r="I135" s="1002"/>
      <c r="J135" s="1003"/>
      <c r="K135" s="1003">
        <v>30</v>
      </c>
      <c r="L135" s="1001"/>
      <c r="M135" s="1004" t="s">
        <v>566</v>
      </c>
      <c r="N135" s="1005"/>
      <c r="O135" s="1006"/>
      <c r="P135" s="997"/>
      <c r="Q135" s="997"/>
      <c r="R135" s="100"/>
      <c r="S135" s="100"/>
      <c r="T135" s="100"/>
      <c r="U135" s="100"/>
      <c r="V135" s="100"/>
      <c r="W135" s="100"/>
      <c r="X135" s="100"/>
      <c r="Y135" s="100"/>
      <c r="Z135" s="100"/>
      <c r="AA135" s="25"/>
      <c r="AB135" s="25"/>
      <c r="AC135" s="25"/>
      <c r="AD135" s="25"/>
      <c r="AE135" s="25"/>
      <c r="AF135" s="25"/>
      <c r="AG135" s="25"/>
      <c r="AH135" s="25"/>
    </row>
    <row r="136" spans="1:34">
      <c r="A136" s="996"/>
      <c r="B136" s="997">
        <v>115</v>
      </c>
      <c r="C136" s="998" t="s">
        <v>357</v>
      </c>
      <c r="D136" s="997">
        <v>-1</v>
      </c>
      <c r="E136" s="997">
        <v>4.72</v>
      </c>
      <c r="F136" s="999"/>
      <c r="G136" s="1000"/>
      <c r="H136" s="1001"/>
      <c r="I136" s="1002"/>
      <c r="J136" s="1003"/>
      <c r="K136" s="1003"/>
      <c r="L136" s="1001"/>
      <c r="M136" s="1004" t="s">
        <v>358</v>
      </c>
      <c r="N136" s="1005"/>
      <c r="O136" s="1006"/>
      <c r="P136" s="997"/>
      <c r="Q136" s="997"/>
      <c r="R136" s="100"/>
      <c r="S136" s="100"/>
      <c r="T136" s="100"/>
      <c r="U136" s="100"/>
      <c r="V136" s="100"/>
      <c r="W136" s="100"/>
      <c r="X136" s="100"/>
      <c r="Y136" s="100"/>
      <c r="Z136" s="100"/>
      <c r="AA136" s="25"/>
      <c r="AB136" s="25"/>
      <c r="AC136" s="25"/>
      <c r="AD136" s="25"/>
      <c r="AE136" s="25"/>
      <c r="AF136" s="25"/>
      <c r="AG136" s="25"/>
      <c r="AH136" s="25"/>
    </row>
    <row r="137" spans="1:34">
      <c r="A137" s="996"/>
      <c r="B137" s="997">
        <v>116</v>
      </c>
      <c r="C137" s="998" t="s">
        <v>193</v>
      </c>
      <c r="D137" s="997">
        <v>-1</v>
      </c>
      <c r="E137" s="1008">
        <v>-9</v>
      </c>
      <c r="F137" s="1009"/>
      <c r="G137" s="1009"/>
      <c r="H137" s="1009"/>
      <c r="I137" s="1009"/>
      <c r="J137" s="1009"/>
      <c r="K137" s="1010">
        <v>25</v>
      </c>
      <c r="L137" s="1007">
        <v>0</v>
      </c>
      <c r="M137" s="1004" t="s">
        <v>328</v>
      </c>
      <c r="N137" s="1005"/>
      <c r="O137" s="1006"/>
      <c r="P137" s="997"/>
      <c r="Q137" s="997"/>
      <c r="R137" s="100"/>
      <c r="S137" s="100"/>
      <c r="T137" s="100"/>
      <c r="U137" s="100"/>
      <c r="V137" s="100"/>
      <c r="W137" s="100"/>
      <c r="X137" s="100"/>
      <c r="Y137" s="100"/>
      <c r="Z137" s="100"/>
      <c r="AA137" s="25"/>
      <c r="AB137" s="25"/>
      <c r="AC137" s="25"/>
      <c r="AD137" s="25"/>
      <c r="AE137" s="25"/>
      <c r="AF137" s="25"/>
      <c r="AG137" s="25"/>
      <c r="AH137" s="25"/>
    </row>
    <row r="138" spans="1:34">
      <c r="A138" s="996"/>
      <c r="B138" s="997">
        <v>117</v>
      </c>
      <c r="C138" s="998" t="s">
        <v>194</v>
      </c>
      <c r="D138" s="997">
        <v>-1</v>
      </c>
      <c r="E138" s="1008">
        <v>-7</v>
      </c>
      <c r="F138" s="1009"/>
      <c r="G138" s="1009"/>
      <c r="H138" s="1009"/>
      <c r="I138" s="1009"/>
      <c r="J138" s="1009"/>
      <c r="K138" s="1010">
        <v>25</v>
      </c>
      <c r="L138" s="1007">
        <v>0</v>
      </c>
      <c r="M138" s="1004" t="s">
        <v>329</v>
      </c>
      <c r="N138" s="1005"/>
      <c r="O138" s="1006"/>
      <c r="P138" s="997"/>
      <c r="Q138" s="997"/>
      <c r="R138" s="100"/>
      <c r="S138" s="100"/>
      <c r="T138" s="100"/>
      <c r="U138" s="100"/>
      <c r="V138" s="100"/>
      <c r="W138" s="100"/>
      <c r="X138" s="100"/>
      <c r="Y138" s="100"/>
      <c r="Z138" s="100"/>
      <c r="AA138" s="25"/>
      <c r="AB138" s="25"/>
      <c r="AC138" s="25"/>
      <c r="AD138" s="25"/>
      <c r="AE138" s="25"/>
      <c r="AF138" s="25"/>
      <c r="AG138" s="25"/>
      <c r="AH138" s="25"/>
    </row>
    <row r="139" spans="1:34" ht="15.75">
      <c r="A139" s="996"/>
      <c r="B139" s="997">
        <v>118</v>
      </c>
      <c r="C139" s="998" t="s">
        <v>195</v>
      </c>
      <c r="D139" s="997">
        <v>-1</v>
      </c>
      <c r="E139" s="997">
        <v>6.52</v>
      </c>
      <c r="F139" s="999"/>
      <c r="G139" s="1000"/>
      <c r="H139" s="1001"/>
      <c r="I139" s="1002"/>
      <c r="J139" s="1003"/>
      <c r="K139" s="1003"/>
      <c r="L139" s="1001"/>
      <c r="M139" s="1004" t="s">
        <v>567</v>
      </c>
      <c r="N139" s="1005"/>
      <c r="O139" s="1006"/>
      <c r="P139" s="997"/>
      <c r="Q139" s="997"/>
      <c r="R139" s="100"/>
      <c r="S139" s="100"/>
      <c r="T139" s="100"/>
      <c r="U139" s="100"/>
      <c r="V139" s="100"/>
      <c r="W139" s="100"/>
      <c r="X139" s="100"/>
      <c r="Y139" s="100"/>
      <c r="Z139" s="100"/>
      <c r="AA139" s="25"/>
      <c r="AB139" s="25"/>
      <c r="AC139" s="25"/>
      <c r="AD139" s="25"/>
      <c r="AE139" s="25"/>
      <c r="AF139" s="25"/>
      <c r="AG139" s="25"/>
      <c r="AH139" s="25"/>
    </row>
    <row r="140" spans="1:34">
      <c r="A140" s="996"/>
      <c r="B140" s="997">
        <v>119</v>
      </c>
      <c r="C140" s="998" t="s">
        <v>196</v>
      </c>
      <c r="D140" s="997">
        <v>-1</v>
      </c>
      <c r="E140" s="997">
        <v>9.2100000000000009</v>
      </c>
      <c r="F140" s="999"/>
      <c r="G140" s="1000"/>
      <c r="H140" s="1001"/>
      <c r="I140" s="1002"/>
      <c r="J140" s="1003"/>
      <c r="K140" s="1003">
        <v>25</v>
      </c>
      <c r="L140" s="1001">
        <v>0</v>
      </c>
      <c r="M140" s="1004" t="s">
        <v>332</v>
      </c>
      <c r="N140" s="1005"/>
      <c r="O140" s="1006"/>
      <c r="P140" s="997"/>
      <c r="Q140" s="997"/>
      <c r="R140" s="100"/>
      <c r="S140" s="100"/>
      <c r="T140" s="100"/>
      <c r="U140" s="100"/>
      <c r="V140" s="100"/>
      <c r="W140" s="100"/>
      <c r="X140" s="100"/>
      <c r="Y140" s="100"/>
      <c r="Z140" s="100"/>
      <c r="AA140" s="25"/>
      <c r="AB140" s="25"/>
      <c r="AC140" s="25"/>
      <c r="AD140" s="25"/>
      <c r="AE140" s="25"/>
      <c r="AF140" s="25"/>
      <c r="AG140" s="25"/>
      <c r="AH140" s="25"/>
    </row>
    <row r="141" spans="1:34">
      <c r="A141" s="996"/>
      <c r="B141" s="997">
        <v>120</v>
      </c>
      <c r="C141" s="998" t="s">
        <v>197</v>
      </c>
      <c r="D141" s="997">
        <v>-1</v>
      </c>
      <c r="E141" s="997">
        <v>3.17</v>
      </c>
      <c r="F141" s="999"/>
      <c r="G141" s="1000"/>
      <c r="H141" s="1001"/>
      <c r="I141" s="1002"/>
      <c r="J141" s="1003"/>
      <c r="K141" s="1003">
        <v>25</v>
      </c>
      <c r="L141" s="1001">
        <v>0</v>
      </c>
      <c r="M141" s="1004" t="s">
        <v>330</v>
      </c>
      <c r="N141" s="1005"/>
      <c r="O141" s="1006"/>
      <c r="P141" s="997"/>
      <c r="Q141" s="997"/>
      <c r="R141" s="100"/>
      <c r="S141" s="100"/>
      <c r="T141" s="100"/>
      <c r="U141" s="100"/>
      <c r="V141" s="100"/>
      <c r="W141" s="100"/>
      <c r="X141" s="100"/>
      <c r="Y141" s="100"/>
      <c r="Z141" s="100"/>
      <c r="AA141" s="25"/>
      <c r="AB141" s="25"/>
      <c r="AC141" s="25"/>
      <c r="AD141" s="25"/>
      <c r="AE141" s="25"/>
      <c r="AF141" s="25"/>
      <c r="AG141" s="25"/>
      <c r="AH141" s="25"/>
    </row>
    <row r="142" spans="1:34">
      <c r="A142" s="996"/>
      <c r="B142" s="997">
        <v>121</v>
      </c>
      <c r="C142" s="998" t="s">
        <v>313</v>
      </c>
      <c r="D142" s="997">
        <v>-1</v>
      </c>
      <c r="E142" s="997">
        <v>11.65</v>
      </c>
      <c r="F142" s="999"/>
      <c r="G142" s="1000"/>
      <c r="H142" s="1001"/>
      <c r="I142" s="1002"/>
      <c r="J142" s="1003"/>
      <c r="K142" s="1003">
        <v>25</v>
      </c>
      <c r="L142" s="1001">
        <v>0</v>
      </c>
      <c r="M142" s="1004" t="s">
        <v>198</v>
      </c>
      <c r="N142" s="1005"/>
      <c r="O142" s="1006"/>
      <c r="P142" s="997"/>
      <c r="Q142" s="997"/>
      <c r="R142" s="100"/>
      <c r="S142" s="100"/>
      <c r="T142" s="100"/>
      <c r="U142" s="100"/>
      <c r="V142" s="100"/>
      <c r="W142" s="100"/>
      <c r="X142" s="100"/>
      <c r="Y142" s="100"/>
      <c r="Z142" s="100"/>
      <c r="AA142" s="25"/>
      <c r="AB142" s="25"/>
      <c r="AC142" s="25"/>
      <c r="AD142" s="25"/>
      <c r="AE142" s="25"/>
      <c r="AF142" s="25"/>
      <c r="AG142" s="25"/>
      <c r="AH142" s="25"/>
    </row>
    <row r="143" spans="1:34" ht="15.75">
      <c r="A143" s="996"/>
      <c r="B143" s="997">
        <v>122</v>
      </c>
      <c r="C143" s="998" t="s">
        <v>359</v>
      </c>
      <c r="D143" s="997">
        <v>-1</v>
      </c>
      <c r="E143" s="997">
        <v>1.66</v>
      </c>
      <c r="F143" s="999"/>
      <c r="G143" s="1000"/>
      <c r="H143" s="1001"/>
      <c r="I143" s="1002"/>
      <c r="J143" s="1003"/>
      <c r="K143" s="1003"/>
      <c r="L143" s="1001"/>
      <c r="M143" s="1004" t="s">
        <v>568</v>
      </c>
      <c r="N143" s="1005"/>
      <c r="O143" s="1006"/>
      <c r="P143" s="997"/>
      <c r="Q143" s="997"/>
      <c r="R143" s="100"/>
      <c r="S143" s="100"/>
      <c r="T143" s="100"/>
      <c r="U143" s="100"/>
      <c r="V143" s="100"/>
      <c r="W143" s="100"/>
      <c r="X143" s="100"/>
      <c r="Y143" s="100"/>
      <c r="Z143" s="100"/>
      <c r="AA143" s="25"/>
      <c r="AB143" s="25"/>
      <c r="AC143" s="25"/>
      <c r="AD143" s="25"/>
      <c r="AE143" s="25"/>
      <c r="AF143" s="25"/>
      <c r="AG143" s="25"/>
      <c r="AH143" s="25"/>
    </row>
    <row r="144" spans="1:34">
      <c r="A144" s="996"/>
      <c r="B144" s="997">
        <v>123</v>
      </c>
      <c r="C144" s="998" t="s">
        <v>312</v>
      </c>
      <c r="D144" s="997">
        <v>-2</v>
      </c>
      <c r="E144" s="997">
        <v>7.02</v>
      </c>
      <c r="F144" s="999">
        <v>13.9</v>
      </c>
      <c r="G144" s="1000"/>
      <c r="H144" s="1001"/>
      <c r="I144" s="1002"/>
      <c r="J144" s="1003"/>
      <c r="K144" s="1003">
        <v>25</v>
      </c>
      <c r="L144" s="1001">
        <v>0</v>
      </c>
      <c r="M144" s="1004" t="s">
        <v>199</v>
      </c>
      <c r="N144" s="1005"/>
      <c r="O144" s="1006"/>
      <c r="P144" s="997"/>
      <c r="Q144" s="997"/>
      <c r="R144" s="100"/>
      <c r="S144" s="100"/>
      <c r="T144" s="100"/>
      <c r="U144" s="100"/>
      <c r="V144" s="100"/>
      <c r="W144" s="100"/>
      <c r="X144" s="100"/>
      <c r="Y144" s="100"/>
      <c r="Z144" s="100"/>
      <c r="AA144" s="25"/>
      <c r="AB144" s="25"/>
      <c r="AC144" s="25"/>
      <c r="AD144" s="25"/>
      <c r="AE144" s="25"/>
      <c r="AF144" s="25"/>
      <c r="AG144" s="25"/>
      <c r="AH144" s="25"/>
    </row>
    <row r="145" spans="1:34">
      <c r="A145" s="996"/>
      <c r="B145" s="997">
        <v>124</v>
      </c>
      <c r="C145" s="998" t="s">
        <v>200</v>
      </c>
      <c r="D145" s="997">
        <v>-1</v>
      </c>
      <c r="E145" s="997">
        <v>0.9</v>
      </c>
      <c r="F145" s="999"/>
      <c r="G145" s="1000"/>
      <c r="H145" s="1001"/>
      <c r="I145" s="1002"/>
      <c r="J145" s="1003"/>
      <c r="K145" s="1003">
        <v>25</v>
      </c>
      <c r="L145" s="1001">
        <v>0</v>
      </c>
      <c r="M145" s="1004" t="s">
        <v>201</v>
      </c>
      <c r="N145" s="1005"/>
      <c r="O145" s="1006"/>
      <c r="P145" s="997"/>
      <c r="Q145" s="997"/>
      <c r="R145" s="100"/>
      <c r="S145" s="100"/>
      <c r="T145" s="100"/>
      <c r="U145" s="100"/>
      <c r="V145" s="100"/>
      <c r="W145" s="100"/>
      <c r="X145" s="100"/>
      <c r="Y145" s="100"/>
      <c r="Z145" s="100"/>
      <c r="AA145" s="25"/>
      <c r="AB145" s="25"/>
      <c r="AC145" s="25"/>
      <c r="AD145" s="25"/>
      <c r="AE145" s="25"/>
      <c r="AF145" s="25"/>
      <c r="AG145" s="25"/>
      <c r="AH145" s="25"/>
    </row>
    <row r="146" spans="1:34">
      <c r="A146" s="996"/>
      <c r="B146" s="997">
        <v>125</v>
      </c>
      <c r="C146" s="998" t="s">
        <v>487</v>
      </c>
      <c r="D146" s="997">
        <v>0</v>
      </c>
      <c r="E146" s="997">
        <v>10.35</v>
      </c>
      <c r="F146" s="999"/>
      <c r="G146" s="1000"/>
      <c r="H146" s="1001"/>
      <c r="I146" s="1002"/>
      <c r="J146" s="1003"/>
      <c r="K146" s="1003">
        <v>20</v>
      </c>
      <c r="L146" s="1001"/>
      <c r="M146" s="1004" t="s">
        <v>486</v>
      </c>
      <c r="N146" s="1005"/>
      <c r="O146" s="1006"/>
      <c r="P146" s="997"/>
      <c r="Q146" s="997"/>
      <c r="R146" s="100"/>
      <c r="S146" s="100"/>
      <c r="T146" s="100"/>
      <c r="U146" s="100"/>
      <c r="V146" s="100"/>
      <c r="W146" s="100"/>
      <c r="X146" s="100"/>
      <c r="Y146" s="100"/>
      <c r="Z146" s="100"/>
      <c r="AA146" s="25"/>
      <c r="AB146" s="25"/>
      <c r="AC146" s="25"/>
      <c r="AD146" s="25"/>
      <c r="AE146" s="25"/>
      <c r="AF146" s="25"/>
      <c r="AG146" s="25"/>
      <c r="AH146" s="25"/>
    </row>
    <row r="147" spans="1:34">
      <c r="A147" s="996"/>
      <c r="B147" s="997">
        <v>126</v>
      </c>
      <c r="C147" s="998" t="s">
        <v>202</v>
      </c>
      <c r="D147" s="997">
        <v>0</v>
      </c>
      <c r="E147" s="997">
        <v>5.96</v>
      </c>
      <c r="F147" s="999"/>
      <c r="G147" s="1000"/>
      <c r="H147" s="1001"/>
      <c r="I147" s="1002"/>
      <c r="J147" s="1003"/>
      <c r="K147" s="1003">
        <v>25</v>
      </c>
      <c r="L147" s="1001">
        <v>0</v>
      </c>
      <c r="M147" s="1004" t="s">
        <v>203</v>
      </c>
      <c r="N147" s="1005"/>
      <c r="O147" s="1006"/>
      <c r="P147" s="997"/>
      <c r="Q147" s="997"/>
      <c r="R147" s="100"/>
      <c r="S147" s="100"/>
      <c r="T147" s="100"/>
      <c r="U147" s="100"/>
      <c r="V147" s="100"/>
      <c r="W147" s="100"/>
      <c r="X147" s="100"/>
      <c r="Y147" s="100"/>
      <c r="Z147" s="100"/>
      <c r="AA147" s="25"/>
      <c r="AB147" s="25"/>
      <c r="AC147" s="25"/>
      <c r="AD147" s="25"/>
      <c r="AE147" s="25"/>
      <c r="AF147" s="25"/>
      <c r="AG147" s="25"/>
      <c r="AH147" s="25"/>
    </row>
    <row r="148" spans="1:34">
      <c r="A148" s="996"/>
      <c r="B148" s="997">
        <v>127</v>
      </c>
      <c r="C148" s="998" t="s">
        <v>77</v>
      </c>
      <c r="D148" s="997">
        <v>-2</v>
      </c>
      <c r="E148" s="997">
        <v>4.0599999999999996</v>
      </c>
      <c r="F148" s="999">
        <v>9.92</v>
      </c>
      <c r="G148" s="1000"/>
      <c r="H148" s="1001"/>
      <c r="I148" s="1002"/>
      <c r="J148" s="1003"/>
      <c r="K148" s="1003">
        <v>19</v>
      </c>
      <c r="L148" s="1001">
        <v>0</v>
      </c>
      <c r="M148" s="1004" t="s">
        <v>76</v>
      </c>
      <c r="N148" s="1005"/>
      <c r="O148" s="1006"/>
      <c r="P148" s="997"/>
      <c r="Q148" s="997"/>
      <c r="R148" s="100"/>
      <c r="S148" s="100"/>
      <c r="T148" s="100"/>
      <c r="U148" s="100"/>
      <c r="V148" s="100"/>
      <c r="W148" s="100"/>
      <c r="X148" s="100"/>
      <c r="Y148" s="100"/>
      <c r="Z148" s="100"/>
      <c r="AA148" s="25"/>
      <c r="AB148" s="25"/>
      <c r="AC148" s="25"/>
      <c r="AD148" s="25"/>
      <c r="AE148" s="25"/>
      <c r="AF148" s="25"/>
      <c r="AG148" s="25"/>
      <c r="AH148" s="25"/>
    </row>
    <row r="149" spans="1:34">
      <c r="A149" s="996"/>
      <c r="B149" s="997">
        <v>128</v>
      </c>
      <c r="C149" s="998" t="s">
        <v>78</v>
      </c>
      <c r="D149" s="997">
        <v>-2</v>
      </c>
      <c r="E149" s="997">
        <v>4.4800000000000004</v>
      </c>
      <c r="F149" s="999">
        <v>9.32</v>
      </c>
      <c r="G149" s="1000"/>
      <c r="H149" s="1001"/>
      <c r="I149" s="1002"/>
      <c r="J149" s="1003"/>
      <c r="K149" s="1003">
        <v>19</v>
      </c>
      <c r="L149" s="1001">
        <v>0</v>
      </c>
      <c r="M149" s="1004" t="s">
        <v>76</v>
      </c>
      <c r="N149" s="1005"/>
      <c r="O149" s="1006"/>
      <c r="P149" s="997"/>
      <c r="Q149" s="997"/>
      <c r="R149" s="100"/>
      <c r="S149" s="100"/>
      <c r="T149" s="100"/>
      <c r="U149" s="100"/>
      <c r="V149" s="100"/>
      <c r="W149" s="100"/>
      <c r="X149" s="100"/>
      <c r="Y149" s="100"/>
      <c r="Z149" s="100"/>
      <c r="AA149" s="25"/>
      <c r="AB149" s="25"/>
      <c r="AC149" s="25"/>
      <c r="AD149" s="25"/>
      <c r="AE149" s="25"/>
      <c r="AF149" s="25"/>
      <c r="AG149" s="25"/>
      <c r="AH149" s="25"/>
    </row>
    <row r="150" spans="1:34">
      <c r="A150" s="996"/>
      <c r="B150" s="997">
        <v>129</v>
      </c>
      <c r="C150" s="998" t="s">
        <v>393</v>
      </c>
      <c r="D150" s="997">
        <v>-1</v>
      </c>
      <c r="E150" s="997">
        <v>4.51</v>
      </c>
      <c r="F150" s="999"/>
      <c r="G150" s="1000"/>
      <c r="H150" s="1001"/>
      <c r="I150" s="1002"/>
      <c r="J150" s="1003"/>
      <c r="K150" s="1003">
        <v>25</v>
      </c>
      <c r="L150" s="1001">
        <v>0</v>
      </c>
      <c r="M150" s="1004" t="s">
        <v>392</v>
      </c>
      <c r="N150" s="1005"/>
      <c r="O150" s="1006"/>
      <c r="P150" s="997"/>
      <c r="Q150" s="997"/>
      <c r="R150" s="100"/>
      <c r="S150" s="100"/>
      <c r="T150" s="100"/>
      <c r="U150" s="100"/>
      <c r="V150" s="100"/>
      <c r="W150" s="100"/>
      <c r="X150" s="100"/>
      <c r="Y150" s="100"/>
      <c r="Z150" s="100"/>
      <c r="AA150" s="25"/>
      <c r="AB150" s="25"/>
      <c r="AC150" s="25"/>
      <c r="AD150" s="25"/>
      <c r="AE150" s="25"/>
      <c r="AF150" s="25"/>
      <c r="AG150" s="25"/>
      <c r="AH150" s="25"/>
    </row>
    <row r="151" spans="1:34">
      <c r="A151" s="996"/>
      <c r="B151" s="997">
        <v>130</v>
      </c>
      <c r="C151" s="998" t="s">
        <v>204</v>
      </c>
      <c r="D151" s="997">
        <v>-1</v>
      </c>
      <c r="E151" s="997">
        <v>4.91</v>
      </c>
      <c r="F151" s="999">
        <v>9.81</v>
      </c>
      <c r="G151" s="1000"/>
      <c r="H151" s="1001"/>
      <c r="I151" s="1002"/>
      <c r="J151" s="1003"/>
      <c r="K151" s="1003">
        <v>25</v>
      </c>
      <c r="L151" s="1001">
        <v>0</v>
      </c>
      <c r="M151" s="1004"/>
      <c r="N151" s="1005"/>
      <c r="O151" s="1006"/>
      <c r="P151" s="997"/>
      <c r="Q151" s="997"/>
      <c r="R151" s="100"/>
      <c r="S151" s="100"/>
      <c r="T151" s="100"/>
      <c r="U151" s="100"/>
      <c r="V151" s="100"/>
      <c r="W151" s="100"/>
      <c r="X151" s="100"/>
      <c r="Y151" s="100"/>
      <c r="Z151" s="100"/>
      <c r="AA151" s="25"/>
      <c r="AB151" s="25"/>
      <c r="AC151" s="25"/>
      <c r="AD151" s="25"/>
      <c r="AE151" s="25"/>
      <c r="AF151" s="25"/>
      <c r="AG151" s="25"/>
      <c r="AH151" s="25"/>
    </row>
    <row r="152" spans="1:34">
      <c r="A152" s="996"/>
      <c r="B152" s="997">
        <v>131</v>
      </c>
      <c r="C152" s="998" t="s">
        <v>310</v>
      </c>
      <c r="D152" s="997">
        <v>-1</v>
      </c>
      <c r="E152" s="997">
        <v>8.6300000000000008</v>
      </c>
      <c r="F152" s="999"/>
      <c r="G152" s="1000"/>
      <c r="H152" s="1001"/>
      <c r="I152" s="1002"/>
      <c r="J152" s="1003"/>
      <c r="K152" s="1003">
        <v>25</v>
      </c>
      <c r="L152" s="1001">
        <v>0</v>
      </c>
      <c r="M152" s="1004" t="s">
        <v>205</v>
      </c>
      <c r="N152" s="1005"/>
      <c r="O152" s="1006"/>
      <c r="P152" s="997"/>
      <c r="Q152" s="997"/>
      <c r="R152" s="100"/>
      <c r="S152" s="100"/>
      <c r="T152" s="100"/>
      <c r="U152" s="100"/>
      <c r="V152" s="100"/>
      <c r="W152" s="100"/>
      <c r="X152" s="100"/>
      <c r="Y152" s="100"/>
      <c r="Z152" s="100"/>
      <c r="AA152" s="25"/>
      <c r="AB152" s="25"/>
      <c r="AC152" s="25"/>
      <c r="AD152" s="25"/>
      <c r="AE152" s="25"/>
      <c r="AF152" s="25"/>
      <c r="AG152" s="25"/>
      <c r="AH152" s="25"/>
    </row>
    <row r="153" spans="1:34">
      <c r="A153" s="996"/>
      <c r="B153" s="997">
        <v>132</v>
      </c>
      <c r="C153" s="998" t="s">
        <v>309</v>
      </c>
      <c r="D153" s="997">
        <v>-1</v>
      </c>
      <c r="E153" s="997">
        <v>7.53</v>
      </c>
      <c r="F153" s="999"/>
      <c r="G153" s="1000"/>
      <c r="H153" s="1001"/>
      <c r="I153" s="1002"/>
      <c r="J153" s="1003"/>
      <c r="K153" s="1003">
        <v>25</v>
      </c>
      <c r="L153" s="1001">
        <v>0</v>
      </c>
      <c r="M153" s="1004" t="s">
        <v>206</v>
      </c>
      <c r="N153" s="1005"/>
      <c r="O153" s="1006"/>
      <c r="P153" s="997"/>
      <c r="Q153" s="997"/>
      <c r="R153" s="100"/>
      <c r="S153" s="100"/>
      <c r="T153" s="100"/>
      <c r="U153" s="100"/>
      <c r="V153" s="100"/>
      <c r="W153" s="100"/>
      <c r="X153" s="100"/>
      <c r="Y153" s="100"/>
      <c r="Z153" s="100"/>
      <c r="AA153" s="25"/>
      <c r="AB153" s="25"/>
      <c r="AC153" s="25"/>
      <c r="AD153" s="25"/>
      <c r="AE153" s="25"/>
      <c r="AF153" s="25"/>
      <c r="AG153" s="25"/>
      <c r="AH153" s="25"/>
    </row>
    <row r="154" spans="1:34">
      <c r="A154" s="996"/>
      <c r="B154" s="997">
        <v>133</v>
      </c>
      <c r="C154" s="998" t="s">
        <v>311</v>
      </c>
      <c r="D154" s="997">
        <v>-1</v>
      </c>
      <c r="E154" s="997">
        <v>10.64</v>
      </c>
      <c r="F154" s="999"/>
      <c r="G154" s="1000"/>
      <c r="H154" s="1001"/>
      <c r="I154" s="1002"/>
      <c r="J154" s="1003"/>
      <c r="K154" s="1003">
        <v>25</v>
      </c>
      <c r="L154" s="1001">
        <v>0</v>
      </c>
      <c r="M154" s="1004" t="s">
        <v>207</v>
      </c>
      <c r="N154" s="1005"/>
      <c r="O154" s="1006"/>
      <c r="P154" s="997"/>
      <c r="Q154" s="997"/>
      <c r="R154" s="100"/>
      <c r="S154" s="100"/>
      <c r="T154" s="100"/>
      <c r="U154" s="100"/>
      <c r="V154" s="100"/>
      <c r="W154" s="100"/>
      <c r="X154" s="100"/>
      <c r="Y154" s="100"/>
      <c r="Z154" s="100"/>
      <c r="AA154" s="25"/>
      <c r="AB154" s="25"/>
      <c r="AC154" s="25"/>
      <c r="AD154" s="25"/>
      <c r="AE154" s="25"/>
      <c r="AF154" s="25"/>
      <c r="AG154" s="25"/>
      <c r="AH154" s="25"/>
    </row>
    <row r="155" spans="1:34">
      <c r="A155" s="996"/>
      <c r="B155" s="997">
        <v>134</v>
      </c>
      <c r="C155" s="998" t="s">
        <v>208</v>
      </c>
      <c r="D155" s="997">
        <v>0</v>
      </c>
      <c r="E155" s="997">
        <v>6.9530000000000003</v>
      </c>
      <c r="F155" s="999"/>
      <c r="G155" s="1000"/>
      <c r="H155" s="1001"/>
      <c r="I155" s="1002"/>
      <c r="J155" s="1003"/>
      <c r="K155" s="1003">
        <v>25</v>
      </c>
      <c r="L155" s="1001">
        <v>0</v>
      </c>
      <c r="M155" s="1004" t="s">
        <v>386</v>
      </c>
      <c r="N155" s="1005">
        <v>68.08</v>
      </c>
      <c r="O155" s="1006"/>
      <c r="P155" s="997"/>
      <c r="Q155" s="997"/>
      <c r="R155" s="100"/>
      <c r="S155" s="100"/>
      <c r="T155" s="100"/>
      <c r="U155" s="100"/>
      <c r="V155" s="100"/>
      <c r="W155" s="100"/>
      <c r="X155" s="100"/>
      <c r="Y155" s="100"/>
      <c r="Z155" s="100"/>
      <c r="AA155" s="25"/>
      <c r="AB155" s="25"/>
      <c r="AC155" s="25"/>
      <c r="AD155" s="25"/>
      <c r="AE155" s="25"/>
      <c r="AF155" s="25"/>
      <c r="AG155" s="25"/>
      <c r="AH155" s="25"/>
    </row>
    <row r="156" spans="1:34">
      <c r="A156" s="996"/>
      <c r="B156" s="997">
        <v>135</v>
      </c>
      <c r="C156" s="998" t="s">
        <v>209</v>
      </c>
      <c r="D156" s="997">
        <v>-1</v>
      </c>
      <c r="E156" s="997">
        <v>0.77</v>
      </c>
      <c r="F156" s="999"/>
      <c r="G156" s="1000"/>
      <c r="H156" s="1001"/>
      <c r="I156" s="1002"/>
      <c r="J156" s="1003"/>
      <c r="K156" s="1003">
        <v>25</v>
      </c>
      <c r="L156" s="1001">
        <v>0</v>
      </c>
      <c r="M156" s="1004" t="s">
        <v>210</v>
      </c>
      <c r="N156" s="1005"/>
      <c r="O156" s="1006"/>
      <c r="P156" s="997"/>
      <c r="Q156" s="997"/>
      <c r="R156" s="100"/>
      <c r="S156" s="100"/>
      <c r="T156" s="100"/>
      <c r="U156" s="100"/>
      <c r="V156" s="100"/>
      <c r="W156" s="100"/>
      <c r="X156" s="100"/>
      <c r="Y156" s="100"/>
      <c r="Z156" s="100"/>
      <c r="AA156" s="25"/>
      <c r="AB156" s="25"/>
      <c r="AC156" s="25"/>
      <c r="AD156" s="25"/>
      <c r="AE156" s="25"/>
      <c r="AF156" s="25"/>
      <c r="AG156" s="25"/>
      <c r="AH156" s="25"/>
    </row>
    <row r="157" spans="1:34">
      <c r="A157" s="996"/>
      <c r="B157" s="997">
        <v>136</v>
      </c>
      <c r="C157" s="998" t="s">
        <v>45</v>
      </c>
      <c r="D157" s="997">
        <v>-3</v>
      </c>
      <c r="E157" s="997">
        <v>3.29</v>
      </c>
      <c r="F157" s="999">
        <v>4.71</v>
      </c>
      <c r="G157" s="1000">
        <v>6.4</v>
      </c>
      <c r="H157" s="1001"/>
      <c r="I157" s="1002"/>
      <c r="J157" s="1003"/>
      <c r="K157" s="1003">
        <v>25</v>
      </c>
      <c r="L157" s="1001">
        <v>0</v>
      </c>
      <c r="M157" s="1004" t="s">
        <v>44</v>
      </c>
      <c r="N157" s="1005"/>
      <c r="O157" s="1006"/>
      <c r="P157" s="997"/>
      <c r="Q157" s="997"/>
      <c r="R157" s="100"/>
      <c r="S157" s="100"/>
      <c r="T157" s="100"/>
      <c r="U157" s="100"/>
      <c r="V157" s="100"/>
      <c r="W157" s="100"/>
      <c r="X157" s="100"/>
      <c r="Y157" s="100"/>
      <c r="Z157" s="100"/>
      <c r="AA157" s="25"/>
      <c r="AB157" s="25"/>
      <c r="AC157" s="25"/>
      <c r="AD157" s="25"/>
      <c r="AE157" s="25"/>
      <c r="AF157" s="25"/>
      <c r="AG157" s="25"/>
      <c r="AH157" s="25"/>
    </row>
    <row r="158" spans="1:34">
      <c r="A158" s="996"/>
      <c r="B158" s="997">
        <v>137</v>
      </c>
      <c r="C158" s="998" t="s">
        <v>211</v>
      </c>
      <c r="D158" s="997">
        <v>-1</v>
      </c>
      <c r="E158" s="997">
        <v>2.319</v>
      </c>
      <c r="F158" s="999">
        <v>9.7539999999999996</v>
      </c>
      <c r="G158" s="1000"/>
      <c r="H158" s="1001"/>
      <c r="I158" s="1002"/>
      <c r="J158" s="1003"/>
      <c r="K158" s="1003">
        <v>25</v>
      </c>
      <c r="L158" s="1001">
        <v>0</v>
      </c>
      <c r="M158" s="1004" t="s">
        <v>54</v>
      </c>
      <c r="N158" s="1005">
        <v>131.18</v>
      </c>
      <c r="O158" s="1006"/>
      <c r="P158" s="997"/>
      <c r="Q158" s="997"/>
      <c r="R158" s="100"/>
      <c r="S158" s="100"/>
      <c r="T158" s="100"/>
      <c r="U158" s="100"/>
      <c r="V158" s="100"/>
      <c r="W158" s="100"/>
      <c r="X158" s="100"/>
      <c r="Y158" s="100"/>
      <c r="Z158" s="100"/>
      <c r="AA158" s="25"/>
      <c r="AB158" s="25"/>
      <c r="AC158" s="25"/>
      <c r="AD158" s="25"/>
      <c r="AE158" s="25"/>
      <c r="AF158" s="25"/>
      <c r="AG158" s="25"/>
      <c r="AH158" s="25"/>
    </row>
    <row r="159" spans="1:34">
      <c r="A159" s="996"/>
      <c r="B159" s="997">
        <v>138</v>
      </c>
      <c r="C159" s="998" t="s">
        <v>212</v>
      </c>
      <c r="D159" s="997">
        <v>-1</v>
      </c>
      <c r="E159" s="997">
        <v>3.86</v>
      </c>
      <c r="F159" s="999"/>
      <c r="G159" s="1000"/>
      <c r="H159" s="1001"/>
      <c r="I159" s="1002"/>
      <c r="J159" s="1003"/>
      <c r="K159" s="1003"/>
      <c r="L159" s="1001"/>
      <c r="M159" s="1004" t="s">
        <v>360</v>
      </c>
      <c r="N159" s="1005"/>
      <c r="O159" s="1006"/>
      <c r="P159" s="997"/>
      <c r="Q159" s="997"/>
      <c r="R159" s="100"/>
      <c r="S159" s="100"/>
      <c r="T159" s="100"/>
      <c r="U159" s="100"/>
      <c r="V159" s="100"/>
      <c r="W159" s="100"/>
      <c r="X159" s="100"/>
      <c r="Y159" s="100"/>
      <c r="Z159" s="100"/>
      <c r="AA159" s="25"/>
      <c r="AB159" s="25"/>
      <c r="AC159" s="25"/>
      <c r="AD159" s="25"/>
      <c r="AE159" s="25"/>
      <c r="AF159" s="25"/>
      <c r="AG159" s="25"/>
      <c r="AH159" s="25"/>
    </row>
    <row r="160" spans="1:34">
      <c r="A160" s="996"/>
      <c r="B160" s="997">
        <v>139</v>
      </c>
      <c r="C160" s="998" t="s">
        <v>281</v>
      </c>
      <c r="D160" s="997">
        <v>0</v>
      </c>
      <c r="E160" s="997">
        <v>9.9580000000000002</v>
      </c>
      <c r="F160" s="999"/>
      <c r="G160" s="1000"/>
      <c r="H160" s="1001"/>
      <c r="I160" s="1002"/>
      <c r="J160" s="1003"/>
      <c r="K160" s="1003">
        <v>10</v>
      </c>
      <c r="L160" s="1001">
        <v>0</v>
      </c>
      <c r="M160" s="1004" t="s">
        <v>279</v>
      </c>
      <c r="N160" s="1005">
        <v>165.23</v>
      </c>
      <c r="O160" s="1006"/>
      <c r="P160" s="997"/>
      <c r="Q160" s="997"/>
      <c r="R160" s="100"/>
      <c r="S160" s="100"/>
      <c r="T160" s="100"/>
      <c r="U160" s="100"/>
      <c r="V160" s="100"/>
      <c r="W160" s="100"/>
      <c r="X160" s="100"/>
      <c r="Y160" s="100"/>
      <c r="Z160" s="100"/>
      <c r="AA160" s="25"/>
      <c r="AB160" s="25"/>
      <c r="AC160" s="25"/>
      <c r="AD160" s="25"/>
      <c r="AE160" s="25"/>
      <c r="AF160" s="25"/>
      <c r="AG160" s="25"/>
      <c r="AH160" s="25"/>
    </row>
    <row r="161" spans="1:34">
      <c r="A161" s="996"/>
      <c r="B161" s="997">
        <v>140</v>
      </c>
      <c r="C161" s="998" t="s">
        <v>213</v>
      </c>
      <c r="D161" s="997">
        <v>-1</v>
      </c>
      <c r="E161" s="997">
        <v>2.3279999999999998</v>
      </c>
      <c r="F161" s="999">
        <v>9.7439999999999998</v>
      </c>
      <c r="G161" s="1000"/>
      <c r="H161" s="1001"/>
      <c r="I161" s="1002"/>
      <c r="J161" s="1003"/>
      <c r="K161" s="1003">
        <v>25</v>
      </c>
      <c r="L161" s="1001">
        <v>0</v>
      </c>
      <c r="M161" s="1004" t="s">
        <v>54</v>
      </c>
      <c r="N161" s="1005"/>
      <c r="O161" s="1006"/>
      <c r="P161" s="997"/>
      <c r="Q161" s="997"/>
      <c r="R161" s="100"/>
      <c r="S161" s="100"/>
      <c r="T161" s="100"/>
      <c r="U161" s="100"/>
      <c r="V161" s="100"/>
      <c r="W161" s="100"/>
      <c r="X161" s="100"/>
      <c r="Y161" s="100"/>
      <c r="Z161" s="100"/>
      <c r="AA161" s="25"/>
      <c r="AB161" s="25"/>
      <c r="AC161" s="25"/>
      <c r="AD161" s="25"/>
      <c r="AE161" s="25"/>
      <c r="AF161" s="25"/>
      <c r="AG161" s="25"/>
      <c r="AH161" s="25"/>
    </row>
    <row r="162" spans="1:34">
      <c r="A162" s="996"/>
      <c r="B162" s="997">
        <v>141</v>
      </c>
      <c r="C162" s="998" t="s">
        <v>57</v>
      </c>
      <c r="D162" s="997">
        <v>-1</v>
      </c>
      <c r="E162" s="997">
        <v>1.83</v>
      </c>
      <c r="F162" s="999">
        <v>9.08</v>
      </c>
      <c r="G162" s="1000">
        <v>10.9</v>
      </c>
      <c r="H162" s="1001"/>
      <c r="I162" s="1002"/>
      <c r="J162" s="1003"/>
      <c r="K162" s="1003">
        <v>25</v>
      </c>
      <c r="L162" s="988">
        <v>0</v>
      </c>
      <c r="M162" s="1004" t="s">
        <v>56</v>
      </c>
      <c r="N162" s="1005"/>
      <c r="O162" s="1006"/>
      <c r="P162" s="997"/>
      <c r="Q162" s="997"/>
      <c r="R162" s="100"/>
      <c r="S162" s="100"/>
      <c r="T162" s="100"/>
      <c r="U162" s="100"/>
      <c r="V162" s="100"/>
      <c r="W162" s="100"/>
      <c r="X162" s="100"/>
      <c r="Y162" s="100"/>
      <c r="Z162" s="100"/>
      <c r="AA162" s="25"/>
      <c r="AB162" s="25"/>
      <c r="AC162" s="25"/>
      <c r="AD162" s="25"/>
      <c r="AE162" s="25"/>
      <c r="AF162" s="25"/>
      <c r="AG162" s="25"/>
      <c r="AH162" s="25"/>
    </row>
    <row r="163" spans="1:34">
      <c r="A163" s="996"/>
      <c r="B163" s="997">
        <v>142</v>
      </c>
      <c r="C163" s="998" t="s">
        <v>405</v>
      </c>
      <c r="D163" s="997">
        <v>-2</v>
      </c>
      <c r="E163" s="997">
        <v>1.91</v>
      </c>
      <c r="F163" s="999">
        <v>6.3319999999999999</v>
      </c>
      <c r="G163" s="1000"/>
      <c r="H163" s="1001"/>
      <c r="I163" s="1002"/>
      <c r="J163" s="1003"/>
      <c r="K163" s="1003">
        <v>25</v>
      </c>
      <c r="L163" s="1001">
        <v>0</v>
      </c>
      <c r="M163" s="1004" t="s">
        <v>404</v>
      </c>
      <c r="N163" s="1005"/>
      <c r="O163" s="1006"/>
      <c r="P163" s="997"/>
      <c r="Q163" s="997"/>
      <c r="R163" s="100"/>
      <c r="S163" s="100"/>
      <c r="T163" s="100"/>
      <c r="U163" s="100"/>
      <c r="V163" s="100"/>
      <c r="W163" s="100"/>
      <c r="X163" s="100"/>
      <c r="Y163" s="100"/>
      <c r="Z163" s="100"/>
      <c r="AA163" s="25"/>
      <c r="AB163" s="25"/>
      <c r="AC163" s="25"/>
      <c r="AD163" s="25"/>
      <c r="AE163" s="25"/>
      <c r="AF163" s="25"/>
      <c r="AG163" s="25"/>
      <c r="AH163" s="25"/>
    </row>
    <row r="164" spans="1:34">
      <c r="A164" s="996"/>
      <c r="B164" s="997">
        <v>143</v>
      </c>
      <c r="C164" s="998" t="s">
        <v>414</v>
      </c>
      <c r="D164" s="997">
        <v>-2</v>
      </c>
      <c r="E164" s="997">
        <v>3.4590000000000001</v>
      </c>
      <c r="F164" s="999">
        <v>5.0970000000000004</v>
      </c>
      <c r="G164" s="1000"/>
      <c r="H164" s="1001"/>
      <c r="I164" s="1002"/>
      <c r="J164" s="1003"/>
      <c r="K164" s="1003">
        <v>25</v>
      </c>
      <c r="L164" s="1001">
        <v>0</v>
      </c>
      <c r="M164" s="1004" t="s">
        <v>413</v>
      </c>
      <c r="N164" s="1005"/>
      <c r="O164" s="1006"/>
      <c r="P164" s="997"/>
      <c r="Q164" s="997"/>
      <c r="R164" s="100"/>
      <c r="S164" s="100"/>
      <c r="T164" s="100"/>
      <c r="U164" s="100"/>
      <c r="V164" s="100"/>
      <c r="W164" s="100"/>
      <c r="X164" s="100"/>
      <c r="Y164" s="100"/>
      <c r="Z164" s="100"/>
      <c r="AA164" s="25"/>
      <c r="AB164" s="25"/>
      <c r="AC164" s="25"/>
      <c r="AD164" s="25"/>
      <c r="AE164" s="25"/>
      <c r="AF164" s="25"/>
      <c r="AG164" s="25"/>
      <c r="AH164" s="25"/>
    </row>
    <row r="165" spans="1:34">
      <c r="A165" s="996"/>
      <c r="B165" s="997">
        <v>144</v>
      </c>
      <c r="C165" s="998" t="s">
        <v>214</v>
      </c>
      <c r="D165" s="997">
        <v>-2</v>
      </c>
      <c r="E165" s="997">
        <v>2.847</v>
      </c>
      <c r="F165" s="999">
        <v>5.6959999999999997</v>
      </c>
      <c r="G165" s="1000"/>
      <c r="H165" s="1001"/>
      <c r="I165" s="1002"/>
      <c r="J165" s="1003"/>
      <c r="K165" s="1003">
        <v>25</v>
      </c>
      <c r="L165" s="1001">
        <v>0</v>
      </c>
      <c r="M165" s="1004" t="s">
        <v>215</v>
      </c>
      <c r="N165" s="1005"/>
      <c r="O165" s="1006"/>
      <c r="P165" s="997"/>
      <c r="Q165" s="997"/>
      <c r="R165" s="100"/>
      <c r="S165" s="100"/>
      <c r="T165" s="100"/>
      <c r="U165" s="100"/>
      <c r="V165" s="100"/>
      <c r="W165" s="100"/>
      <c r="X165" s="100"/>
      <c r="Y165" s="100"/>
      <c r="Z165" s="100"/>
      <c r="AA165" s="25"/>
      <c r="AB165" s="25"/>
      <c r="AC165" s="25"/>
      <c r="AD165" s="25"/>
      <c r="AE165" s="25"/>
      <c r="AF165" s="25"/>
      <c r="AG165" s="25"/>
      <c r="AH165" s="25"/>
    </row>
    <row r="166" spans="1:34">
      <c r="A166" s="996"/>
      <c r="B166" s="997">
        <v>145</v>
      </c>
      <c r="C166" s="998" t="s">
        <v>569</v>
      </c>
      <c r="D166" s="997">
        <v>0</v>
      </c>
      <c r="E166" s="997">
        <v>5</v>
      </c>
      <c r="F166" s="999"/>
      <c r="G166" s="1000"/>
      <c r="H166" s="1001"/>
      <c r="I166" s="1002"/>
      <c r="J166" s="1003"/>
      <c r="K166" s="1003">
        <v>25</v>
      </c>
      <c r="L166" s="1001">
        <v>0</v>
      </c>
      <c r="M166" s="1004" t="s">
        <v>391</v>
      </c>
      <c r="N166" s="1005"/>
      <c r="O166" s="1006"/>
      <c r="P166" s="997"/>
      <c r="Q166" s="997"/>
      <c r="R166" s="100"/>
      <c r="S166" s="100"/>
      <c r="T166" s="100"/>
      <c r="U166" s="100"/>
      <c r="V166" s="100"/>
      <c r="W166" s="100"/>
      <c r="X166" s="100"/>
      <c r="Y166" s="100"/>
      <c r="Z166" s="100"/>
      <c r="AA166" s="25"/>
      <c r="AB166" s="25"/>
      <c r="AC166" s="25"/>
      <c r="AD166" s="25"/>
      <c r="AE166" s="25"/>
      <c r="AF166" s="25"/>
      <c r="AG166" s="25"/>
      <c r="AH166" s="25"/>
    </row>
    <row r="167" spans="1:34">
      <c r="A167" s="996"/>
      <c r="B167" s="997">
        <v>146</v>
      </c>
      <c r="C167" s="998" t="s">
        <v>570</v>
      </c>
      <c r="D167" s="997">
        <v>-1</v>
      </c>
      <c r="E167" s="997">
        <v>2.13</v>
      </c>
      <c r="F167" s="999">
        <v>9.27</v>
      </c>
      <c r="G167" s="1000"/>
      <c r="H167" s="1001"/>
      <c r="I167" s="1002"/>
      <c r="J167" s="1003"/>
      <c r="K167" s="1003">
        <v>25</v>
      </c>
      <c r="L167" s="1001">
        <v>0</v>
      </c>
      <c r="M167" s="1004" t="s">
        <v>459</v>
      </c>
      <c r="N167" s="1005"/>
      <c r="O167" s="1006"/>
      <c r="P167" s="997"/>
      <c r="Q167" s="997"/>
      <c r="R167" s="100"/>
      <c r="S167" s="100"/>
      <c r="T167" s="100"/>
      <c r="U167" s="100"/>
      <c r="V167" s="100"/>
      <c r="W167" s="100"/>
      <c r="X167" s="100"/>
      <c r="Y167" s="100"/>
      <c r="Z167" s="100"/>
      <c r="AA167" s="25"/>
      <c r="AB167" s="25"/>
      <c r="AC167" s="25"/>
      <c r="AD167" s="25"/>
      <c r="AE167" s="25"/>
      <c r="AF167" s="25"/>
      <c r="AG167" s="25"/>
      <c r="AH167" s="25"/>
    </row>
    <row r="168" spans="1:34">
      <c r="A168" s="996"/>
      <c r="B168" s="997">
        <v>147</v>
      </c>
      <c r="C168" s="998" t="s">
        <v>368</v>
      </c>
      <c r="D168" s="997">
        <v>0</v>
      </c>
      <c r="E168" s="997">
        <v>10.63</v>
      </c>
      <c r="F168" s="999"/>
      <c r="G168" s="1000"/>
      <c r="H168" s="1001"/>
      <c r="I168" s="1002"/>
      <c r="J168" s="1003"/>
      <c r="K168" s="1003">
        <v>25</v>
      </c>
      <c r="L168" s="1001">
        <v>0</v>
      </c>
      <c r="M168" s="1004" t="s">
        <v>373</v>
      </c>
      <c r="N168" s="1005">
        <v>31.1</v>
      </c>
      <c r="O168" s="1006"/>
      <c r="P168" s="997"/>
      <c r="Q168" s="997"/>
      <c r="R168" s="100"/>
      <c r="S168" s="100"/>
      <c r="T168" s="100"/>
      <c r="U168" s="100"/>
      <c r="V168" s="100"/>
      <c r="W168" s="100"/>
      <c r="X168" s="100"/>
      <c r="Y168" s="100"/>
      <c r="Z168" s="100"/>
      <c r="AA168" s="25"/>
      <c r="AB168" s="25"/>
      <c r="AC168" s="25"/>
      <c r="AD168" s="25"/>
      <c r="AE168" s="25"/>
      <c r="AF168" s="25"/>
      <c r="AG168" s="25"/>
      <c r="AH168" s="25"/>
    </row>
    <row r="169" spans="1:34">
      <c r="A169" s="996"/>
      <c r="B169" s="997">
        <v>148</v>
      </c>
      <c r="C169" s="998" t="s">
        <v>571</v>
      </c>
      <c r="D169" s="997">
        <v>0</v>
      </c>
      <c r="E169" s="997">
        <v>4.4470000000000001</v>
      </c>
      <c r="F169" s="999"/>
      <c r="G169" s="1000"/>
      <c r="H169" s="1001"/>
      <c r="I169" s="1002"/>
      <c r="J169" s="1003"/>
      <c r="K169" s="1003">
        <v>25</v>
      </c>
      <c r="L169" s="1001">
        <v>0</v>
      </c>
      <c r="M169" s="1004" t="s">
        <v>572</v>
      </c>
      <c r="N169" s="1005" t="s">
        <v>573</v>
      </c>
      <c r="O169" s="1006"/>
      <c r="P169" s="997"/>
      <c r="Q169" s="997"/>
      <c r="R169" s="100"/>
      <c r="S169" s="100"/>
      <c r="T169" s="100"/>
      <c r="U169" s="100"/>
      <c r="V169" s="100"/>
      <c r="W169" s="100"/>
      <c r="X169" s="100"/>
      <c r="Y169" s="100"/>
      <c r="Z169" s="100"/>
      <c r="AA169" s="25"/>
      <c r="AB169" s="25"/>
      <c r="AC169" s="25"/>
      <c r="AD169" s="25"/>
      <c r="AE169" s="25"/>
      <c r="AF169" s="25"/>
      <c r="AG169" s="25"/>
      <c r="AH169" s="25"/>
    </row>
    <row r="170" spans="1:34">
      <c r="A170" s="996"/>
      <c r="B170" s="997">
        <v>149</v>
      </c>
      <c r="C170" s="998" t="s">
        <v>574</v>
      </c>
      <c r="D170" s="997">
        <v>0</v>
      </c>
      <c r="E170" s="997">
        <v>5.0839999999999996</v>
      </c>
      <c r="F170" s="999"/>
      <c r="G170" s="1000"/>
      <c r="H170" s="1001"/>
      <c r="I170" s="1002"/>
      <c r="J170" s="1003"/>
      <c r="K170" s="1003">
        <v>25</v>
      </c>
      <c r="L170" s="1001">
        <v>0</v>
      </c>
      <c r="M170" s="1004" t="s">
        <v>572</v>
      </c>
      <c r="N170" s="1005" t="s">
        <v>573</v>
      </c>
      <c r="O170" s="1006"/>
      <c r="P170" s="997"/>
      <c r="Q170" s="997"/>
      <c r="R170" s="100"/>
      <c r="S170" s="100"/>
      <c r="T170" s="100"/>
      <c r="U170" s="100"/>
      <c r="V170" s="100"/>
      <c r="W170" s="100"/>
      <c r="X170" s="100"/>
      <c r="Y170" s="100"/>
      <c r="Z170" s="100"/>
      <c r="AA170" s="25"/>
      <c r="AB170" s="25"/>
      <c r="AC170" s="25"/>
      <c r="AD170" s="25"/>
      <c r="AE170" s="25"/>
      <c r="AF170" s="25"/>
      <c r="AG170" s="25"/>
      <c r="AH170" s="25"/>
    </row>
    <row r="171" spans="1:34">
      <c r="A171" s="996"/>
      <c r="B171" s="997">
        <v>150</v>
      </c>
      <c r="C171" s="998" t="s">
        <v>99</v>
      </c>
      <c r="D171" s="997">
        <v>0</v>
      </c>
      <c r="E171" s="997">
        <v>6.19</v>
      </c>
      <c r="F171" s="999"/>
      <c r="G171" s="1000"/>
      <c r="H171" s="1001"/>
      <c r="I171" s="1002"/>
      <c r="J171" s="1003"/>
      <c r="K171" s="1003">
        <v>25</v>
      </c>
      <c r="L171" s="1001">
        <v>0</v>
      </c>
      <c r="M171" s="1004" t="s">
        <v>98</v>
      </c>
      <c r="N171" s="1005"/>
      <c r="O171" s="1006"/>
      <c r="P171" s="997"/>
      <c r="Q171" s="997"/>
      <c r="R171" s="100"/>
      <c r="S171" s="100"/>
      <c r="T171" s="100"/>
      <c r="U171" s="100"/>
      <c r="V171" s="100"/>
      <c r="W171" s="100"/>
      <c r="X171" s="100"/>
      <c r="Y171" s="100"/>
      <c r="Z171" s="100"/>
      <c r="AA171" s="25"/>
      <c r="AB171" s="25"/>
      <c r="AC171" s="25"/>
      <c r="AD171" s="25"/>
      <c r="AE171" s="25"/>
      <c r="AF171" s="25"/>
      <c r="AG171" s="25"/>
      <c r="AH171" s="25"/>
    </row>
    <row r="172" spans="1:34">
      <c r="A172" s="996"/>
      <c r="B172" s="997">
        <v>151</v>
      </c>
      <c r="C172" s="998" t="s">
        <v>451</v>
      </c>
      <c r="D172" s="997">
        <v>-1</v>
      </c>
      <c r="E172" s="997">
        <v>4.8</v>
      </c>
      <c r="F172" s="999"/>
      <c r="G172" s="1000"/>
      <c r="H172" s="1001"/>
      <c r="I172" s="1002"/>
      <c r="J172" s="1003"/>
      <c r="K172" s="1003">
        <v>25</v>
      </c>
      <c r="L172" s="1001">
        <v>0</v>
      </c>
      <c r="M172" s="1004" t="s">
        <v>450</v>
      </c>
      <c r="N172" s="1005"/>
      <c r="O172" s="1006"/>
      <c r="P172" s="997"/>
      <c r="Q172" s="997"/>
      <c r="R172" s="100"/>
      <c r="S172" s="100"/>
      <c r="T172" s="100"/>
      <c r="U172" s="100"/>
      <c r="V172" s="100"/>
      <c r="W172" s="100"/>
      <c r="X172" s="100"/>
      <c r="Y172" s="100"/>
      <c r="Z172" s="100"/>
      <c r="AA172" s="25"/>
      <c r="AB172" s="25"/>
      <c r="AC172" s="25"/>
      <c r="AD172" s="25"/>
      <c r="AE172" s="25"/>
      <c r="AF172" s="25"/>
      <c r="AG172" s="25"/>
      <c r="AH172" s="25"/>
    </row>
    <row r="173" spans="1:34">
      <c r="A173" s="996"/>
      <c r="B173" s="997">
        <v>152</v>
      </c>
      <c r="C173" s="998" t="s">
        <v>452</v>
      </c>
      <c r="D173" s="997">
        <v>-1</v>
      </c>
      <c r="E173" s="997">
        <v>4.7699999999999996</v>
      </c>
      <c r="F173" s="999"/>
      <c r="G173" s="1000"/>
      <c r="H173" s="1001"/>
      <c r="I173" s="1002"/>
      <c r="J173" s="1003"/>
      <c r="K173" s="1003">
        <v>25</v>
      </c>
      <c r="L173" s="1001">
        <v>0</v>
      </c>
      <c r="M173" s="1004" t="s">
        <v>450</v>
      </c>
      <c r="N173" s="1005"/>
      <c r="O173" s="1006"/>
      <c r="P173" s="997"/>
      <c r="Q173" s="997"/>
      <c r="R173" s="100"/>
      <c r="S173" s="100"/>
      <c r="T173" s="100"/>
      <c r="U173" s="100"/>
      <c r="V173" s="100"/>
      <c r="W173" s="100"/>
      <c r="X173" s="100"/>
      <c r="Y173" s="100"/>
      <c r="Z173" s="100"/>
      <c r="AA173" s="25"/>
      <c r="AB173" s="25"/>
      <c r="AC173" s="25"/>
      <c r="AD173" s="25"/>
      <c r="AE173" s="25"/>
      <c r="AF173" s="25"/>
      <c r="AG173" s="25"/>
      <c r="AH173" s="25"/>
    </row>
    <row r="174" spans="1:34">
      <c r="A174" s="996"/>
      <c r="B174" s="997">
        <v>153</v>
      </c>
      <c r="C174" s="998" t="s">
        <v>216</v>
      </c>
      <c r="D174" s="997">
        <v>-2</v>
      </c>
      <c r="E174" s="997">
        <v>3.07</v>
      </c>
      <c r="F174" s="999">
        <v>5.76</v>
      </c>
      <c r="G174" s="1000"/>
      <c r="H174" s="1001"/>
      <c r="I174" s="1002"/>
      <c r="J174" s="1003"/>
      <c r="K174" s="1003">
        <v>25</v>
      </c>
      <c r="L174" s="1001">
        <v>0</v>
      </c>
      <c r="M174" s="1004" t="s">
        <v>412</v>
      </c>
      <c r="N174" s="1005"/>
      <c r="O174" s="1006"/>
      <c r="P174" s="997"/>
      <c r="Q174" s="997"/>
      <c r="R174" s="100"/>
      <c r="S174" s="100"/>
      <c r="T174" s="100"/>
      <c r="U174" s="100"/>
      <c r="V174" s="100"/>
      <c r="W174" s="100"/>
      <c r="X174" s="100"/>
      <c r="Y174" s="100"/>
      <c r="Z174" s="100"/>
      <c r="AA174" s="25"/>
      <c r="AB174" s="25"/>
      <c r="AC174" s="25"/>
      <c r="AD174" s="25"/>
      <c r="AE174" s="25"/>
      <c r="AF174" s="25"/>
      <c r="AG174" s="25"/>
      <c r="AH174" s="25"/>
    </row>
    <row r="175" spans="1:34">
      <c r="A175" s="996"/>
      <c r="B175" s="997">
        <v>154</v>
      </c>
      <c r="C175" s="998" t="s">
        <v>287</v>
      </c>
      <c r="D175" s="997">
        <v>0</v>
      </c>
      <c r="E175" s="997">
        <v>3.67</v>
      </c>
      <c r="F175" s="999"/>
      <c r="G175" s="1000"/>
      <c r="H175" s="1001"/>
      <c r="I175" s="1002"/>
      <c r="J175" s="1003"/>
      <c r="K175" s="1003">
        <v>27</v>
      </c>
      <c r="L175" s="1001">
        <v>0</v>
      </c>
      <c r="M175" s="1004" t="s">
        <v>286</v>
      </c>
      <c r="N175" s="1005"/>
      <c r="O175" s="1006"/>
      <c r="P175" s="997"/>
      <c r="Q175" s="997"/>
      <c r="R175" s="100"/>
      <c r="S175" s="100"/>
      <c r="T175" s="100"/>
      <c r="U175" s="100"/>
      <c r="V175" s="100"/>
      <c r="W175" s="100"/>
      <c r="X175" s="100"/>
      <c r="Y175" s="100"/>
      <c r="Z175" s="100"/>
      <c r="AA175" s="25"/>
      <c r="AB175" s="25"/>
      <c r="AC175" s="25"/>
      <c r="AD175" s="25"/>
      <c r="AE175" s="25"/>
      <c r="AF175" s="25"/>
      <c r="AG175" s="25"/>
      <c r="AH175" s="25"/>
    </row>
    <row r="176" spans="1:34">
      <c r="A176" s="996"/>
      <c r="B176" s="997">
        <v>155</v>
      </c>
      <c r="C176" s="998" t="s">
        <v>51</v>
      </c>
      <c r="D176" s="997">
        <v>-1</v>
      </c>
      <c r="E176" s="997">
        <v>4.84</v>
      </c>
      <c r="F176" s="999"/>
      <c r="G176" s="1000"/>
      <c r="H176" s="1001"/>
      <c r="I176" s="1002"/>
      <c r="J176" s="1003"/>
      <c r="K176" s="1003">
        <v>18</v>
      </c>
      <c r="L176" s="1001">
        <v>0</v>
      </c>
      <c r="M176" s="1004" t="s">
        <v>49</v>
      </c>
      <c r="N176" s="1005"/>
      <c r="O176" s="1006"/>
      <c r="P176" s="997"/>
      <c r="Q176" s="997"/>
      <c r="R176" s="100"/>
      <c r="S176" s="100"/>
      <c r="T176" s="100"/>
      <c r="U176" s="100"/>
      <c r="V176" s="100"/>
      <c r="W176" s="100"/>
      <c r="X176" s="100"/>
      <c r="Y176" s="100"/>
      <c r="Z176" s="100"/>
      <c r="AA176" s="25"/>
      <c r="AB176" s="25"/>
      <c r="AC176" s="25"/>
      <c r="AD176" s="25"/>
      <c r="AE176" s="25"/>
      <c r="AF176" s="25"/>
      <c r="AG176" s="25"/>
      <c r="AH176" s="25"/>
    </row>
    <row r="177" spans="1:34">
      <c r="A177" s="996"/>
      <c r="B177" s="997">
        <v>156</v>
      </c>
      <c r="C177" s="998" t="s">
        <v>53</v>
      </c>
      <c r="D177" s="997">
        <v>0</v>
      </c>
      <c r="E177" s="997">
        <v>10.08</v>
      </c>
      <c r="F177" s="999"/>
      <c r="G177" s="1000"/>
      <c r="H177" s="1001"/>
      <c r="I177" s="1002"/>
      <c r="J177" s="1003"/>
      <c r="K177" s="1003">
        <v>25</v>
      </c>
      <c r="L177" s="1001">
        <v>0</v>
      </c>
      <c r="M177" s="1004" t="s">
        <v>52</v>
      </c>
      <c r="N177" s="1005"/>
      <c r="O177" s="1006"/>
      <c r="P177" s="997"/>
      <c r="Q177" s="997"/>
      <c r="R177" s="100"/>
      <c r="S177" s="100"/>
      <c r="T177" s="100"/>
      <c r="U177" s="100"/>
      <c r="V177" s="100"/>
      <c r="W177" s="100"/>
      <c r="X177" s="100"/>
      <c r="Y177" s="100"/>
      <c r="Z177" s="100"/>
      <c r="AA177" s="25"/>
      <c r="AB177" s="25"/>
      <c r="AC177" s="25"/>
      <c r="AD177" s="25"/>
      <c r="AE177" s="25"/>
      <c r="AF177" s="25"/>
      <c r="AG177" s="25"/>
      <c r="AH177" s="25"/>
    </row>
    <row r="178" spans="1:34">
      <c r="A178" s="996"/>
      <c r="B178" s="997">
        <v>157</v>
      </c>
      <c r="C178" s="998" t="s">
        <v>575</v>
      </c>
      <c r="D178" s="997">
        <v>-1</v>
      </c>
      <c r="E178" s="997">
        <v>10.28</v>
      </c>
      <c r="F178" s="999"/>
      <c r="G178" s="1000"/>
      <c r="H178" s="1001"/>
      <c r="I178" s="1002"/>
      <c r="J178" s="1003"/>
      <c r="K178" s="1003">
        <v>25</v>
      </c>
      <c r="L178" s="1001">
        <v>0</v>
      </c>
      <c r="M178" s="1004" t="s">
        <v>82</v>
      </c>
      <c r="N178" s="1005" t="s">
        <v>576</v>
      </c>
      <c r="O178" s="1006"/>
      <c r="P178" s="997"/>
      <c r="Q178" s="997"/>
      <c r="R178" s="100"/>
      <c r="S178" s="100"/>
      <c r="T178" s="100"/>
      <c r="U178" s="100"/>
      <c r="V178" s="100"/>
      <c r="W178" s="100"/>
      <c r="X178" s="100"/>
      <c r="Y178" s="100"/>
      <c r="Z178" s="100"/>
      <c r="AA178" s="25"/>
      <c r="AB178" s="25"/>
      <c r="AC178" s="25"/>
      <c r="AD178" s="25"/>
      <c r="AE178" s="25"/>
      <c r="AF178" s="25"/>
      <c r="AG178" s="25"/>
      <c r="AH178" s="25"/>
    </row>
    <row r="179" spans="1:34">
      <c r="A179" s="996"/>
      <c r="B179" s="997">
        <v>158</v>
      </c>
      <c r="C179" s="998" t="s">
        <v>577</v>
      </c>
      <c r="D179" s="997">
        <v>-1</v>
      </c>
      <c r="E179" s="997">
        <v>10.26</v>
      </c>
      <c r="F179" s="999"/>
      <c r="G179" s="1000"/>
      <c r="H179" s="1001"/>
      <c r="I179" s="1002"/>
      <c r="J179" s="1003"/>
      <c r="K179" s="1003">
        <v>25</v>
      </c>
      <c r="L179" s="1001">
        <v>0</v>
      </c>
      <c r="M179" s="1004" t="s">
        <v>82</v>
      </c>
      <c r="N179" s="1005" t="s">
        <v>576</v>
      </c>
      <c r="O179" s="1006"/>
      <c r="P179" s="997"/>
      <c r="Q179" s="997"/>
      <c r="R179" s="100"/>
      <c r="S179" s="100"/>
      <c r="T179" s="100"/>
      <c r="U179" s="100"/>
      <c r="V179" s="100"/>
      <c r="W179" s="100"/>
      <c r="X179" s="100"/>
      <c r="Y179" s="100"/>
      <c r="Z179" s="100"/>
      <c r="AA179" s="25"/>
      <c r="AB179" s="25"/>
      <c r="AC179" s="25"/>
      <c r="AD179" s="25"/>
      <c r="AE179" s="25"/>
      <c r="AF179" s="25"/>
      <c r="AG179" s="25"/>
      <c r="AH179" s="25"/>
    </row>
    <row r="180" spans="1:34">
      <c r="A180" s="996"/>
      <c r="B180" s="997">
        <v>159</v>
      </c>
      <c r="C180" s="998" t="s">
        <v>39</v>
      </c>
      <c r="D180" s="997">
        <v>0</v>
      </c>
      <c r="E180" s="997">
        <v>5.97</v>
      </c>
      <c r="F180" s="999"/>
      <c r="G180" s="1000"/>
      <c r="H180" s="1001"/>
      <c r="I180" s="1002"/>
      <c r="J180" s="1003"/>
      <c r="K180" s="1003">
        <v>20</v>
      </c>
      <c r="L180" s="1001">
        <v>0</v>
      </c>
      <c r="M180" s="1004" t="s">
        <v>38</v>
      </c>
      <c r="N180" s="1005"/>
      <c r="O180" s="1006"/>
      <c r="P180" s="997"/>
      <c r="Q180" s="997"/>
      <c r="R180" s="100"/>
      <c r="S180" s="100"/>
      <c r="T180" s="100"/>
      <c r="U180" s="100"/>
      <c r="V180" s="100"/>
      <c r="W180" s="100"/>
      <c r="X180" s="100"/>
      <c r="Y180" s="100"/>
      <c r="Z180" s="100"/>
      <c r="AA180" s="25"/>
      <c r="AB180" s="25"/>
      <c r="AC180" s="25"/>
      <c r="AD180" s="25"/>
      <c r="AE180" s="25"/>
      <c r="AF180" s="25"/>
      <c r="AG180" s="25"/>
      <c r="AH180" s="25"/>
    </row>
    <row r="181" spans="1:34">
      <c r="A181" s="996"/>
      <c r="B181" s="997">
        <v>160</v>
      </c>
      <c r="C181" s="998" t="s">
        <v>40</v>
      </c>
      <c r="D181" s="997">
        <v>0</v>
      </c>
      <c r="E181" s="997">
        <v>5.68</v>
      </c>
      <c r="F181" s="999"/>
      <c r="G181" s="1000"/>
      <c r="H181" s="1001"/>
      <c r="I181" s="1002"/>
      <c r="J181" s="1003"/>
      <c r="K181" s="1003">
        <v>20</v>
      </c>
      <c r="L181" s="1001">
        <v>0</v>
      </c>
      <c r="M181" s="1004" t="s">
        <v>38</v>
      </c>
      <c r="N181" s="1005"/>
      <c r="O181" s="1006"/>
      <c r="P181" s="997"/>
      <c r="Q181" s="997"/>
      <c r="R181" s="100"/>
      <c r="S181" s="100"/>
      <c r="T181" s="100"/>
      <c r="U181" s="100"/>
      <c r="V181" s="100"/>
      <c r="W181" s="100"/>
      <c r="X181" s="100"/>
      <c r="Y181" s="100"/>
      <c r="Z181" s="100"/>
      <c r="AA181" s="25"/>
      <c r="AB181" s="25"/>
      <c r="AC181" s="25"/>
      <c r="AD181" s="25"/>
      <c r="AE181" s="25"/>
      <c r="AF181" s="25"/>
      <c r="AG181" s="25"/>
      <c r="AH181" s="25"/>
    </row>
    <row r="182" spans="1:34">
      <c r="A182" s="996"/>
      <c r="B182" s="997">
        <v>161</v>
      </c>
      <c r="C182" s="998" t="s">
        <v>41</v>
      </c>
      <c r="D182" s="997">
        <v>0</v>
      </c>
      <c r="E182" s="997">
        <v>6.02</v>
      </c>
      <c r="F182" s="999"/>
      <c r="G182" s="1000"/>
      <c r="H182" s="1001"/>
      <c r="I182" s="1002"/>
      <c r="J182" s="1003"/>
      <c r="K182" s="1003">
        <v>20</v>
      </c>
      <c r="L182" s="1001">
        <v>0</v>
      </c>
      <c r="M182" s="1004" t="s">
        <v>38</v>
      </c>
      <c r="N182" s="1005"/>
      <c r="O182" s="1006"/>
      <c r="P182" s="997"/>
      <c r="Q182" s="997"/>
      <c r="R182" s="100"/>
      <c r="S182" s="100"/>
      <c r="T182" s="100"/>
      <c r="U182" s="100"/>
      <c r="V182" s="100"/>
      <c r="W182" s="100"/>
      <c r="X182" s="100"/>
      <c r="Y182" s="100"/>
      <c r="Z182" s="100"/>
      <c r="AA182" s="25"/>
      <c r="AB182" s="25"/>
      <c r="AC182" s="25"/>
      <c r="AD182" s="25"/>
      <c r="AE182" s="25"/>
      <c r="AF182" s="25"/>
      <c r="AG182" s="25"/>
      <c r="AH182" s="25"/>
    </row>
    <row r="183" spans="1:34">
      <c r="A183" s="996"/>
      <c r="B183" s="997">
        <v>162</v>
      </c>
      <c r="C183" s="998" t="s">
        <v>297</v>
      </c>
      <c r="D183" s="997">
        <v>0</v>
      </c>
      <c r="E183" s="997">
        <v>8.2100000000000009</v>
      </c>
      <c r="F183" s="999"/>
      <c r="G183" s="1000"/>
      <c r="H183" s="1001"/>
      <c r="I183" s="1002"/>
      <c r="J183" s="1003"/>
      <c r="K183" s="1003">
        <v>25</v>
      </c>
      <c r="L183" s="1001">
        <v>0</v>
      </c>
      <c r="M183" s="1004" t="s">
        <v>296</v>
      </c>
      <c r="N183" s="1005"/>
      <c r="O183" s="1006"/>
      <c r="P183" s="997"/>
      <c r="Q183" s="997"/>
      <c r="R183" s="100"/>
      <c r="S183" s="100"/>
      <c r="T183" s="100"/>
      <c r="U183" s="100"/>
      <c r="V183" s="100"/>
      <c r="W183" s="100"/>
      <c r="X183" s="100"/>
      <c r="Y183" s="100"/>
      <c r="Z183" s="100"/>
      <c r="AA183" s="25"/>
      <c r="AB183" s="25"/>
      <c r="AC183" s="25"/>
      <c r="AD183" s="25"/>
      <c r="AE183" s="25"/>
      <c r="AF183" s="25"/>
      <c r="AG183" s="25"/>
      <c r="AH183" s="25"/>
    </row>
    <row r="184" spans="1:34">
      <c r="A184" s="996"/>
      <c r="B184" s="997">
        <v>163</v>
      </c>
      <c r="C184" s="998" t="s">
        <v>427</v>
      </c>
      <c r="D184" s="997">
        <v>0</v>
      </c>
      <c r="E184" s="997">
        <v>8.33</v>
      </c>
      <c r="F184" s="999"/>
      <c r="G184" s="1000"/>
      <c r="H184" s="1001"/>
      <c r="I184" s="1002"/>
      <c r="J184" s="1003"/>
      <c r="K184" s="1003">
        <v>25</v>
      </c>
      <c r="L184" s="1001">
        <v>0</v>
      </c>
      <c r="M184" s="1004" t="s">
        <v>426</v>
      </c>
      <c r="N184" s="1005"/>
      <c r="O184" s="1006"/>
      <c r="P184" s="997"/>
      <c r="Q184" s="997"/>
      <c r="R184" s="100"/>
      <c r="S184" s="100"/>
      <c r="T184" s="100"/>
      <c r="U184" s="100"/>
      <c r="V184" s="100"/>
      <c r="W184" s="100"/>
      <c r="X184" s="100"/>
      <c r="Y184" s="100"/>
      <c r="Z184" s="100"/>
      <c r="AA184" s="25"/>
      <c r="AB184" s="25"/>
      <c r="AC184" s="25"/>
      <c r="AD184" s="25"/>
      <c r="AE184" s="25"/>
      <c r="AF184" s="25"/>
      <c r="AG184" s="25"/>
      <c r="AH184" s="25"/>
    </row>
    <row r="185" spans="1:34">
      <c r="A185" s="996"/>
      <c r="B185" s="997">
        <v>164</v>
      </c>
      <c r="C185" s="998" t="s">
        <v>275</v>
      </c>
      <c r="D185" s="997">
        <v>-1</v>
      </c>
      <c r="E185" s="997">
        <v>9.34</v>
      </c>
      <c r="F185" s="999"/>
      <c r="G185" s="1000"/>
      <c r="H185" s="1001"/>
      <c r="I185" s="1002"/>
      <c r="J185" s="1003"/>
      <c r="K185" s="1003">
        <v>25</v>
      </c>
      <c r="L185" s="1001">
        <v>0</v>
      </c>
      <c r="M185" s="1004" t="s">
        <v>274</v>
      </c>
      <c r="N185" s="1005"/>
      <c r="O185" s="1006"/>
      <c r="P185" s="997"/>
      <c r="Q185" s="997"/>
      <c r="R185" s="100"/>
      <c r="S185" s="100"/>
      <c r="T185" s="100"/>
      <c r="U185" s="100"/>
      <c r="V185" s="100"/>
      <c r="W185" s="100"/>
      <c r="X185" s="100"/>
      <c r="Y185" s="100"/>
      <c r="Z185" s="100"/>
      <c r="AA185" s="25"/>
      <c r="AB185" s="25"/>
      <c r="AC185" s="25"/>
      <c r="AD185" s="25"/>
      <c r="AE185" s="25"/>
      <c r="AF185" s="25"/>
      <c r="AG185" s="25"/>
      <c r="AH185" s="25"/>
    </row>
    <row r="186" spans="1:34">
      <c r="A186" s="996"/>
      <c r="B186" s="997">
        <v>165</v>
      </c>
      <c r="C186" s="998" t="s">
        <v>276</v>
      </c>
      <c r="D186" s="997">
        <v>-1</v>
      </c>
      <c r="E186" s="997">
        <v>9.51</v>
      </c>
      <c r="F186" s="999"/>
      <c r="G186" s="1000"/>
      <c r="H186" s="1001"/>
      <c r="I186" s="1002"/>
      <c r="J186" s="1003"/>
      <c r="K186" s="1003">
        <v>25</v>
      </c>
      <c r="L186" s="1001">
        <v>0</v>
      </c>
      <c r="M186" s="1004" t="s">
        <v>274</v>
      </c>
      <c r="N186" s="1005"/>
      <c r="O186" s="1006"/>
      <c r="P186" s="997"/>
      <c r="Q186" s="997"/>
      <c r="R186" s="100"/>
      <c r="S186" s="100"/>
      <c r="T186" s="100"/>
      <c r="U186" s="100"/>
      <c r="V186" s="100"/>
      <c r="W186" s="100"/>
      <c r="X186" s="100"/>
      <c r="Y186" s="100"/>
      <c r="Z186" s="100"/>
      <c r="AA186" s="25"/>
      <c r="AB186" s="25"/>
      <c r="AC186" s="25"/>
      <c r="AD186" s="25"/>
      <c r="AE186" s="25"/>
      <c r="AF186" s="25"/>
      <c r="AG186" s="25"/>
      <c r="AH186" s="25"/>
    </row>
    <row r="187" spans="1:34">
      <c r="A187" s="996"/>
      <c r="B187" s="997">
        <v>166</v>
      </c>
      <c r="C187" s="998" t="s">
        <v>278</v>
      </c>
      <c r="D187" s="997">
        <v>0</v>
      </c>
      <c r="E187" s="999">
        <v>3.12</v>
      </c>
      <c r="F187" s="997">
        <v>8.02</v>
      </c>
      <c r="G187" s="1001"/>
      <c r="H187" s="1001"/>
      <c r="I187" s="1002"/>
      <c r="J187" s="1003"/>
      <c r="K187" s="1003">
        <v>25</v>
      </c>
      <c r="L187" s="1001">
        <v>0</v>
      </c>
      <c r="M187" s="1004" t="s">
        <v>277</v>
      </c>
      <c r="N187" s="1005"/>
      <c r="O187" s="1006"/>
      <c r="P187" s="997"/>
      <c r="Q187" s="997"/>
      <c r="R187" s="100"/>
      <c r="S187" s="100"/>
      <c r="T187" s="100"/>
      <c r="U187" s="100"/>
      <c r="V187" s="100"/>
      <c r="W187" s="100"/>
      <c r="X187" s="100"/>
      <c r="Y187" s="100"/>
      <c r="Z187" s="100"/>
      <c r="AA187" s="25"/>
      <c r="AB187" s="25"/>
      <c r="AC187" s="25"/>
      <c r="AD187" s="25"/>
      <c r="AE187" s="25"/>
      <c r="AF187" s="25"/>
      <c r="AG187" s="25"/>
      <c r="AH187" s="25"/>
    </row>
    <row r="188" spans="1:34">
      <c r="A188" s="996"/>
      <c r="B188" s="997">
        <v>167</v>
      </c>
      <c r="C188" s="998" t="s">
        <v>217</v>
      </c>
      <c r="D188" s="997">
        <v>-3</v>
      </c>
      <c r="E188" s="997">
        <v>1.1000000000000001</v>
      </c>
      <c r="F188" s="999">
        <v>1.65</v>
      </c>
      <c r="G188" s="1000">
        <v>2.94</v>
      </c>
      <c r="H188" s="1001">
        <v>10.334</v>
      </c>
      <c r="I188" s="1002"/>
      <c r="J188" s="1003"/>
      <c r="K188" s="1003">
        <v>20</v>
      </c>
      <c r="L188" s="1001">
        <v>0</v>
      </c>
      <c r="M188" s="1004"/>
      <c r="N188" s="1005"/>
      <c r="O188" s="1006"/>
      <c r="P188" s="997"/>
      <c r="Q188" s="997"/>
      <c r="R188" s="100"/>
      <c r="S188" s="100"/>
      <c r="T188" s="100"/>
      <c r="U188" s="100"/>
      <c r="V188" s="100"/>
      <c r="W188" s="100"/>
      <c r="X188" s="100"/>
      <c r="Y188" s="100"/>
      <c r="Z188" s="100"/>
      <c r="AA188" s="25"/>
      <c r="AB188" s="25"/>
      <c r="AC188" s="25"/>
      <c r="AD188" s="25"/>
      <c r="AE188" s="25"/>
      <c r="AF188" s="25"/>
      <c r="AG188" s="25"/>
      <c r="AH188" s="25"/>
    </row>
    <row r="189" spans="1:34">
      <c r="A189" s="996"/>
      <c r="B189" s="997">
        <v>168</v>
      </c>
      <c r="C189" s="998" t="s">
        <v>483</v>
      </c>
      <c r="D189" s="997">
        <v>0</v>
      </c>
      <c r="E189" s="997">
        <v>-0.26</v>
      </c>
      <c r="F189" s="999"/>
      <c r="G189" s="1000"/>
      <c r="H189" s="1001"/>
      <c r="I189" s="1002"/>
      <c r="J189" s="1003"/>
      <c r="K189" s="1003">
        <v>25</v>
      </c>
      <c r="L189" s="1001">
        <v>0</v>
      </c>
      <c r="M189" s="1004" t="s">
        <v>482</v>
      </c>
      <c r="N189" s="1005"/>
      <c r="O189" s="1006"/>
      <c r="P189" s="997"/>
      <c r="Q189" s="997"/>
      <c r="R189" s="100"/>
      <c r="S189" s="100"/>
      <c r="T189" s="100"/>
      <c r="U189" s="100"/>
      <c r="V189" s="100"/>
      <c r="W189" s="100"/>
      <c r="X189" s="100"/>
      <c r="Y189" s="100"/>
      <c r="Z189" s="100"/>
      <c r="AA189" s="25"/>
      <c r="AB189" s="25"/>
      <c r="AC189" s="25"/>
      <c r="AD189" s="25"/>
      <c r="AE189" s="25"/>
      <c r="AF189" s="25"/>
      <c r="AG189" s="25"/>
      <c r="AH189" s="25"/>
    </row>
    <row r="190" spans="1:34">
      <c r="A190" s="996"/>
      <c r="B190" s="997">
        <v>169</v>
      </c>
      <c r="C190" s="998" t="s">
        <v>484</v>
      </c>
      <c r="D190" s="997">
        <v>0</v>
      </c>
      <c r="E190" s="997">
        <v>2.4660000000000002</v>
      </c>
      <c r="F190" s="999"/>
      <c r="G190" s="1000"/>
      <c r="H190" s="1001"/>
      <c r="I190" s="1002"/>
      <c r="J190" s="1003"/>
      <c r="K190" s="1003">
        <v>25</v>
      </c>
      <c r="L190" s="1001">
        <v>0</v>
      </c>
      <c r="M190" s="1004" t="s">
        <v>482</v>
      </c>
      <c r="N190" s="1005"/>
      <c r="O190" s="1006"/>
      <c r="P190" s="997"/>
      <c r="Q190" s="997"/>
      <c r="R190" s="100"/>
      <c r="S190" s="100"/>
      <c r="T190" s="100"/>
      <c r="U190" s="100"/>
      <c r="V190" s="100"/>
      <c r="W190" s="100"/>
      <c r="X190" s="100"/>
      <c r="Y190" s="100"/>
      <c r="Z190" s="100"/>
      <c r="AA190" s="25"/>
      <c r="AB190" s="25"/>
      <c r="AC190" s="25"/>
      <c r="AD190" s="25"/>
      <c r="AE190" s="25"/>
      <c r="AF190" s="25"/>
      <c r="AG190" s="25"/>
      <c r="AH190" s="25"/>
    </row>
    <row r="191" spans="1:34">
      <c r="A191" s="996"/>
      <c r="B191" s="997">
        <v>170</v>
      </c>
      <c r="C191" s="998" t="s">
        <v>485</v>
      </c>
      <c r="D191" s="997">
        <v>0</v>
      </c>
      <c r="E191" s="997">
        <v>1</v>
      </c>
      <c r="F191" s="999"/>
      <c r="G191" s="1000"/>
      <c r="H191" s="1001"/>
      <c r="I191" s="1002"/>
      <c r="J191" s="1003"/>
      <c r="K191" s="1003">
        <v>25</v>
      </c>
      <c r="L191" s="1001">
        <v>0</v>
      </c>
      <c r="M191" s="1004" t="s">
        <v>482</v>
      </c>
      <c r="N191" s="1005"/>
      <c r="O191" s="1006"/>
      <c r="P191" s="997"/>
      <c r="Q191" s="997"/>
      <c r="R191" s="100"/>
      <c r="S191" s="100"/>
      <c r="T191" s="100"/>
      <c r="U191" s="100"/>
      <c r="V191" s="100"/>
      <c r="W191" s="100"/>
      <c r="X191" s="100"/>
      <c r="Y191" s="100"/>
      <c r="Z191" s="100"/>
      <c r="AA191" s="25"/>
      <c r="AB191" s="25"/>
      <c r="AC191" s="25"/>
      <c r="AD191" s="25"/>
      <c r="AE191" s="25"/>
      <c r="AF191" s="25"/>
      <c r="AG191" s="25"/>
      <c r="AH191" s="25"/>
    </row>
    <row r="192" spans="1:34">
      <c r="A192" s="996"/>
      <c r="B192" s="997">
        <v>171</v>
      </c>
      <c r="C192" s="998" t="s">
        <v>218</v>
      </c>
      <c r="D192" s="997">
        <v>-1</v>
      </c>
      <c r="E192" s="997">
        <v>2.1789999999999998</v>
      </c>
      <c r="F192" s="999"/>
      <c r="G192" s="1000"/>
      <c r="H192" s="1001"/>
      <c r="I192" s="1002"/>
      <c r="J192" s="1003"/>
      <c r="K192" s="1003">
        <v>25</v>
      </c>
      <c r="L192" s="1001">
        <v>0</v>
      </c>
      <c r="M192" s="1004" t="s">
        <v>70</v>
      </c>
      <c r="N192" s="1005"/>
      <c r="O192" s="1006"/>
      <c r="P192" s="997"/>
      <c r="Q192" s="997"/>
      <c r="R192" s="100"/>
      <c r="S192" s="100"/>
      <c r="T192" s="100"/>
      <c r="U192" s="100"/>
      <c r="V192" s="100"/>
      <c r="W192" s="100"/>
      <c r="X192" s="100"/>
      <c r="Y192" s="100"/>
      <c r="Z192" s="100"/>
      <c r="AA192" s="25"/>
      <c r="AB192" s="25"/>
      <c r="AC192" s="25"/>
      <c r="AD192" s="25"/>
      <c r="AE192" s="25"/>
      <c r="AF192" s="25"/>
      <c r="AG192" s="25"/>
      <c r="AH192" s="25"/>
    </row>
    <row r="193" spans="1:34">
      <c r="A193" s="996"/>
      <c r="B193" s="997">
        <v>172</v>
      </c>
      <c r="C193" s="998" t="s">
        <v>219</v>
      </c>
      <c r="D193" s="997">
        <v>-1</v>
      </c>
      <c r="E193" s="997">
        <v>7.21</v>
      </c>
      <c r="F193" s="999"/>
      <c r="G193" s="1000"/>
      <c r="H193" s="1001"/>
      <c r="I193" s="1002"/>
      <c r="J193" s="1003"/>
      <c r="K193" s="1003">
        <v>25</v>
      </c>
      <c r="L193" s="1001">
        <v>0</v>
      </c>
      <c r="M193" s="1004" t="s">
        <v>476</v>
      </c>
      <c r="N193" s="1005"/>
      <c r="O193" s="1006"/>
      <c r="P193" s="997"/>
      <c r="Q193" s="997"/>
      <c r="R193" s="100"/>
      <c r="S193" s="100"/>
      <c r="T193" s="100"/>
      <c r="U193" s="100"/>
      <c r="V193" s="100"/>
      <c r="W193" s="100"/>
      <c r="X193" s="100"/>
      <c r="Y193" s="100"/>
      <c r="Z193" s="100"/>
      <c r="AA193" s="25"/>
      <c r="AB193" s="25"/>
      <c r="AC193" s="25"/>
      <c r="AD193" s="25"/>
      <c r="AE193" s="25"/>
      <c r="AF193" s="25"/>
      <c r="AG193" s="25"/>
      <c r="AH193" s="25"/>
    </row>
    <row r="194" spans="1:34">
      <c r="A194" s="996"/>
      <c r="B194" s="997">
        <v>173</v>
      </c>
      <c r="C194" s="998" t="s">
        <v>220</v>
      </c>
      <c r="D194" s="997">
        <v>-1</v>
      </c>
      <c r="E194" s="997">
        <v>8.39</v>
      </c>
      <c r="F194" s="999"/>
      <c r="G194" s="1000"/>
      <c r="H194" s="1001"/>
      <c r="I194" s="1002"/>
      <c r="J194" s="1003"/>
      <c r="K194" s="1003">
        <v>25</v>
      </c>
      <c r="L194" s="1001">
        <v>0</v>
      </c>
      <c r="M194" s="1004" t="s">
        <v>476</v>
      </c>
      <c r="N194" s="1005"/>
      <c r="O194" s="1006"/>
      <c r="P194" s="997"/>
      <c r="Q194" s="997"/>
      <c r="R194" s="100"/>
      <c r="S194" s="100"/>
      <c r="T194" s="100"/>
      <c r="U194" s="100"/>
      <c r="V194" s="100"/>
      <c r="W194" s="100"/>
      <c r="X194" s="100"/>
      <c r="Y194" s="100"/>
      <c r="Z194" s="100"/>
      <c r="AA194" s="25"/>
      <c r="AB194" s="25"/>
      <c r="AC194" s="25"/>
      <c r="AD194" s="25"/>
      <c r="AE194" s="25"/>
      <c r="AF194" s="25"/>
      <c r="AG194" s="25"/>
      <c r="AH194" s="25"/>
    </row>
    <row r="195" spans="1:34">
      <c r="A195" s="996"/>
      <c r="B195" s="997">
        <v>174</v>
      </c>
      <c r="C195" s="998" t="s">
        <v>477</v>
      </c>
      <c r="D195" s="997">
        <v>-1</v>
      </c>
      <c r="E195" s="997">
        <v>7.15</v>
      </c>
      <c r="F195" s="999"/>
      <c r="G195" s="1000"/>
      <c r="H195" s="1001"/>
      <c r="I195" s="1002"/>
      <c r="J195" s="1003"/>
      <c r="K195" s="1003">
        <v>25</v>
      </c>
      <c r="L195" s="1001">
        <v>0</v>
      </c>
      <c r="M195" s="1004" t="s">
        <v>476</v>
      </c>
      <c r="N195" s="1005"/>
      <c r="O195" s="1006"/>
      <c r="P195" s="997"/>
      <c r="Q195" s="997"/>
      <c r="R195" s="100"/>
      <c r="S195" s="100"/>
      <c r="T195" s="100"/>
      <c r="U195" s="100"/>
      <c r="V195" s="100"/>
      <c r="W195" s="100"/>
      <c r="X195" s="100"/>
      <c r="Y195" s="100"/>
      <c r="Z195" s="100"/>
      <c r="AA195" s="25"/>
      <c r="AB195" s="25"/>
      <c r="AC195" s="25"/>
      <c r="AD195" s="25"/>
      <c r="AE195" s="25"/>
      <c r="AF195" s="25"/>
      <c r="AG195" s="25"/>
      <c r="AH195" s="25"/>
    </row>
    <row r="196" spans="1:34">
      <c r="A196" s="996"/>
      <c r="B196" s="997">
        <v>175</v>
      </c>
      <c r="C196" s="998" t="s">
        <v>221</v>
      </c>
      <c r="D196" s="997">
        <v>-1</v>
      </c>
      <c r="E196" s="997">
        <v>3.4489999999999998</v>
      </c>
      <c r="F196" s="999"/>
      <c r="G196" s="1000"/>
      <c r="H196" s="1001"/>
      <c r="I196" s="1002"/>
      <c r="J196" s="1003"/>
      <c r="K196" s="1003">
        <v>25</v>
      </c>
      <c r="L196" s="1001">
        <v>0</v>
      </c>
      <c r="M196" s="1004" t="s">
        <v>70</v>
      </c>
      <c r="N196" s="1005"/>
      <c r="O196" s="1006"/>
      <c r="P196" s="997"/>
      <c r="Q196" s="997"/>
      <c r="R196" s="100"/>
      <c r="S196" s="100"/>
      <c r="T196" s="100"/>
      <c r="U196" s="100"/>
      <c r="V196" s="100"/>
      <c r="W196" s="100"/>
      <c r="X196" s="100"/>
      <c r="Y196" s="100"/>
      <c r="Z196" s="100"/>
      <c r="AA196" s="25"/>
      <c r="AB196" s="25"/>
      <c r="AC196" s="25"/>
      <c r="AD196" s="25"/>
      <c r="AE196" s="25"/>
      <c r="AF196" s="25"/>
      <c r="AG196" s="25"/>
      <c r="AH196" s="25"/>
    </row>
    <row r="197" spans="1:34">
      <c r="A197" s="996"/>
      <c r="B197" s="997">
        <v>176</v>
      </c>
      <c r="C197" s="998" t="s">
        <v>73</v>
      </c>
      <c r="D197" s="997">
        <v>-1</v>
      </c>
      <c r="E197" s="997">
        <v>3.4420000000000002</v>
      </c>
      <c r="F197" s="999"/>
      <c r="G197" s="1000"/>
      <c r="H197" s="1001"/>
      <c r="I197" s="1002"/>
      <c r="J197" s="1003"/>
      <c r="K197" s="1003">
        <v>25</v>
      </c>
      <c r="L197" s="1001">
        <v>0</v>
      </c>
      <c r="M197" s="1004" t="s">
        <v>70</v>
      </c>
      <c r="N197" s="1005"/>
      <c r="O197" s="1006"/>
      <c r="P197" s="997"/>
      <c r="Q197" s="997"/>
      <c r="R197" s="100"/>
      <c r="S197" s="100"/>
      <c r="T197" s="100"/>
      <c r="U197" s="100"/>
      <c r="V197" s="100"/>
      <c r="W197" s="100"/>
      <c r="X197" s="100"/>
      <c r="Y197" s="100"/>
      <c r="Z197" s="100"/>
      <c r="AA197" s="25"/>
      <c r="AB197" s="25"/>
      <c r="AC197" s="25"/>
      <c r="AD197" s="25"/>
      <c r="AE197" s="25"/>
      <c r="AF197" s="25"/>
      <c r="AG197" s="25"/>
      <c r="AH197" s="25"/>
    </row>
    <row r="198" spans="1:34">
      <c r="A198" s="996"/>
      <c r="B198" s="997">
        <v>177</v>
      </c>
      <c r="C198" s="998" t="s">
        <v>222</v>
      </c>
      <c r="D198" s="997">
        <v>-1</v>
      </c>
      <c r="E198" s="997">
        <v>3.15</v>
      </c>
      <c r="F198" s="999"/>
      <c r="G198" s="1000"/>
      <c r="H198" s="1001"/>
      <c r="I198" s="1002"/>
      <c r="J198" s="1003"/>
      <c r="K198" s="1003">
        <v>25</v>
      </c>
      <c r="L198" s="1001">
        <v>0</v>
      </c>
      <c r="M198" s="1004" t="s">
        <v>223</v>
      </c>
      <c r="N198" s="1005"/>
      <c r="O198" s="1006"/>
      <c r="P198" s="997"/>
      <c r="Q198" s="997"/>
      <c r="R198" s="100"/>
      <c r="S198" s="100"/>
      <c r="T198" s="100"/>
      <c r="U198" s="100"/>
      <c r="V198" s="100"/>
      <c r="W198" s="100"/>
      <c r="X198" s="100"/>
      <c r="Y198" s="100"/>
      <c r="Z198" s="100"/>
      <c r="AA198" s="25"/>
      <c r="AB198" s="25"/>
      <c r="AC198" s="25"/>
      <c r="AD198" s="25"/>
      <c r="AE198" s="25"/>
      <c r="AF198" s="25"/>
      <c r="AG198" s="25"/>
      <c r="AH198" s="25"/>
    </row>
    <row r="199" spans="1:34">
      <c r="A199" s="996"/>
      <c r="B199" s="997">
        <v>178</v>
      </c>
      <c r="C199" s="998" t="s">
        <v>117</v>
      </c>
      <c r="D199" s="997">
        <v>-1</v>
      </c>
      <c r="E199" s="997">
        <v>8.64</v>
      </c>
      <c r="F199" s="999">
        <v>9.6999999999999993</v>
      </c>
      <c r="G199" s="1000"/>
      <c r="H199" s="1001"/>
      <c r="I199" s="1002"/>
      <c r="J199" s="1003"/>
      <c r="K199" s="1003">
        <v>25</v>
      </c>
      <c r="L199" s="1001">
        <v>0</v>
      </c>
      <c r="M199" s="1004" t="s">
        <v>116</v>
      </c>
      <c r="N199" s="1005"/>
      <c r="O199" s="1006"/>
      <c r="P199" s="997"/>
      <c r="Q199" s="997"/>
      <c r="R199" s="100"/>
      <c r="S199" s="100"/>
      <c r="T199" s="100"/>
      <c r="U199" s="100"/>
      <c r="V199" s="100"/>
      <c r="W199" s="100"/>
      <c r="X199" s="100"/>
      <c r="Y199" s="100"/>
      <c r="Z199" s="100"/>
      <c r="AA199" s="25"/>
      <c r="AB199" s="25"/>
      <c r="AC199" s="25"/>
      <c r="AD199" s="25"/>
      <c r="AE199" s="25"/>
      <c r="AF199" s="25"/>
      <c r="AG199" s="25"/>
      <c r="AH199" s="25"/>
    </row>
    <row r="200" spans="1:34">
      <c r="A200" s="996"/>
      <c r="B200" s="997">
        <v>179</v>
      </c>
      <c r="C200" s="998" t="s">
        <v>301</v>
      </c>
      <c r="D200" s="997">
        <v>0</v>
      </c>
      <c r="E200" s="997">
        <v>10.6</v>
      </c>
      <c r="F200" s="999"/>
      <c r="G200" s="1000"/>
      <c r="H200" s="1001"/>
      <c r="I200" s="1002"/>
      <c r="J200" s="1003"/>
      <c r="K200" s="1003">
        <v>25</v>
      </c>
      <c r="L200" s="1001">
        <v>0</v>
      </c>
      <c r="M200" s="1004" t="s">
        <v>300</v>
      </c>
      <c r="N200" s="1005"/>
      <c r="O200" s="1006"/>
      <c r="P200" s="997"/>
      <c r="Q200" s="997"/>
      <c r="R200" s="100"/>
      <c r="S200" s="100"/>
      <c r="T200" s="100"/>
      <c r="U200" s="100"/>
      <c r="V200" s="100"/>
      <c r="W200" s="100"/>
      <c r="X200" s="100"/>
      <c r="Y200" s="100"/>
      <c r="Z200" s="100"/>
      <c r="AA200" s="25"/>
      <c r="AB200" s="25"/>
      <c r="AC200" s="25"/>
      <c r="AD200" s="25"/>
      <c r="AE200" s="25"/>
      <c r="AF200" s="25"/>
      <c r="AG200" s="25"/>
      <c r="AH200" s="25"/>
    </row>
    <row r="201" spans="1:34">
      <c r="A201" s="996"/>
      <c r="B201" s="997">
        <v>180</v>
      </c>
      <c r="C201" s="998" t="s">
        <v>120</v>
      </c>
      <c r="D201" s="997">
        <v>-1</v>
      </c>
      <c r="E201" s="997">
        <v>4.5199999999999996</v>
      </c>
      <c r="F201" s="999"/>
      <c r="G201" s="1000"/>
      <c r="H201" s="1001"/>
      <c r="I201" s="1002"/>
      <c r="J201" s="1003"/>
      <c r="K201" s="1003">
        <v>25</v>
      </c>
      <c r="L201" s="1001">
        <v>0</v>
      </c>
      <c r="M201" s="1004" t="s">
        <v>119</v>
      </c>
      <c r="N201" s="1005"/>
      <c r="O201" s="1006"/>
      <c r="P201" s="997"/>
      <c r="Q201" s="997"/>
      <c r="R201" s="100"/>
      <c r="S201" s="100"/>
      <c r="T201" s="100"/>
      <c r="U201" s="100"/>
      <c r="V201" s="100"/>
      <c r="W201" s="100"/>
      <c r="X201" s="100"/>
      <c r="Y201" s="100"/>
      <c r="Z201" s="100"/>
      <c r="AA201" s="25"/>
      <c r="AB201" s="25"/>
      <c r="AC201" s="25"/>
      <c r="AD201" s="25"/>
      <c r="AE201" s="25"/>
      <c r="AF201" s="25"/>
      <c r="AG201" s="25"/>
      <c r="AH201" s="25"/>
    </row>
    <row r="202" spans="1:34">
      <c r="A202" s="996"/>
      <c r="B202" s="997">
        <v>181</v>
      </c>
      <c r="C202" s="998" t="s">
        <v>122</v>
      </c>
      <c r="D202" s="997">
        <v>-1</v>
      </c>
      <c r="E202" s="997">
        <v>4.8899999999999997</v>
      </c>
      <c r="F202" s="999"/>
      <c r="G202" s="1000"/>
      <c r="H202" s="1001"/>
      <c r="I202" s="1002"/>
      <c r="J202" s="1003"/>
      <c r="K202" s="1003">
        <v>25</v>
      </c>
      <c r="L202" s="1001">
        <v>0</v>
      </c>
      <c r="M202" s="1004" t="s">
        <v>121</v>
      </c>
      <c r="N202" s="1005"/>
      <c r="O202" s="1006"/>
      <c r="P202" s="997"/>
      <c r="Q202" s="997"/>
      <c r="R202" s="100"/>
      <c r="S202" s="100"/>
      <c r="T202" s="100"/>
      <c r="U202" s="100"/>
      <c r="V202" s="100"/>
      <c r="W202" s="100"/>
      <c r="X202" s="100"/>
      <c r="Y202" s="100"/>
      <c r="Z202" s="100"/>
      <c r="AA202" s="25"/>
      <c r="AB202" s="25"/>
      <c r="AC202" s="25"/>
      <c r="AD202" s="25"/>
      <c r="AE202" s="25"/>
      <c r="AF202" s="25"/>
      <c r="AG202" s="25"/>
      <c r="AH202" s="25"/>
    </row>
    <row r="203" spans="1:34">
      <c r="A203" s="996"/>
      <c r="B203" s="997">
        <v>182</v>
      </c>
      <c r="C203" s="998" t="s">
        <v>224</v>
      </c>
      <c r="D203" s="997">
        <v>-2</v>
      </c>
      <c r="E203" s="997">
        <v>1.252</v>
      </c>
      <c r="F203" s="999">
        <v>4.266</v>
      </c>
      <c r="G203" s="1000"/>
      <c r="H203" s="1001"/>
      <c r="I203" s="1002"/>
      <c r="J203" s="1003"/>
      <c r="K203" s="1003">
        <v>25</v>
      </c>
      <c r="L203" s="1001">
        <v>0</v>
      </c>
      <c r="M203" s="1004" t="s">
        <v>375</v>
      </c>
      <c r="N203" s="1005"/>
      <c r="O203" s="1006"/>
      <c r="P203" s="997"/>
      <c r="Q203" s="997"/>
      <c r="R203" s="100"/>
      <c r="S203" s="100"/>
      <c r="T203" s="100"/>
      <c r="U203" s="100"/>
      <c r="V203" s="100"/>
      <c r="W203" s="100"/>
      <c r="X203" s="100"/>
      <c r="Y203" s="100"/>
      <c r="Z203" s="100"/>
      <c r="AA203" s="25"/>
      <c r="AB203" s="25"/>
      <c r="AC203" s="25"/>
      <c r="AD203" s="25"/>
      <c r="AE203" s="25"/>
      <c r="AF203" s="25"/>
      <c r="AG203" s="25"/>
      <c r="AH203" s="25"/>
    </row>
    <row r="204" spans="1:34">
      <c r="A204" s="996"/>
      <c r="B204" s="997">
        <v>183</v>
      </c>
      <c r="C204" s="998" t="s">
        <v>407</v>
      </c>
      <c r="D204" s="997">
        <v>-2</v>
      </c>
      <c r="E204" s="997">
        <v>2.2200000000000002</v>
      </c>
      <c r="F204" s="999">
        <v>3.89</v>
      </c>
      <c r="G204" s="1000">
        <v>13.03</v>
      </c>
      <c r="H204" s="1001"/>
      <c r="I204" s="1002"/>
      <c r="J204" s="1003"/>
      <c r="K204" s="1003">
        <v>25</v>
      </c>
      <c r="L204" s="1001">
        <v>0</v>
      </c>
      <c r="M204" s="1004" t="s">
        <v>406</v>
      </c>
      <c r="N204" s="1005"/>
      <c r="O204" s="1006"/>
      <c r="P204" s="997"/>
      <c r="Q204" s="997"/>
      <c r="R204" s="100"/>
      <c r="S204" s="100"/>
      <c r="T204" s="100"/>
      <c r="U204" s="100"/>
      <c r="V204" s="100"/>
      <c r="W204" s="100"/>
      <c r="X204" s="100"/>
      <c r="Y204" s="100"/>
      <c r="Z204" s="100"/>
      <c r="AA204" s="25"/>
      <c r="AB204" s="25"/>
      <c r="AC204" s="25"/>
      <c r="AD204" s="25"/>
      <c r="AE204" s="25"/>
      <c r="AF204" s="25"/>
      <c r="AG204" s="25"/>
      <c r="AH204" s="25"/>
    </row>
    <row r="205" spans="1:34">
      <c r="A205" s="996"/>
      <c r="B205" s="997">
        <v>184</v>
      </c>
      <c r="C205" s="998" t="s">
        <v>303</v>
      </c>
      <c r="D205" s="997">
        <v>0</v>
      </c>
      <c r="E205" s="997">
        <v>6.4</v>
      </c>
      <c r="F205" s="999"/>
      <c r="G205" s="1000"/>
      <c r="H205" s="1001"/>
      <c r="I205" s="1002"/>
      <c r="J205" s="1003"/>
      <c r="K205" s="1003">
        <v>25</v>
      </c>
      <c r="L205" s="1001">
        <v>0</v>
      </c>
      <c r="M205" s="1004" t="s">
        <v>302</v>
      </c>
      <c r="N205" s="1005"/>
      <c r="O205" s="1006"/>
      <c r="P205" s="997"/>
      <c r="Q205" s="997"/>
      <c r="R205" s="100"/>
      <c r="S205" s="100"/>
      <c r="T205" s="100"/>
      <c r="U205" s="100"/>
      <c r="V205" s="100"/>
      <c r="W205" s="100"/>
      <c r="X205" s="100"/>
      <c r="Y205" s="100"/>
      <c r="Z205" s="100"/>
      <c r="AA205" s="25"/>
      <c r="AB205" s="25"/>
      <c r="AC205" s="25"/>
      <c r="AD205" s="25"/>
      <c r="AE205" s="25"/>
      <c r="AF205" s="25"/>
      <c r="AG205" s="25"/>
      <c r="AH205" s="25"/>
    </row>
    <row r="206" spans="1:34">
      <c r="A206" s="996"/>
      <c r="B206" s="997">
        <v>185</v>
      </c>
      <c r="C206" s="998" t="s">
        <v>453</v>
      </c>
      <c r="D206" s="997">
        <v>-1</v>
      </c>
      <c r="E206" s="997">
        <v>4.84</v>
      </c>
      <c r="F206" s="999"/>
      <c r="G206" s="1000"/>
      <c r="H206" s="1001"/>
      <c r="I206" s="1002"/>
      <c r="J206" s="1003"/>
      <c r="K206" s="1003">
        <v>25</v>
      </c>
      <c r="L206" s="1001">
        <v>0</v>
      </c>
      <c r="M206" s="1004" t="s">
        <v>450</v>
      </c>
      <c r="N206" s="1005"/>
      <c r="O206" s="1006"/>
      <c r="P206" s="997"/>
      <c r="Q206" s="997"/>
      <c r="R206" s="100"/>
      <c r="S206" s="100"/>
      <c r="T206" s="100"/>
      <c r="U206" s="100"/>
      <c r="V206" s="100"/>
      <c r="W206" s="100"/>
      <c r="X206" s="100"/>
      <c r="Y206" s="100"/>
      <c r="Z206" s="100"/>
      <c r="AA206" s="25"/>
      <c r="AB206" s="25"/>
      <c r="AC206" s="25"/>
      <c r="AD206" s="25"/>
      <c r="AE206" s="25"/>
      <c r="AF206" s="25"/>
      <c r="AG206" s="25"/>
      <c r="AH206" s="25"/>
    </row>
    <row r="207" spans="1:34">
      <c r="A207" s="996"/>
      <c r="B207" s="997">
        <v>186</v>
      </c>
      <c r="C207" s="998" t="s">
        <v>225</v>
      </c>
      <c r="D207" s="997">
        <v>-1</v>
      </c>
      <c r="E207" s="1008">
        <v>-10</v>
      </c>
      <c r="F207" s="1009"/>
      <c r="G207" s="1009"/>
      <c r="H207" s="1009"/>
      <c r="I207" s="1009"/>
      <c r="J207" s="1009"/>
      <c r="K207" s="1010">
        <v>25</v>
      </c>
      <c r="L207" s="1007">
        <v>0</v>
      </c>
      <c r="M207" s="1004" t="s">
        <v>226</v>
      </c>
      <c r="N207" s="1005"/>
      <c r="O207" s="1006"/>
      <c r="P207" s="997"/>
      <c r="Q207" s="997"/>
      <c r="R207" s="100"/>
      <c r="S207" s="100"/>
      <c r="T207" s="100"/>
      <c r="U207" s="100"/>
      <c r="V207" s="100"/>
      <c r="W207" s="100"/>
      <c r="X207" s="100"/>
      <c r="Y207" s="100"/>
      <c r="Z207" s="100"/>
      <c r="AA207" s="25"/>
      <c r="AB207" s="25"/>
      <c r="AC207" s="25"/>
      <c r="AD207" s="25"/>
      <c r="AE207" s="25"/>
      <c r="AF207" s="25"/>
      <c r="AG207" s="25"/>
      <c r="AH207" s="25"/>
    </row>
    <row r="208" spans="1:34">
      <c r="A208" s="996"/>
      <c r="B208" s="997">
        <v>187</v>
      </c>
      <c r="C208" s="998" t="s">
        <v>578</v>
      </c>
      <c r="D208" s="997">
        <v>-2</v>
      </c>
      <c r="E208" s="997">
        <v>1.55</v>
      </c>
      <c r="F208" s="999">
        <v>8.2799999999999994</v>
      </c>
      <c r="G208" s="1000"/>
      <c r="H208" s="1001"/>
      <c r="I208" s="1002"/>
      <c r="J208" s="1003"/>
      <c r="K208" s="1003"/>
      <c r="L208" s="1001"/>
      <c r="M208" s="1004" t="s">
        <v>361</v>
      </c>
      <c r="N208" s="1005"/>
      <c r="O208" s="1006"/>
      <c r="P208" s="997"/>
      <c r="Q208" s="997"/>
      <c r="R208" s="100"/>
      <c r="S208" s="100"/>
      <c r="T208" s="100"/>
      <c r="U208" s="100"/>
      <c r="V208" s="100"/>
      <c r="W208" s="100"/>
      <c r="X208" s="100"/>
      <c r="Y208" s="100"/>
      <c r="Z208" s="100"/>
      <c r="AA208" s="25"/>
      <c r="AB208" s="25"/>
      <c r="AC208" s="25"/>
      <c r="AD208" s="25"/>
      <c r="AE208" s="25"/>
      <c r="AF208" s="25"/>
      <c r="AG208" s="25"/>
      <c r="AH208" s="25"/>
    </row>
    <row r="209" spans="1:34">
      <c r="A209" s="996"/>
      <c r="B209" s="997">
        <v>188</v>
      </c>
      <c r="C209" s="998" t="s">
        <v>292</v>
      </c>
      <c r="D209" s="997">
        <v>0</v>
      </c>
      <c r="E209" s="997">
        <v>4.84</v>
      </c>
      <c r="F209" s="999"/>
      <c r="G209" s="1000"/>
      <c r="H209" s="1001"/>
      <c r="I209" s="1002"/>
      <c r="J209" s="1003"/>
      <c r="K209" s="1003">
        <v>25</v>
      </c>
      <c r="L209" s="1001">
        <v>0</v>
      </c>
      <c r="M209" s="1004" t="s">
        <v>291</v>
      </c>
      <c r="N209" s="1005">
        <v>180.3</v>
      </c>
      <c r="O209" s="1006"/>
      <c r="P209" s="997"/>
      <c r="Q209" s="997"/>
      <c r="R209" s="100"/>
      <c r="S209" s="100"/>
      <c r="T209" s="100"/>
      <c r="U209" s="100"/>
      <c r="V209" s="100"/>
      <c r="W209" s="100"/>
      <c r="X209" s="100"/>
      <c r="Y209" s="100"/>
      <c r="Z209" s="100"/>
      <c r="AA209" s="25"/>
      <c r="AB209" s="25"/>
      <c r="AC209" s="25"/>
      <c r="AD209" s="25"/>
      <c r="AE209" s="25"/>
      <c r="AF209" s="25"/>
      <c r="AG209" s="25"/>
      <c r="AH209" s="25"/>
    </row>
    <row r="210" spans="1:34">
      <c r="A210" s="996"/>
      <c r="B210" s="997">
        <v>189</v>
      </c>
      <c r="C210" s="998" t="s">
        <v>111</v>
      </c>
      <c r="D210" s="997">
        <v>0</v>
      </c>
      <c r="E210" s="997">
        <v>4.18</v>
      </c>
      <c r="F210" s="999"/>
      <c r="G210" s="1000"/>
      <c r="H210" s="1001"/>
      <c r="I210" s="1002"/>
      <c r="J210" s="1003"/>
      <c r="K210" s="1003">
        <v>25</v>
      </c>
      <c r="L210" s="1001">
        <v>0</v>
      </c>
      <c r="M210" s="1004" t="s">
        <v>109</v>
      </c>
      <c r="N210" s="1005"/>
      <c r="O210" s="1006"/>
      <c r="P210" s="997"/>
      <c r="Q210" s="997"/>
      <c r="R210" s="100"/>
      <c r="S210" s="100"/>
      <c r="T210" s="100"/>
      <c r="U210" s="100"/>
      <c r="V210" s="100"/>
      <c r="W210" s="100"/>
      <c r="X210" s="100"/>
      <c r="Y210" s="100"/>
      <c r="Z210" s="100"/>
      <c r="AA210" s="25"/>
      <c r="AB210" s="25"/>
      <c r="AC210" s="25"/>
      <c r="AD210" s="25"/>
      <c r="AE210" s="25"/>
      <c r="AF210" s="25"/>
      <c r="AG210" s="25"/>
      <c r="AH210" s="25"/>
    </row>
    <row r="211" spans="1:34">
      <c r="A211" s="996"/>
      <c r="B211" s="997">
        <v>190</v>
      </c>
      <c r="C211" s="998" t="s">
        <v>110</v>
      </c>
      <c r="D211" s="997">
        <v>0</v>
      </c>
      <c r="E211" s="997">
        <v>4.43</v>
      </c>
      <c r="F211" s="999"/>
      <c r="G211" s="1000"/>
      <c r="H211" s="1001"/>
      <c r="I211" s="1002"/>
      <c r="J211" s="1003"/>
      <c r="K211" s="1003">
        <v>28</v>
      </c>
      <c r="L211" s="1001">
        <v>0</v>
      </c>
      <c r="M211" s="1004" t="s">
        <v>109</v>
      </c>
      <c r="N211" s="1005"/>
      <c r="O211" s="1006"/>
      <c r="P211" s="997"/>
      <c r="Q211" s="997"/>
      <c r="R211" s="100"/>
      <c r="S211" s="100"/>
      <c r="T211" s="100"/>
      <c r="U211" s="100"/>
      <c r="V211" s="100"/>
      <c r="W211" s="100"/>
      <c r="X211" s="100"/>
      <c r="Y211" s="100"/>
      <c r="Z211" s="100"/>
      <c r="AA211" s="25"/>
      <c r="AB211" s="25"/>
      <c r="AC211" s="25"/>
      <c r="AD211" s="25"/>
      <c r="AE211" s="25"/>
      <c r="AF211" s="25"/>
      <c r="AG211" s="25"/>
      <c r="AH211" s="25"/>
    </row>
    <row r="212" spans="1:34">
      <c r="A212" s="996"/>
      <c r="B212" s="997">
        <v>191</v>
      </c>
      <c r="C212" s="998" t="s">
        <v>227</v>
      </c>
      <c r="D212" s="997">
        <v>-1</v>
      </c>
      <c r="E212" s="997">
        <v>9.98</v>
      </c>
      <c r="F212" s="999"/>
      <c r="G212" s="1000"/>
      <c r="H212" s="1001"/>
      <c r="I212" s="1002"/>
      <c r="J212" s="1003"/>
      <c r="K212" s="1003">
        <v>25</v>
      </c>
      <c r="L212" s="1001">
        <v>0</v>
      </c>
      <c r="M212" s="1004" t="s">
        <v>362</v>
      </c>
      <c r="N212" s="1005"/>
      <c r="O212" s="1006"/>
      <c r="P212" s="997"/>
      <c r="Q212" s="997"/>
      <c r="R212" s="100"/>
      <c r="S212" s="100"/>
      <c r="T212" s="100"/>
      <c r="U212" s="100"/>
      <c r="V212" s="100"/>
      <c r="W212" s="100"/>
      <c r="X212" s="100"/>
      <c r="Y212" s="100"/>
      <c r="Z212" s="100"/>
      <c r="AA212" s="25"/>
      <c r="AB212" s="25"/>
      <c r="AC212" s="25"/>
      <c r="AD212" s="25"/>
      <c r="AE212" s="25"/>
      <c r="AF212" s="25"/>
      <c r="AG212" s="25"/>
      <c r="AH212" s="25"/>
    </row>
    <row r="213" spans="1:34">
      <c r="A213" s="996"/>
      <c r="B213" s="997">
        <v>192</v>
      </c>
      <c r="C213" s="998" t="s">
        <v>101</v>
      </c>
      <c r="D213" s="997">
        <v>-1</v>
      </c>
      <c r="E213" s="997">
        <v>4.28</v>
      </c>
      <c r="F213" s="999"/>
      <c r="G213" s="1000"/>
      <c r="H213" s="1001"/>
      <c r="I213" s="1002"/>
      <c r="J213" s="1003"/>
      <c r="K213" s="1003">
        <v>18</v>
      </c>
      <c r="L213" s="1001">
        <v>0</v>
      </c>
      <c r="M213" s="1004" t="s">
        <v>100</v>
      </c>
      <c r="N213" s="1005"/>
      <c r="O213" s="1006"/>
      <c r="P213" s="997"/>
      <c r="Q213" s="997"/>
      <c r="R213" s="100"/>
      <c r="S213" s="100"/>
      <c r="T213" s="100"/>
      <c r="U213" s="100"/>
      <c r="V213" s="100"/>
      <c r="W213" s="100"/>
      <c r="X213" s="100"/>
      <c r="Y213" s="100"/>
      <c r="Z213" s="100"/>
      <c r="AA213" s="25"/>
      <c r="AB213" s="25"/>
      <c r="AC213" s="25"/>
      <c r="AD213" s="25"/>
      <c r="AE213" s="25"/>
      <c r="AF213" s="25"/>
      <c r="AG213" s="25"/>
      <c r="AH213" s="25"/>
    </row>
    <row r="214" spans="1:34">
      <c r="A214" s="996"/>
      <c r="B214" s="997">
        <v>193</v>
      </c>
      <c r="C214" s="998" t="s">
        <v>271</v>
      </c>
      <c r="D214" s="997">
        <v>-1</v>
      </c>
      <c r="E214" s="997">
        <v>2.2000000000000002</v>
      </c>
      <c r="F214" s="999">
        <v>9.31</v>
      </c>
      <c r="G214" s="1000"/>
      <c r="H214" s="1001"/>
      <c r="I214" s="1002"/>
      <c r="J214" s="1003"/>
      <c r="K214" s="1003">
        <v>25</v>
      </c>
      <c r="L214" s="1001">
        <v>0</v>
      </c>
      <c r="M214" s="1004" t="s">
        <v>270</v>
      </c>
      <c r="N214" s="1005"/>
      <c r="O214" s="1006"/>
      <c r="P214" s="997"/>
      <c r="Q214" s="997"/>
      <c r="R214" s="100"/>
      <c r="S214" s="100"/>
      <c r="T214" s="100"/>
      <c r="U214" s="100"/>
      <c r="V214" s="100"/>
      <c r="W214" s="100"/>
      <c r="X214" s="100"/>
      <c r="Y214" s="100"/>
      <c r="Z214" s="100"/>
      <c r="AA214" s="25"/>
      <c r="AB214" s="25"/>
      <c r="AC214" s="25"/>
      <c r="AD214" s="25"/>
      <c r="AE214" s="25"/>
      <c r="AF214" s="25"/>
      <c r="AG214" s="25"/>
      <c r="AH214" s="25"/>
    </row>
    <row r="215" spans="1:34">
      <c r="A215" s="996"/>
      <c r="B215" s="997">
        <v>194</v>
      </c>
      <c r="C215" s="998" t="s">
        <v>108</v>
      </c>
      <c r="D215" s="997">
        <v>0</v>
      </c>
      <c r="E215" s="997">
        <v>9.84</v>
      </c>
      <c r="F215" s="999"/>
      <c r="G215" s="1000"/>
      <c r="H215" s="1001"/>
      <c r="I215" s="1002"/>
      <c r="J215" s="1003"/>
      <c r="K215" s="1003">
        <v>25</v>
      </c>
      <c r="L215" s="1001">
        <v>0</v>
      </c>
      <c r="M215" s="1004" t="s">
        <v>107</v>
      </c>
      <c r="N215" s="1005"/>
      <c r="O215" s="1006"/>
      <c r="P215" s="997"/>
      <c r="Q215" s="997"/>
      <c r="R215" s="100"/>
      <c r="S215" s="100"/>
      <c r="T215" s="100"/>
      <c r="U215" s="100"/>
      <c r="V215" s="100"/>
      <c r="W215" s="100"/>
      <c r="X215" s="100"/>
      <c r="Y215" s="100"/>
      <c r="Z215" s="100"/>
      <c r="AA215" s="25"/>
      <c r="AB215" s="25"/>
      <c r="AC215" s="25"/>
      <c r="AD215" s="25"/>
      <c r="AE215" s="25"/>
      <c r="AF215" s="25"/>
      <c r="AG215" s="25"/>
      <c r="AH215" s="25"/>
    </row>
    <row r="216" spans="1:34">
      <c r="A216" s="996"/>
      <c r="B216" s="997">
        <v>195</v>
      </c>
      <c r="C216" s="998" t="s">
        <v>106</v>
      </c>
      <c r="D216" s="997">
        <v>-1</v>
      </c>
      <c r="E216" s="997">
        <v>1.83</v>
      </c>
      <c r="F216" s="999">
        <v>4.3899999999999997</v>
      </c>
      <c r="G216" s="1000"/>
      <c r="H216" s="1001"/>
      <c r="I216" s="1002"/>
      <c r="J216" s="1003"/>
      <c r="K216" s="1003">
        <v>25</v>
      </c>
      <c r="L216" s="1001">
        <v>0</v>
      </c>
      <c r="M216" s="1004" t="s">
        <v>105</v>
      </c>
      <c r="N216" s="1005"/>
      <c r="O216" s="1006"/>
      <c r="P216" s="997"/>
      <c r="Q216" s="997"/>
      <c r="R216" s="100"/>
      <c r="S216" s="100"/>
      <c r="T216" s="100"/>
      <c r="U216" s="100"/>
      <c r="V216" s="100"/>
      <c r="W216" s="100"/>
      <c r="X216" s="100"/>
      <c r="Y216" s="100"/>
      <c r="Z216" s="100"/>
      <c r="AA216" s="25"/>
      <c r="AB216" s="25"/>
      <c r="AC216" s="25"/>
      <c r="AD216" s="25"/>
      <c r="AE216" s="25"/>
      <c r="AF216" s="25"/>
      <c r="AG216" s="25"/>
      <c r="AH216" s="25"/>
    </row>
    <row r="217" spans="1:34">
      <c r="A217" s="996"/>
      <c r="B217" s="997">
        <v>196</v>
      </c>
      <c r="C217" s="998" t="s">
        <v>126</v>
      </c>
      <c r="D217" s="997">
        <v>-3</v>
      </c>
      <c r="E217" s="997">
        <v>2.1480000000000001</v>
      </c>
      <c r="F217" s="999">
        <v>7.1989999999999998</v>
      </c>
      <c r="G217" s="1000">
        <v>12.35</v>
      </c>
      <c r="H217" s="1001"/>
      <c r="I217" s="1002"/>
      <c r="J217" s="1003"/>
      <c r="K217" s="1003">
        <v>25</v>
      </c>
      <c r="L217" s="1001">
        <v>0</v>
      </c>
      <c r="M217" s="1004" t="s">
        <v>147</v>
      </c>
      <c r="N217" s="1005"/>
      <c r="O217" s="1006"/>
      <c r="P217" s="997"/>
      <c r="Q217" s="997"/>
      <c r="R217" s="100"/>
      <c r="S217" s="100"/>
      <c r="T217" s="100"/>
      <c r="U217" s="100"/>
      <c r="V217" s="100"/>
      <c r="W217" s="100"/>
      <c r="X217" s="100"/>
      <c r="Y217" s="100"/>
      <c r="Z217" s="100"/>
      <c r="AA217" s="25"/>
      <c r="AB217" s="25"/>
      <c r="AC217" s="25"/>
      <c r="AD217" s="25"/>
      <c r="AE217" s="25"/>
      <c r="AF217" s="25"/>
      <c r="AG217" s="25"/>
      <c r="AH217" s="25"/>
    </row>
    <row r="218" spans="1:34">
      <c r="A218" s="996"/>
      <c r="B218" s="997">
        <v>197</v>
      </c>
      <c r="C218" s="998" t="s">
        <v>95</v>
      </c>
      <c r="D218" s="997">
        <v>-2</v>
      </c>
      <c r="E218" s="997">
        <v>3.54</v>
      </c>
      <c r="F218" s="999">
        <v>4.5999999999999996</v>
      </c>
      <c r="G218" s="1000"/>
      <c r="H218" s="1001"/>
      <c r="I218" s="1002"/>
      <c r="J218" s="1003"/>
      <c r="K218" s="1003">
        <v>25</v>
      </c>
      <c r="L218" s="1001">
        <v>0</v>
      </c>
      <c r="M218" s="1004" t="s">
        <v>94</v>
      </c>
      <c r="N218" s="1005">
        <v>166.14</v>
      </c>
      <c r="O218" s="1006"/>
      <c r="P218" s="997"/>
      <c r="Q218" s="997"/>
      <c r="R218" s="100"/>
      <c r="S218" s="100"/>
      <c r="T218" s="100"/>
      <c r="U218" s="100"/>
      <c r="V218" s="100"/>
      <c r="W218" s="100"/>
      <c r="X218" s="100"/>
      <c r="Y218" s="100"/>
      <c r="Z218" s="100"/>
      <c r="AA218" s="25"/>
      <c r="AB218" s="25"/>
      <c r="AC218" s="25"/>
      <c r="AD218" s="25"/>
      <c r="AE218" s="25"/>
      <c r="AF218" s="25"/>
      <c r="AG218" s="25"/>
      <c r="AH218" s="25"/>
    </row>
    <row r="219" spans="1:34">
      <c r="A219" s="996"/>
      <c r="B219" s="997">
        <v>198</v>
      </c>
      <c r="C219" s="998" t="s">
        <v>228</v>
      </c>
      <c r="D219" s="997">
        <v>-2</v>
      </c>
      <c r="E219" s="997">
        <v>2.95</v>
      </c>
      <c r="F219" s="999">
        <v>5.4080000000000004</v>
      </c>
      <c r="G219" s="1000"/>
      <c r="H219" s="1001"/>
      <c r="I219" s="1002"/>
      <c r="J219" s="1003"/>
      <c r="K219" s="1003">
        <v>25</v>
      </c>
      <c r="L219" s="1001">
        <v>0</v>
      </c>
      <c r="M219" s="1004" t="s">
        <v>94</v>
      </c>
      <c r="N219" s="1005">
        <v>166.14</v>
      </c>
      <c r="O219" s="1006"/>
      <c r="P219" s="997"/>
      <c r="Q219" s="997"/>
      <c r="R219" s="100"/>
      <c r="S219" s="100"/>
      <c r="T219" s="100"/>
      <c r="U219" s="100"/>
      <c r="V219" s="100"/>
      <c r="W219" s="100"/>
      <c r="X219" s="100"/>
      <c r="Y219" s="100"/>
      <c r="Z219" s="100"/>
      <c r="AA219" s="25"/>
      <c r="AB219" s="25"/>
      <c r="AC219" s="25"/>
      <c r="AD219" s="25"/>
      <c r="AE219" s="25"/>
      <c r="AF219" s="25"/>
      <c r="AG219" s="25"/>
      <c r="AH219" s="25"/>
    </row>
    <row r="220" spans="1:34">
      <c r="A220" s="996"/>
      <c r="B220" s="997">
        <v>199</v>
      </c>
      <c r="C220" s="998" t="s">
        <v>96</v>
      </c>
      <c r="D220" s="997">
        <v>-2</v>
      </c>
      <c r="E220" s="997">
        <v>3.51</v>
      </c>
      <c r="F220" s="999">
        <v>4.82</v>
      </c>
      <c r="G220" s="1000"/>
      <c r="H220" s="1001"/>
      <c r="I220" s="1002"/>
      <c r="J220" s="1003"/>
      <c r="K220" s="1003">
        <v>25</v>
      </c>
      <c r="L220" s="1001">
        <v>0</v>
      </c>
      <c r="M220" s="1004" t="s">
        <v>94</v>
      </c>
      <c r="N220" s="1005"/>
      <c r="O220" s="1006"/>
      <c r="P220" s="997"/>
      <c r="Q220" s="997"/>
      <c r="R220" s="100"/>
      <c r="S220" s="100"/>
      <c r="T220" s="100"/>
      <c r="U220" s="100"/>
      <c r="V220" s="100"/>
      <c r="W220" s="100"/>
      <c r="X220" s="100"/>
      <c r="Y220" s="100"/>
      <c r="Z220" s="100"/>
      <c r="AA220" s="25"/>
      <c r="AB220" s="25"/>
      <c r="AC220" s="25"/>
      <c r="AD220" s="25"/>
      <c r="AE220" s="25"/>
      <c r="AF220" s="25"/>
      <c r="AG220" s="25"/>
      <c r="AH220" s="25"/>
    </row>
    <row r="221" spans="1:34">
      <c r="A221" s="996"/>
      <c r="B221" s="997">
        <v>200</v>
      </c>
      <c r="C221" s="998" t="s">
        <v>473</v>
      </c>
      <c r="D221" s="997">
        <v>-2</v>
      </c>
      <c r="E221" s="997">
        <v>1.07</v>
      </c>
      <c r="F221" s="999">
        <v>5.25</v>
      </c>
      <c r="G221" s="1000"/>
      <c r="H221" s="1001"/>
      <c r="I221" s="1002"/>
      <c r="J221" s="1003"/>
      <c r="K221" s="1003">
        <v>25</v>
      </c>
      <c r="L221" s="1001">
        <v>0</v>
      </c>
      <c r="M221" s="1004" t="s">
        <v>472</v>
      </c>
      <c r="N221" s="1005"/>
      <c r="O221" s="1006"/>
      <c r="P221" s="997"/>
      <c r="Q221" s="997"/>
      <c r="R221" s="100"/>
      <c r="S221" s="100"/>
      <c r="T221" s="100"/>
      <c r="U221" s="100"/>
      <c r="V221" s="100"/>
      <c r="W221" s="100"/>
      <c r="X221" s="100"/>
      <c r="Y221" s="100"/>
      <c r="Z221" s="100"/>
      <c r="AA221" s="25"/>
      <c r="AB221" s="25"/>
      <c r="AC221" s="25"/>
      <c r="AD221" s="25"/>
      <c r="AE221" s="25"/>
      <c r="AF221" s="25"/>
      <c r="AG221" s="25"/>
      <c r="AH221" s="25"/>
    </row>
    <row r="222" spans="1:34">
      <c r="A222" s="996"/>
      <c r="B222" s="997">
        <v>201</v>
      </c>
      <c r="C222" s="998" t="s">
        <v>465</v>
      </c>
      <c r="D222" s="997">
        <v>-1</v>
      </c>
      <c r="E222" s="997">
        <v>0.38</v>
      </c>
      <c r="F222" s="999"/>
      <c r="G222" s="1000"/>
      <c r="H222" s="1001"/>
      <c r="I222" s="1002"/>
      <c r="J222" s="1003"/>
      <c r="K222" s="1003"/>
      <c r="L222" s="1001"/>
      <c r="M222" s="1004" t="s">
        <v>464</v>
      </c>
      <c r="N222" s="1005"/>
      <c r="O222" s="1006"/>
      <c r="P222" s="997"/>
      <c r="Q222" s="997"/>
      <c r="R222" s="100"/>
      <c r="S222" s="100"/>
      <c r="T222" s="100"/>
      <c r="U222" s="100"/>
      <c r="V222" s="100"/>
      <c r="W222" s="100"/>
      <c r="X222" s="100"/>
      <c r="Y222" s="100"/>
      <c r="Z222" s="100"/>
      <c r="AA222" s="25"/>
      <c r="AB222" s="25"/>
      <c r="AC222" s="25"/>
      <c r="AD222" s="25"/>
      <c r="AE222" s="25"/>
      <c r="AF222" s="25"/>
      <c r="AG222" s="25"/>
      <c r="AH222" s="25"/>
    </row>
    <row r="223" spans="1:34">
      <c r="A223" s="996"/>
      <c r="B223" s="997">
        <v>202</v>
      </c>
      <c r="C223" s="998" t="s">
        <v>290</v>
      </c>
      <c r="D223" s="997">
        <v>0</v>
      </c>
      <c r="E223" s="997">
        <v>6.87</v>
      </c>
      <c r="F223" s="999"/>
      <c r="G223" s="1000"/>
      <c r="H223" s="1001"/>
      <c r="I223" s="1002"/>
      <c r="J223" s="1003"/>
      <c r="K223" s="1003">
        <v>30</v>
      </c>
      <c r="L223" s="1001">
        <v>0</v>
      </c>
      <c r="M223" s="1004" t="s">
        <v>289</v>
      </c>
      <c r="N223" s="1005">
        <v>208.25899999999999</v>
      </c>
      <c r="O223" s="1006"/>
      <c r="P223" s="997"/>
      <c r="Q223" s="997"/>
      <c r="R223" s="100"/>
      <c r="S223" s="100"/>
      <c r="T223" s="100"/>
      <c r="U223" s="100"/>
      <c r="V223" s="100"/>
      <c r="W223" s="100"/>
      <c r="X223" s="100"/>
      <c r="Y223" s="100"/>
      <c r="Z223" s="100"/>
      <c r="AA223" s="25"/>
      <c r="AB223" s="25"/>
      <c r="AC223" s="25"/>
      <c r="AD223" s="25"/>
      <c r="AE223" s="25"/>
      <c r="AF223" s="25"/>
      <c r="AG223" s="25"/>
      <c r="AH223" s="25"/>
    </row>
    <row r="224" spans="1:34">
      <c r="A224" s="996"/>
      <c r="B224" s="997">
        <v>203</v>
      </c>
      <c r="C224" s="998" t="s">
        <v>431</v>
      </c>
      <c r="D224" s="997">
        <v>0</v>
      </c>
      <c r="E224" s="999">
        <v>5.56</v>
      </c>
      <c r="F224" s="997">
        <v>9.83</v>
      </c>
      <c r="G224" s="1001"/>
      <c r="H224" s="1001"/>
      <c r="I224" s="1002"/>
      <c r="J224" s="1003"/>
      <c r="K224" s="1003">
        <v>23</v>
      </c>
      <c r="L224" s="1001">
        <v>0</v>
      </c>
      <c r="M224" s="1004" t="s">
        <v>430</v>
      </c>
      <c r="N224" s="1005"/>
      <c r="O224" s="1006"/>
      <c r="P224" s="997"/>
      <c r="Q224" s="997"/>
      <c r="R224" s="100"/>
      <c r="S224" s="100"/>
      <c r="T224" s="100"/>
      <c r="U224" s="100"/>
      <c r="V224" s="100"/>
      <c r="W224" s="100"/>
      <c r="X224" s="100"/>
      <c r="Y224" s="100"/>
      <c r="Z224" s="100"/>
      <c r="AA224" s="25"/>
      <c r="AB224" s="25"/>
      <c r="AC224" s="25"/>
      <c r="AD224" s="25"/>
      <c r="AE224" s="25"/>
      <c r="AF224" s="25"/>
      <c r="AG224" s="25"/>
      <c r="AH224" s="25"/>
    </row>
    <row r="225" spans="1:34">
      <c r="A225" s="996"/>
      <c r="B225" s="997">
        <v>204</v>
      </c>
      <c r="C225" s="998" t="s">
        <v>229</v>
      </c>
      <c r="D225" s="997">
        <v>0</v>
      </c>
      <c r="E225" s="999">
        <v>7.53</v>
      </c>
      <c r="F225" s="997">
        <v>11.122999999999999</v>
      </c>
      <c r="G225" s="1001"/>
      <c r="H225" s="1001"/>
      <c r="I225" s="1002"/>
      <c r="J225" s="1003"/>
      <c r="K225" s="1003">
        <v>25</v>
      </c>
      <c r="L225" s="1001">
        <v>0</v>
      </c>
      <c r="M225" s="1004" t="s">
        <v>230</v>
      </c>
      <c r="N225" s="1005">
        <v>85.15</v>
      </c>
      <c r="O225" s="1006"/>
      <c r="P225" s="997"/>
      <c r="Q225" s="997"/>
      <c r="R225" s="100"/>
      <c r="S225" s="100"/>
      <c r="T225" s="100"/>
      <c r="U225" s="100"/>
      <c r="V225" s="100"/>
      <c r="W225" s="100"/>
      <c r="X225" s="100"/>
      <c r="Y225" s="100"/>
      <c r="Z225" s="100"/>
      <c r="AA225" s="25"/>
      <c r="AB225" s="25"/>
      <c r="AC225" s="25"/>
      <c r="AD225" s="25"/>
      <c r="AE225" s="25"/>
      <c r="AF225" s="25"/>
      <c r="AG225" s="25"/>
      <c r="AH225" s="25"/>
    </row>
    <row r="226" spans="1:34">
      <c r="A226" s="996"/>
      <c r="B226" s="997">
        <v>205</v>
      </c>
      <c r="C226" s="998" t="s">
        <v>112</v>
      </c>
      <c r="D226" s="997">
        <v>0</v>
      </c>
      <c r="E226" s="997">
        <v>5.2</v>
      </c>
      <c r="F226" s="999"/>
      <c r="G226" s="1000"/>
      <c r="H226" s="1001"/>
      <c r="I226" s="1002"/>
      <c r="J226" s="1003"/>
      <c r="K226" s="1003">
        <v>28</v>
      </c>
      <c r="L226" s="1001">
        <v>0</v>
      </c>
      <c r="M226" s="1004" t="s">
        <v>109</v>
      </c>
      <c r="N226" s="1005"/>
      <c r="O226" s="1006"/>
      <c r="P226" s="997"/>
      <c r="Q226" s="997"/>
      <c r="R226" s="100"/>
      <c r="S226" s="100"/>
      <c r="T226" s="100"/>
      <c r="U226" s="100"/>
      <c r="V226" s="100"/>
      <c r="W226" s="100"/>
      <c r="X226" s="100"/>
      <c r="Y226" s="100"/>
      <c r="Z226" s="100"/>
      <c r="AA226" s="25"/>
      <c r="AB226" s="25"/>
      <c r="AC226" s="25"/>
      <c r="AD226" s="25"/>
      <c r="AE226" s="25"/>
      <c r="AF226" s="25"/>
      <c r="AG226" s="25"/>
      <c r="AH226" s="25"/>
    </row>
    <row r="227" spans="1:34">
      <c r="A227" s="996"/>
      <c r="B227" s="997">
        <v>206</v>
      </c>
      <c r="C227" s="998" t="s">
        <v>231</v>
      </c>
      <c r="D227" s="997">
        <v>-1</v>
      </c>
      <c r="E227" s="997">
        <v>1.952</v>
      </c>
      <c r="F227" s="999">
        <v>10.64</v>
      </c>
      <c r="G227" s="1000"/>
      <c r="H227" s="1001"/>
      <c r="I227" s="1002"/>
      <c r="J227" s="1003"/>
      <c r="K227" s="1003">
        <v>25</v>
      </c>
      <c r="L227" s="1001">
        <v>0</v>
      </c>
      <c r="M227" s="1004" t="s">
        <v>232</v>
      </c>
      <c r="N227" s="1005">
        <v>115.13</v>
      </c>
      <c r="O227" s="1006"/>
      <c r="P227" s="997"/>
      <c r="Q227" s="997"/>
      <c r="R227" s="100"/>
      <c r="S227" s="100"/>
      <c r="T227" s="100"/>
      <c r="U227" s="100"/>
      <c r="V227" s="100"/>
      <c r="W227" s="100"/>
      <c r="X227" s="100"/>
      <c r="Y227" s="100"/>
      <c r="Z227" s="100"/>
      <c r="AA227" s="25"/>
      <c r="AB227" s="25"/>
      <c r="AC227" s="25"/>
      <c r="AD227" s="25"/>
      <c r="AE227" s="25"/>
      <c r="AF227" s="25"/>
      <c r="AG227" s="25"/>
      <c r="AH227" s="25"/>
    </row>
    <row r="228" spans="1:34">
      <c r="A228" s="996"/>
      <c r="B228" s="997">
        <v>207</v>
      </c>
      <c r="C228" s="998" t="s">
        <v>233</v>
      </c>
      <c r="D228" s="997">
        <v>-1</v>
      </c>
      <c r="E228" s="997">
        <v>4.8739999999999997</v>
      </c>
      <c r="F228" s="999"/>
      <c r="G228" s="1000"/>
      <c r="H228" s="1001"/>
      <c r="I228" s="1002"/>
      <c r="J228" s="1003"/>
      <c r="K228" s="1003">
        <v>25</v>
      </c>
      <c r="L228" s="1001">
        <v>0</v>
      </c>
      <c r="M228" s="1004" t="s">
        <v>234</v>
      </c>
      <c r="N228" s="1005"/>
      <c r="O228" s="1006"/>
      <c r="P228" s="997"/>
      <c r="Q228" s="997"/>
      <c r="R228" s="100"/>
      <c r="S228" s="100"/>
      <c r="T228" s="100"/>
      <c r="U228" s="100"/>
      <c r="V228" s="100"/>
      <c r="W228" s="100"/>
      <c r="X228" s="100"/>
      <c r="Y228" s="100"/>
      <c r="Z228" s="100"/>
      <c r="AA228" s="25"/>
      <c r="AB228" s="25"/>
      <c r="AC228" s="25"/>
      <c r="AD228" s="25"/>
      <c r="AE228" s="25"/>
      <c r="AF228" s="25"/>
      <c r="AG228" s="25"/>
      <c r="AH228" s="25"/>
    </row>
    <row r="229" spans="1:34">
      <c r="A229" s="996"/>
      <c r="B229" s="997">
        <v>208</v>
      </c>
      <c r="C229" s="998" t="s">
        <v>235</v>
      </c>
      <c r="D229" s="997">
        <v>0</v>
      </c>
      <c r="E229" s="997">
        <v>10.566000000000001</v>
      </c>
      <c r="F229" s="999"/>
      <c r="G229" s="1000"/>
      <c r="H229" s="1001"/>
      <c r="I229" s="1002"/>
      <c r="J229" s="1003"/>
      <c r="K229" s="1003">
        <v>25</v>
      </c>
      <c r="L229" s="1001">
        <v>0</v>
      </c>
      <c r="M229" s="1004" t="s">
        <v>236</v>
      </c>
      <c r="N229" s="1005"/>
      <c r="O229" s="1006"/>
      <c r="P229" s="997"/>
      <c r="Q229" s="997"/>
      <c r="R229" s="100"/>
      <c r="S229" s="100"/>
      <c r="T229" s="100"/>
      <c r="U229" s="100"/>
      <c r="V229" s="100"/>
      <c r="W229" s="100"/>
      <c r="X229" s="100"/>
      <c r="Y229" s="100"/>
      <c r="Z229" s="100"/>
      <c r="AA229" s="25"/>
      <c r="AB229" s="25"/>
      <c r="AC229" s="25"/>
      <c r="AD229" s="25"/>
      <c r="AE229" s="25"/>
      <c r="AF229" s="25"/>
      <c r="AG229" s="25"/>
      <c r="AH229" s="25"/>
    </row>
    <row r="230" spans="1:34">
      <c r="A230" s="996"/>
      <c r="B230" s="997">
        <v>209</v>
      </c>
      <c r="C230" s="998" t="s">
        <v>439</v>
      </c>
      <c r="D230" s="997">
        <v>0</v>
      </c>
      <c r="E230" s="997">
        <v>2.2999999999999998</v>
      </c>
      <c r="F230" s="999">
        <v>8.9600000000000009</v>
      </c>
      <c r="G230" s="1000"/>
      <c r="H230" s="1001"/>
      <c r="I230" s="1002"/>
      <c r="J230" s="1003"/>
      <c r="K230" s="1003">
        <v>20</v>
      </c>
      <c r="L230" s="1001">
        <v>0</v>
      </c>
      <c r="M230" s="1004" t="s">
        <v>438</v>
      </c>
      <c r="N230" s="1005">
        <v>120.11</v>
      </c>
      <c r="O230" s="1006"/>
      <c r="P230" s="997"/>
      <c r="Q230" s="997"/>
      <c r="R230" s="100"/>
      <c r="S230" s="100"/>
      <c r="T230" s="100"/>
      <c r="U230" s="100"/>
      <c r="V230" s="100"/>
      <c r="W230" s="100"/>
      <c r="X230" s="100"/>
      <c r="Y230" s="100"/>
      <c r="Z230" s="100"/>
      <c r="AA230" s="25"/>
      <c r="AB230" s="25"/>
      <c r="AC230" s="25"/>
      <c r="AD230" s="25"/>
      <c r="AE230" s="25"/>
      <c r="AF230" s="25"/>
      <c r="AG230" s="25"/>
      <c r="AH230" s="25"/>
    </row>
    <row r="231" spans="1:34">
      <c r="A231" s="996"/>
      <c r="B231" s="997">
        <v>210</v>
      </c>
      <c r="C231" s="998" t="s">
        <v>237</v>
      </c>
      <c r="D231" s="997">
        <v>0</v>
      </c>
      <c r="E231" s="997">
        <v>5.2290000000000001</v>
      </c>
      <c r="F231" s="999"/>
      <c r="G231" s="1000"/>
      <c r="H231" s="1001"/>
      <c r="I231" s="1002"/>
      <c r="J231" s="1003"/>
      <c r="K231" s="1003">
        <v>25</v>
      </c>
      <c r="L231" s="1001">
        <v>0</v>
      </c>
      <c r="M231" s="1004" t="s">
        <v>238</v>
      </c>
      <c r="N231" s="1005">
        <v>79.099999999999994</v>
      </c>
      <c r="O231" s="1006"/>
      <c r="P231" s="997"/>
      <c r="Q231" s="997"/>
      <c r="R231" s="100"/>
      <c r="S231" s="100"/>
      <c r="T231" s="100"/>
      <c r="U231" s="100"/>
      <c r="V231" s="100"/>
      <c r="W231" s="100"/>
      <c r="X231" s="100"/>
      <c r="Y231" s="100"/>
      <c r="Z231" s="100"/>
      <c r="AA231" s="25"/>
      <c r="AB231" s="25"/>
      <c r="AC231" s="25"/>
      <c r="AD231" s="25"/>
      <c r="AE231" s="25"/>
      <c r="AF231" s="25"/>
      <c r="AG231" s="25"/>
      <c r="AH231" s="25"/>
    </row>
    <row r="232" spans="1:34">
      <c r="A232" s="996"/>
      <c r="B232" s="997">
        <v>211</v>
      </c>
      <c r="C232" s="998" t="s">
        <v>474</v>
      </c>
      <c r="D232" s="997">
        <v>-1</v>
      </c>
      <c r="E232" s="997">
        <v>4.8499999999999996</v>
      </c>
      <c r="F232" s="999"/>
      <c r="G232" s="1000"/>
      <c r="H232" s="1001"/>
      <c r="I232" s="1002"/>
      <c r="J232" s="1003"/>
      <c r="K232" s="1003">
        <v>25</v>
      </c>
      <c r="L232" s="1001">
        <v>0</v>
      </c>
      <c r="M232" s="1004" t="s">
        <v>472</v>
      </c>
      <c r="N232" s="1005"/>
      <c r="O232" s="1006"/>
      <c r="P232" s="997"/>
      <c r="Q232" s="997"/>
      <c r="R232" s="100"/>
      <c r="S232" s="100"/>
      <c r="T232" s="100"/>
      <c r="U232" s="100"/>
      <c r="V232" s="100"/>
      <c r="W232" s="100"/>
      <c r="X232" s="100"/>
      <c r="Y232" s="100"/>
      <c r="Z232" s="100"/>
      <c r="AA232" s="25"/>
      <c r="AB232" s="25"/>
      <c r="AC232" s="25"/>
      <c r="AD232" s="25"/>
      <c r="AE232" s="25"/>
      <c r="AF232" s="25"/>
      <c r="AG232" s="25"/>
      <c r="AH232" s="25"/>
    </row>
    <row r="233" spans="1:34">
      <c r="A233" s="996"/>
      <c r="B233" s="997">
        <v>212</v>
      </c>
      <c r="C233" s="998" t="s">
        <v>475</v>
      </c>
      <c r="D233" s="997">
        <v>-1</v>
      </c>
      <c r="E233" s="997">
        <v>4.96</v>
      </c>
      <c r="F233" s="999"/>
      <c r="G233" s="1000"/>
      <c r="H233" s="1001"/>
      <c r="I233" s="1002"/>
      <c r="J233" s="1003"/>
      <c r="K233" s="1003">
        <v>25</v>
      </c>
      <c r="L233" s="1001">
        <v>0</v>
      </c>
      <c r="M233" s="1004" t="s">
        <v>472</v>
      </c>
      <c r="N233" s="1005"/>
      <c r="O233" s="1006"/>
      <c r="P233" s="997"/>
      <c r="Q233" s="997"/>
      <c r="R233" s="100"/>
      <c r="S233" s="100"/>
      <c r="T233" s="100"/>
      <c r="U233" s="100"/>
      <c r="V233" s="100"/>
      <c r="W233" s="100"/>
      <c r="X233" s="100"/>
      <c r="Y233" s="100"/>
      <c r="Z233" s="100"/>
      <c r="AA233" s="25"/>
      <c r="AB233" s="25"/>
      <c r="AC233" s="25"/>
      <c r="AD233" s="25"/>
      <c r="AE233" s="25"/>
      <c r="AF233" s="25"/>
      <c r="AG233" s="25"/>
      <c r="AH233" s="25"/>
    </row>
    <row r="234" spans="1:34">
      <c r="A234" s="996"/>
      <c r="B234" s="997">
        <v>213</v>
      </c>
      <c r="C234" s="998" t="s">
        <v>239</v>
      </c>
      <c r="D234" s="997">
        <v>0</v>
      </c>
      <c r="E234" s="997">
        <v>6.35</v>
      </c>
      <c r="F234" s="999"/>
      <c r="G234" s="1000"/>
      <c r="H234" s="1001"/>
      <c r="I234" s="1002"/>
      <c r="J234" s="1003"/>
      <c r="K234" s="1003">
        <v>20</v>
      </c>
      <c r="L234" s="1001">
        <v>0</v>
      </c>
      <c r="M234" s="1004" t="s">
        <v>285</v>
      </c>
      <c r="N234" s="1005"/>
      <c r="O234" s="1006"/>
      <c r="P234" s="997"/>
      <c r="Q234" s="997"/>
      <c r="R234" s="100"/>
      <c r="S234" s="100"/>
      <c r="T234" s="100"/>
      <c r="U234" s="100"/>
      <c r="V234" s="100"/>
      <c r="W234" s="100"/>
      <c r="X234" s="100"/>
      <c r="Y234" s="100"/>
      <c r="Z234" s="100"/>
      <c r="AA234" s="25"/>
      <c r="AB234" s="25"/>
      <c r="AC234" s="25"/>
      <c r="AD234" s="25"/>
      <c r="AE234" s="25"/>
      <c r="AF234" s="25"/>
      <c r="AG234" s="25"/>
      <c r="AH234" s="25"/>
    </row>
    <row r="235" spans="1:34">
      <c r="A235" s="996"/>
      <c r="B235" s="997">
        <v>214</v>
      </c>
      <c r="C235" s="998" t="s">
        <v>488</v>
      </c>
      <c r="D235" s="997">
        <v>-2</v>
      </c>
      <c r="E235" s="997">
        <v>9.4</v>
      </c>
      <c r="F235" s="999">
        <v>12.8</v>
      </c>
      <c r="G235" s="1000"/>
      <c r="H235" s="1001"/>
      <c r="I235" s="1002"/>
      <c r="J235" s="1003"/>
      <c r="K235" s="1003">
        <v>20</v>
      </c>
      <c r="L235" s="1001">
        <v>0</v>
      </c>
      <c r="M235" s="1004" t="s">
        <v>486</v>
      </c>
      <c r="N235" s="1005">
        <v>110.1</v>
      </c>
      <c r="O235" s="1006"/>
      <c r="P235" s="997"/>
      <c r="Q235" s="997"/>
      <c r="R235" s="100"/>
      <c r="S235" s="100"/>
      <c r="T235" s="100"/>
      <c r="U235" s="100"/>
      <c r="V235" s="100"/>
      <c r="W235" s="100"/>
      <c r="X235" s="100"/>
      <c r="Y235" s="100"/>
      <c r="Z235" s="100"/>
      <c r="AA235" s="25"/>
      <c r="AB235" s="25"/>
      <c r="AC235" s="25"/>
      <c r="AD235" s="25"/>
      <c r="AE235" s="25"/>
      <c r="AF235" s="25"/>
      <c r="AG235" s="25"/>
      <c r="AH235" s="25"/>
    </row>
    <row r="236" spans="1:34">
      <c r="A236" s="996"/>
      <c r="B236" s="997">
        <v>215</v>
      </c>
      <c r="C236" s="998" t="s">
        <v>363</v>
      </c>
      <c r="D236" s="997">
        <v>-4</v>
      </c>
      <c r="E236" s="997">
        <v>1.52</v>
      </c>
      <c r="F236" s="999">
        <v>2.36</v>
      </c>
      <c r="G236" s="1000">
        <v>6.6</v>
      </c>
      <c r="H236" s="1001">
        <v>9.25</v>
      </c>
      <c r="I236" s="1002"/>
      <c r="J236" s="1003"/>
      <c r="K236" s="1003"/>
      <c r="L236" s="1001"/>
      <c r="M236" s="1004" t="s">
        <v>364</v>
      </c>
      <c r="N236" s="1005">
        <v>177.98</v>
      </c>
      <c r="O236" s="1006"/>
      <c r="P236" s="997"/>
      <c r="Q236" s="997"/>
      <c r="R236" s="100"/>
      <c r="S236" s="100"/>
      <c r="T236" s="100"/>
      <c r="U236" s="100"/>
      <c r="V236" s="100"/>
      <c r="W236" s="100"/>
      <c r="X236" s="100"/>
      <c r="Y236" s="100"/>
      <c r="Z236" s="100"/>
      <c r="AA236" s="25"/>
      <c r="AB236" s="25"/>
      <c r="AC236" s="25"/>
      <c r="AD236" s="25"/>
      <c r="AE236" s="25"/>
      <c r="AF236" s="25"/>
      <c r="AG236" s="25"/>
      <c r="AH236" s="25"/>
    </row>
    <row r="237" spans="1:34">
      <c r="A237" s="996"/>
      <c r="B237" s="997">
        <v>216</v>
      </c>
      <c r="C237" s="998" t="s">
        <v>425</v>
      </c>
      <c r="D237" s="997">
        <v>0</v>
      </c>
      <c r="E237" s="997">
        <v>11.27</v>
      </c>
      <c r="F237" s="999"/>
      <c r="G237" s="1000"/>
      <c r="H237" s="1001"/>
      <c r="I237" s="1002"/>
      <c r="J237" s="1003"/>
      <c r="K237" s="1003">
        <v>25</v>
      </c>
      <c r="L237" s="1001">
        <v>0</v>
      </c>
      <c r="M237" s="1004" t="s">
        <v>424</v>
      </c>
      <c r="N237" s="1005"/>
      <c r="O237" s="1006"/>
      <c r="P237" s="997"/>
      <c r="Q237" s="997"/>
      <c r="R237" s="100"/>
      <c r="S237" s="100"/>
      <c r="T237" s="100"/>
      <c r="U237" s="100"/>
      <c r="V237" s="100"/>
      <c r="W237" s="100"/>
      <c r="X237" s="100"/>
      <c r="Y237" s="100"/>
      <c r="Z237" s="100"/>
      <c r="AA237" s="25"/>
      <c r="AB237" s="25"/>
      <c r="AC237" s="25"/>
      <c r="AD237" s="25"/>
      <c r="AE237" s="25"/>
      <c r="AF237" s="25"/>
      <c r="AG237" s="25"/>
      <c r="AH237" s="25"/>
    </row>
    <row r="238" spans="1:34">
      <c r="A238" s="996"/>
      <c r="B238" s="997">
        <v>217</v>
      </c>
      <c r="C238" s="998" t="s">
        <v>390</v>
      </c>
      <c r="D238" s="997">
        <v>-1</v>
      </c>
      <c r="E238" s="997">
        <v>2.39</v>
      </c>
      <c r="F238" s="999"/>
      <c r="G238" s="1000"/>
      <c r="H238" s="1001"/>
      <c r="I238" s="1002"/>
      <c r="J238" s="1003"/>
      <c r="K238" s="1003">
        <v>25</v>
      </c>
      <c r="L238" s="1001">
        <v>0</v>
      </c>
      <c r="M238" s="1004" t="s">
        <v>389</v>
      </c>
      <c r="N238" s="1005">
        <v>88.06</v>
      </c>
      <c r="O238" s="1006"/>
      <c r="P238" s="997"/>
      <c r="Q238" s="997"/>
      <c r="R238" s="100"/>
      <c r="S238" s="100"/>
      <c r="T238" s="100"/>
      <c r="U238" s="100"/>
      <c r="V238" s="100"/>
      <c r="W238" s="100"/>
      <c r="X238" s="100"/>
      <c r="Y238" s="100"/>
      <c r="Z238" s="100"/>
      <c r="AA238" s="25"/>
      <c r="AB238" s="25"/>
      <c r="AC238" s="25"/>
      <c r="AD238" s="25"/>
      <c r="AE238" s="25"/>
      <c r="AF238" s="25"/>
      <c r="AG238" s="25"/>
      <c r="AH238" s="25"/>
    </row>
    <row r="239" spans="1:34">
      <c r="A239" s="996"/>
      <c r="B239" s="997">
        <v>218</v>
      </c>
      <c r="C239" s="998" t="s">
        <v>305</v>
      </c>
      <c r="D239" s="997">
        <v>0</v>
      </c>
      <c r="E239" s="999">
        <v>4.13</v>
      </c>
      <c r="F239" s="997">
        <v>8.52</v>
      </c>
      <c r="G239" s="1001"/>
      <c r="H239" s="1001"/>
      <c r="I239" s="1002"/>
      <c r="J239" s="1003"/>
      <c r="K239" s="1003">
        <v>25</v>
      </c>
      <c r="L239" s="1001">
        <v>0</v>
      </c>
      <c r="M239" s="1004" t="s">
        <v>304</v>
      </c>
      <c r="N239" s="1005">
        <v>324.42</v>
      </c>
      <c r="O239" s="1006"/>
      <c r="P239" s="997"/>
      <c r="Q239" s="997"/>
      <c r="R239" s="100"/>
      <c r="S239" s="100"/>
      <c r="T239" s="100"/>
      <c r="U239" s="100"/>
      <c r="V239" s="100"/>
      <c r="W239" s="100"/>
      <c r="X239" s="100"/>
      <c r="Y239" s="100"/>
      <c r="Z239" s="100"/>
      <c r="AA239" s="25"/>
      <c r="AB239" s="25"/>
      <c r="AC239" s="25"/>
      <c r="AD239" s="25"/>
      <c r="AE239" s="25"/>
      <c r="AF239" s="25"/>
      <c r="AG239" s="25"/>
      <c r="AH239" s="25"/>
    </row>
    <row r="240" spans="1:34">
      <c r="A240" s="996"/>
      <c r="B240" s="997">
        <v>219</v>
      </c>
      <c r="C240" s="998" t="s">
        <v>124</v>
      </c>
      <c r="D240" s="997">
        <v>0</v>
      </c>
      <c r="E240" s="997">
        <v>4.9000000000000004</v>
      </c>
      <c r="F240" s="999"/>
      <c r="G240" s="1000"/>
      <c r="H240" s="1001"/>
      <c r="I240" s="1002"/>
      <c r="J240" s="1003"/>
      <c r="K240" s="1003">
        <v>20</v>
      </c>
      <c r="L240" s="1001">
        <v>0</v>
      </c>
      <c r="M240" s="1004" t="s">
        <v>123</v>
      </c>
      <c r="N240" s="1005">
        <v>129.16</v>
      </c>
      <c r="O240" s="1006"/>
      <c r="P240" s="997"/>
      <c r="Q240" s="997"/>
      <c r="R240" s="100"/>
      <c r="S240" s="100"/>
      <c r="T240" s="100"/>
      <c r="U240" s="100"/>
      <c r="V240" s="100"/>
      <c r="W240" s="100"/>
      <c r="X240" s="100"/>
      <c r="Y240" s="100"/>
      <c r="Z240" s="100"/>
      <c r="AA240" s="25"/>
      <c r="AB240" s="25"/>
      <c r="AC240" s="25"/>
      <c r="AD240" s="25"/>
      <c r="AE240" s="25"/>
      <c r="AF240" s="25"/>
      <c r="AG240" s="25"/>
      <c r="AH240" s="25"/>
    </row>
    <row r="241" spans="1:34">
      <c r="A241" s="996"/>
      <c r="B241" s="997">
        <v>220</v>
      </c>
      <c r="C241" s="998" t="s">
        <v>240</v>
      </c>
      <c r="D241" s="997">
        <v>-2</v>
      </c>
      <c r="E241" s="997">
        <v>9.3000000000000007</v>
      </c>
      <c r="F241" s="999">
        <v>11.06</v>
      </c>
      <c r="G241" s="1000"/>
      <c r="H241" s="1001"/>
      <c r="I241" s="1002"/>
      <c r="J241" s="1003"/>
      <c r="K241" s="1003">
        <v>25</v>
      </c>
      <c r="L241" s="1001">
        <v>0</v>
      </c>
      <c r="M241" s="1004" t="s">
        <v>486</v>
      </c>
      <c r="N241" s="1005">
        <v>110.1</v>
      </c>
      <c r="O241" s="1006"/>
      <c r="P241" s="997"/>
      <c r="Q241" s="997"/>
      <c r="R241" s="100"/>
      <c r="S241" s="100"/>
      <c r="T241" s="100"/>
      <c r="U241" s="100"/>
      <c r="V241" s="100"/>
      <c r="W241" s="100"/>
      <c r="X241" s="100"/>
      <c r="Y241" s="100"/>
      <c r="Z241" s="100"/>
      <c r="AA241" s="25"/>
      <c r="AB241" s="25"/>
      <c r="AC241" s="25"/>
      <c r="AD241" s="25"/>
      <c r="AE241" s="25"/>
      <c r="AF241" s="25"/>
      <c r="AG241" s="25"/>
      <c r="AH241" s="25"/>
    </row>
    <row r="242" spans="1:34">
      <c r="A242" s="996"/>
      <c r="B242" s="997">
        <v>221</v>
      </c>
      <c r="C242" s="998" t="s">
        <v>69</v>
      </c>
      <c r="D242" s="997">
        <v>-1</v>
      </c>
      <c r="E242" s="997">
        <v>11.68</v>
      </c>
      <c r="F242" s="999"/>
      <c r="G242" s="1000"/>
      <c r="H242" s="1001"/>
      <c r="I242" s="1002"/>
      <c r="J242" s="1003"/>
      <c r="K242" s="1003">
        <v>18</v>
      </c>
      <c r="L242" s="1001">
        <v>0</v>
      </c>
      <c r="M242" s="1004" t="s">
        <v>68</v>
      </c>
      <c r="N242" s="1005"/>
      <c r="O242" s="1006"/>
      <c r="P242" s="997"/>
      <c r="Q242" s="997"/>
      <c r="R242" s="100"/>
      <c r="S242" s="100"/>
      <c r="T242" s="100"/>
      <c r="U242" s="100"/>
      <c r="V242" s="100"/>
      <c r="W242" s="100"/>
      <c r="X242" s="100"/>
      <c r="Y242" s="100"/>
      <c r="Z242" s="100"/>
      <c r="AA242" s="25"/>
      <c r="AB242" s="25"/>
      <c r="AC242" s="25"/>
      <c r="AD242" s="25"/>
      <c r="AE242" s="25"/>
      <c r="AF242" s="25"/>
      <c r="AG242" s="25"/>
      <c r="AH242" s="25"/>
    </row>
    <row r="243" spans="1:34">
      <c r="A243" s="996"/>
      <c r="B243" s="997">
        <v>222</v>
      </c>
      <c r="C243" s="998" t="s">
        <v>241</v>
      </c>
      <c r="D243" s="997">
        <v>-2</v>
      </c>
      <c r="E243" s="997">
        <v>2.97</v>
      </c>
      <c r="F243" s="999">
        <v>13.74</v>
      </c>
      <c r="G243" s="1000"/>
      <c r="H243" s="1001"/>
      <c r="I243" s="1002"/>
      <c r="J243" s="1003"/>
      <c r="K243" s="1003">
        <v>25</v>
      </c>
      <c r="L243" s="1001">
        <v>0</v>
      </c>
      <c r="M243" s="1004" t="s">
        <v>76</v>
      </c>
      <c r="N243" s="1005">
        <v>138.12</v>
      </c>
      <c r="O243" s="1006"/>
      <c r="P243" s="997"/>
      <c r="Q243" s="997"/>
      <c r="R243" s="100"/>
      <c r="S243" s="100"/>
      <c r="T243" s="100"/>
      <c r="U243" s="100"/>
      <c r="V243" s="100"/>
      <c r="W243" s="100"/>
      <c r="X243" s="100"/>
      <c r="Y243" s="100"/>
      <c r="Z243" s="100"/>
      <c r="AA243" s="25"/>
      <c r="AB243" s="25"/>
      <c r="AC243" s="25"/>
      <c r="AD243" s="25"/>
      <c r="AE243" s="25"/>
      <c r="AF243" s="25"/>
      <c r="AG243" s="25"/>
      <c r="AH243" s="25"/>
    </row>
    <row r="244" spans="1:34">
      <c r="A244" s="996"/>
      <c r="B244" s="997">
        <v>223</v>
      </c>
      <c r="C244" s="998" t="s">
        <v>242</v>
      </c>
      <c r="D244" s="997">
        <v>-1</v>
      </c>
      <c r="E244" s="997">
        <v>1.92</v>
      </c>
      <c r="F244" s="999"/>
      <c r="G244" s="1000"/>
      <c r="H244" s="1001"/>
      <c r="I244" s="1002"/>
      <c r="J244" s="1003"/>
      <c r="K244" s="1003">
        <v>25</v>
      </c>
      <c r="L244" s="1001">
        <v>0</v>
      </c>
      <c r="M244" s="1004" t="s">
        <v>243</v>
      </c>
      <c r="N244" s="1005"/>
      <c r="O244" s="1006"/>
      <c r="P244" s="997"/>
      <c r="Q244" s="997"/>
      <c r="R244" s="100"/>
      <c r="S244" s="100"/>
      <c r="T244" s="100"/>
      <c r="U244" s="100"/>
      <c r="V244" s="100"/>
      <c r="W244" s="100"/>
      <c r="X244" s="100"/>
      <c r="Y244" s="100"/>
      <c r="Z244" s="100"/>
      <c r="AA244" s="25"/>
      <c r="AB244" s="25"/>
      <c r="AC244" s="25"/>
      <c r="AD244" s="25"/>
      <c r="AE244" s="25"/>
      <c r="AF244" s="25"/>
      <c r="AG244" s="25"/>
      <c r="AH244" s="25"/>
    </row>
    <row r="245" spans="1:34">
      <c r="A245" s="996"/>
      <c r="B245" s="997">
        <v>224</v>
      </c>
      <c r="C245" s="998" t="s">
        <v>244</v>
      </c>
      <c r="D245" s="997">
        <v>-2</v>
      </c>
      <c r="E245" s="997">
        <v>2.64</v>
      </c>
      <c r="F245" s="999">
        <v>8.2799999999999994</v>
      </c>
      <c r="G245" s="1000"/>
      <c r="H245" s="1001"/>
      <c r="I245" s="1002"/>
      <c r="J245" s="1003"/>
      <c r="K245" s="1003"/>
      <c r="L245" s="1001">
        <v>0</v>
      </c>
      <c r="M245" s="1004" t="s">
        <v>365</v>
      </c>
      <c r="N245" s="1005"/>
      <c r="O245" s="1006"/>
      <c r="P245" s="997"/>
      <c r="Q245" s="997"/>
      <c r="R245" s="100"/>
      <c r="S245" s="100"/>
      <c r="T245" s="100"/>
      <c r="U245" s="100"/>
      <c r="V245" s="100"/>
      <c r="W245" s="100"/>
      <c r="X245" s="100"/>
      <c r="Y245" s="100"/>
      <c r="Z245" s="100"/>
      <c r="AA245" s="25"/>
      <c r="AB245" s="25"/>
      <c r="AC245" s="25"/>
      <c r="AD245" s="25"/>
      <c r="AE245" s="25"/>
      <c r="AF245" s="25"/>
      <c r="AG245" s="25"/>
      <c r="AH245" s="25"/>
    </row>
    <row r="246" spans="1:34">
      <c r="A246" s="996"/>
      <c r="B246" s="997">
        <v>225</v>
      </c>
      <c r="C246" s="998" t="s">
        <v>399</v>
      </c>
      <c r="D246" s="997">
        <v>-1</v>
      </c>
      <c r="E246" s="997">
        <v>2.19</v>
      </c>
      <c r="F246" s="999">
        <v>9.0500000000000007</v>
      </c>
      <c r="G246" s="1000"/>
      <c r="H246" s="1001"/>
      <c r="I246" s="1002"/>
      <c r="J246" s="1003"/>
      <c r="K246" s="1003">
        <v>25</v>
      </c>
      <c r="L246" s="1001">
        <v>0</v>
      </c>
      <c r="M246" s="1004" t="s">
        <v>245</v>
      </c>
      <c r="N246" s="1005">
        <v>105.09</v>
      </c>
      <c r="O246" s="1006"/>
      <c r="P246" s="997"/>
      <c r="Q246" s="997"/>
      <c r="R246" s="100"/>
      <c r="S246" s="100"/>
      <c r="T246" s="100"/>
      <c r="U246" s="100"/>
      <c r="V246" s="100"/>
      <c r="W246" s="100"/>
      <c r="X246" s="100"/>
      <c r="Y246" s="100"/>
      <c r="Z246" s="100"/>
      <c r="AA246" s="25"/>
      <c r="AB246" s="25"/>
      <c r="AC246" s="25"/>
      <c r="AD246" s="25"/>
      <c r="AE246" s="25"/>
      <c r="AF246" s="25"/>
      <c r="AG246" s="25"/>
      <c r="AH246" s="25"/>
    </row>
    <row r="247" spans="1:34">
      <c r="A247" s="996"/>
      <c r="B247" s="997">
        <v>226</v>
      </c>
      <c r="C247" s="998" t="s">
        <v>246</v>
      </c>
      <c r="D247" s="997">
        <v>-2</v>
      </c>
      <c r="E247" s="997">
        <v>9.66</v>
      </c>
      <c r="F247" s="999">
        <v>11.7</v>
      </c>
      <c r="G247" s="1000"/>
      <c r="H247" s="1001"/>
      <c r="I247" s="1002"/>
      <c r="J247" s="1003"/>
      <c r="K247" s="1003"/>
      <c r="L247" s="1001"/>
      <c r="M247" s="1004" t="s">
        <v>247</v>
      </c>
      <c r="N247" s="1005"/>
      <c r="O247" s="1006"/>
      <c r="P247" s="997"/>
      <c r="Q247" s="997"/>
      <c r="R247" s="100"/>
      <c r="S247" s="100"/>
      <c r="T247" s="100"/>
      <c r="U247" s="100"/>
      <c r="V247" s="100"/>
      <c r="W247" s="100"/>
      <c r="X247" s="100"/>
      <c r="Y247" s="100"/>
      <c r="Z247" s="100"/>
      <c r="AA247" s="25"/>
      <c r="AB247" s="25"/>
      <c r="AC247" s="25"/>
      <c r="AD247" s="25"/>
      <c r="AE247" s="25"/>
      <c r="AF247" s="25"/>
      <c r="AG247" s="25"/>
      <c r="AH247" s="25"/>
    </row>
    <row r="248" spans="1:34">
      <c r="A248" s="996"/>
      <c r="B248" s="997">
        <v>227</v>
      </c>
      <c r="C248" s="998" t="s">
        <v>248</v>
      </c>
      <c r="D248" s="997">
        <v>-2</v>
      </c>
      <c r="E248" s="997">
        <v>9.6999999999999993</v>
      </c>
      <c r="F248" s="999">
        <v>12</v>
      </c>
      <c r="G248" s="1000"/>
      <c r="H248" s="1001"/>
      <c r="I248" s="1002"/>
      <c r="J248" s="1003"/>
      <c r="K248" s="1003"/>
      <c r="L248" s="1001"/>
      <c r="M248" s="1004" t="s">
        <v>249</v>
      </c>
      <c r="N248" s="1005"/>
      <c r="O248" s="1006"/>
      <c r="P248" s="997"/>
      <c r="Q248" s="997"/>
      <c r="R248" s="100"/>
      <c r="S248" s="100"/>
      <c r="T248" s="100"/>
      <c r="U248" s="100"/>
      <c r="V248" s="100"/>
      <c r="W248" s="100"/>
      <c r="X248" s="100"/>
      <c r="Y248" s="100"/>
      <c r="Z248" s="100"/>
      <c r="AA248" s="25"/>
      <c r="AB248" s="25"/>
      <c r="AC248" s="25"/>
      <c r="AD248" s="25"/>
      <c r="AE248" s="25"/>
      <c r="AF248" s="25"/>
      <c r="AG248" s="25"/>
      <c r="AH248" s="25"/>
    </row>
    <row r="249" spans="1:34">
      <c r="A249" s="996"/>
      <c r="B249" s="997">
        <v>228</v>
      </c>
      <c r="C249" s="998" t="s">
        <v>307</v>
      </c>
      <c r="D249" s="997">
        <v>0</v>
      </c>
      <c r="E249" s="997">
        <v>8.26</v>
      </c>
      <c r="F249" s="999"/>
      <c r="G249" s="1000"/>
      <c r="H249" s="1001"/>
      <c r="I249" s="1002"/>
      <c r="J249" s="1003"/>
      <c r="K249" s="1003">
        <v>25</v>
      </c>
      <c r="L249" s="1001">
        <v>0</v>
      </c>
      <c r="M249" s="1004" t="s">
        <v>306</v>
      </c>
      <c r="N249" s="1005">
        <v>334.41</v>
      </c>
      <c r="O249" s="1006"/>
      <c r="P249" s="997"/>
      <c r="Q249" s="997"/>
      <c r="R249" s="100"/>
      <c r="S249" s="100"/>
      <c r="T249" s="100"/>
      <c r="U249" s="100"/>
      <c r="V249" s="100"/>
      <c r="W249" s="100"/>
      <c r="X249" s="100"/>
      <c r="Y249" s="100"/>
      <c r="Z249" s="100"/>
      <c r="AA249" s="25"/>
      <c r="AB249" s="25"/>
      <c r="AC249" s="25"/>
      <c r="AD249" s="25"/>
      <c r="AE249" s="25"/>
      <c r="AF249" s="25"/>
      <c r="AG249" s="25"/>
      <c r="AH249" s="25"/>
    </row>
    <row r="250" spans="1:34" ht="11.25" customHeight="1">
      <c r="A250" s="996"/>
      <c r="B250" s="997">
        <v>229</v>
      </c>
      <c r="C250" s="998" t="s">
        <v>250</v>
      </c>
      <c r="D250" s="997">
        <v>-2</v>
      </c>
      <c r="E250" s="997">
        <v>4.2069999999999999</v>
      </c>
      <c r="F250" s="999">
        <v>5.6360000000000001</v>
      </c>
      <c r="G250" s="1000"/>
      <c r="H250" s="1001"/>
      <c r="I250" s="1002"/>
      <c r="J250" s="1003"/>
      <c r="K250" s="1003"/>
      <c r="L250" s="1001"/>
      <c r="M250" s="1004" t="s">
        <v>251</v>
      </c>
      <c r="N250" s="1005">
        <v>118.09</v>
      </c>
      <c r="O250" s="1006"/>
      <c r="P250" s="997"/>
      <c r="Q250" s="997"/>
      <c r="R250" s="100"/>
      <c r="S250" s="100"/>
      <c r="T250" s="100"/>
      <c r="U250" s="100"/>
      <c r="V250" s="100"/>
      <c r="W250" s="100"/>
      <c r="X250" s="100"/>
      <c r="Y250" s="100"/>
      <c r="Z250" s="100"/>
      <c r="AA250" s="25"/>
      <c r="AB250" s="25"/>
      <c r="AC250" s="25"/>
      <c r="AD250" s="25"/>
      <c r="AE250" s="25"/>
      <c r="AF250" s="25"/>
      <c r="AG250" s="25"/>
      <c r="AH250" s="25"/>
    </row>
    <row r="251" spans="1:34">
      <c r="A251" s="996"/>
      <c r="B251" s="997">
        <v>230</v>
      </c>
      <c r="C251" s="998" t="s">
        <v>252</v>
      </c>
      <c r="D251" s="997">
        <v>-2</v>
      </c>
      <c r="E251" s="1007">
        <v>-3</v>
      </c>
      <c r="F251" s="999">
        <v>1.99</v>
      </c>
      <c r="G251" s="1000"/>
      <c r="H251" s="1001"/>
      <c r="I251" s="1002"/>
      <c r="J251" s="1003"/>
      <c r="K251" s="1003">
        <v>25</v>
      </c>
      <c r="L251" s="1001">
        <v>0</v>
      </c>
      <c r="M251" s="1004" t="s">
        <v>366</v>
      </c>
      <c r="N251" s="1005">
        <v>98.08</v>
      </c>
      <c r="O251" s="1006"/>
      <c r="P251" s="997"/>
      <c r="Q251" s="997"/>
      <c r="R251" s="100"/>
      <c r="S251" s="100"/>
      <c r="T251" s="100"/>
      <c r="U251" s="100"/>
      <c r="V251" s="100"/>
      <c r="W251" s="100"/>
      <c r="X251" s="100"/>
      <c r="Y251" s="100"/>
      <c r="Z251" s="100"/>
      <c r="AA251" s="25"/>
      <c r="AB251" s="25"/>
      <c r="AC251" s="25"/>
      <c r="AD251" s="25"/>
      <c r="AE251" s="25"/>
      <c r="AF251" s="25"/>
      <c r="AG251" s="25"/>
      <c r="AH251" s="25"/>
    </row>
    <row r="252" spans="1:34">
      <c r="A252" s="996"/>
      <c r="B252" s="997">
        <v>231</v>
      </c>
      <c r="C252" s="998" t="s">
        <v>127</v>
      </c>
      <c r="D252" s="997">
        <v>-2</v>
      </c>
      <c r="E252" s="997">
        <v>1.91</v>
      </c>
      <c r="F252" s="999">
        <v>7.18</v>
      </c>
      <c r="G252" s="1000"/>
      <c r="H252" s="1001"/>
      <c r="I252" s="1002"/>
      <c r="J252" s="1003"/>
      <c r="K252" s="1003">
        <v>25</v>
      </c>
      <c r="L252" s="1001">
        <v>0</v>
      </c>
      <c r="M252" s="1004" t="s">
        <v>253</v>
      </c>
      <c r="N252" s="1005">
        <v>82.07</v>
      </c>
      <c r="O252" s="1006"/>
      <c r="P252" s="997"/>
      <c r="Q252" s="997"/>
      <c r="R252" s="100"/>
      <c r="S252" s="100"/>
      <c r="T252" s="100"/>
      <c r="U252" s="100"/>
      <c r="V252" s="100"/>
      <c r="W252" s="100"/>
      <c r="X252" s="100"/>
      <c r="Y252" s="100"/>
      <c r="Z252" s="100"/>
      <c r="AA252" s="25"/>
      <c r="AB252" s="25"/>
      <c r="AC252" s="25"/>
      <c r="AD252" s="25"/>
      <c r="AE252" s="25"/>
      <c r="AF252" s="25"/>
      <c r="AG252" s="25"/>
      <c r="AH252" s="25"/>
    </row>
    <row r="253" spans="1:34">
      <c r="A253" s="996"/>
      <c r="B253" s="997">
        <v>232</v>
      </c>
      <c r="C253" s="998" t="s">
        <v>254</v>
      </c>
      <c r="D253" s="997">
        <v>-2</v>
      </c>
      <c r="E253" s="997">
        <v>3.036</v>
      </c>
      <c r="F253" s="999">
        <v>4.3659999999999997</v>
      </c>
      <c r="G253" s="1000"/>
      <c r="H253" s="1001"/>
      <c r="I253" s="1002"/>
      <c r="J253" s="1003"/>
      <c r="K253" s="1003">
        <v>25</v>
      </c>
      <c r="L253" s="1001">
        <v>0</v>
      </c>
      <c r="M253" s="1004" t="s">
        <v>415</v>
      </c>
      <c r="N253" s="1005">
        <v>150.09</v>
      </c>
      <c r="O253" s="1006"/>
      <c r="P253" s="997"/>
      <c r="Q253" s="997"/>
      <c r="R253" s="100"/>
      <c r="S253" s="100"/>
      <c r="T253" s="100"/>
      <c r="U253" s="100"/>
      <c r="V253" s="100"/>
      <c r="W253" s="100"/>
      <c r="X253" s="100"/>
      <c r="Y253" s="100"/>
      <c r="Z253" s="100"/>
      <c r="AA253" s="25"/>
      <c r="AB253" s="25"/>
      <c r="AC253" s="25"/>
      <c r="AD253" s="25"/>
      <c r="AE253" s="25"/>
      <c r="AF253" s="25"/>
      <c r="AG253" s="25"/>
      <c r="AH253" s="25"/>
    </row>
    <row r="254" spans="1:34">
      <c r="A254" s="996"/>
      <c r="B254" s="997">
        <v>233</v>
      </c>
      <c r="C254" s="998" t="s">
        <v>416</v>
      </c>
      <c r="D254" s="997">
        <v>-2</v>
      </c>
      <c r="E254" s="997">
        <v>3.22</v>
      </c>
      <c r="F254" s="999">
        <v>4.82</v>
      </c>
      <c r="G254" s="1000"/>
      <c r="H254" s="1001"/>
      <c r="I254" s="1002"/>
      <c r="J254" s="1003"/>
      <c r="K254" s="1003">
        <v>25</v>
      </c>
      <c r="L254" s="1001">
        <v>0</v>
      </c>
      <c r="M254" s="1004" t="s">
        <v>415</v>
      </c>
      <c r="N254" s="1005">
        <v>150.09</v>
      </c>
      <c r="O254" s="1006"/>
      <c r="P254" s="997"/>
      <c r="Q254" s="997"/>
      <c r="R254" s="100"/>
      <c r="S254" s="100"/>
      <c r="T254" s="100"/>
      <c r="U254" s="100"/>
      <c r="V254" s="100"/>
      <c r="W254" s="100"/>
      <c r="X254" s="100"/>
      <c r="Y254" s="100"/>
      <c r="Z254" s="100"/>
      <c r="AA254" s="25"/>
      <c r="AB254" s="25"/>
      <c r="AC254" s="25"/>
      <c r="AD254" s="25"/>
      <c r="AE254" s="25"/>
      <c r="AF254" s="25"/>
      <c r="AG254" s="25"/>
      <c r="AH254" s="25"/>
    </row>
    <row r="255" spans="1:34">
      <c r="A255" s="996"/>
      <c r="B255" s="997">
        <v>234</v>
      </c>
      <c r="C255" s="998" t="s">
        <v>97</v>
      </c>
      <c r="D255" s="997">
        <v>-1</v>
      </c>
      <c r="E255" s="997">
        <v>3.51</v>
      </c>
      <c r="F255" s="999"/>
      <c r="G255" s="1000"/>
      <c r="H255" s="1001"/>
      <c r="I255" s="1002"/>
      <c r="J255" s="1003"/>
      <c r="K255" s="1003">
        <v>25</v>
      </c>
      <c r="L255" s="1001">
        <v>0</v>
      </c>
      <c r="M255" s="1004" t="s">
        <v>94</v>
      </c>
      <c r="N255" s="1005"/>
      <c r="O255" s="1006"/>
      <c r="P255" s="997"/>
      <c r="Q255" s="997"/>
      <c r="R255" s="100"/>
      <c r="S255" s="100"/>
      <c r="T255" s="100"/>
      <c r="U255" s="100"/>
      <c r="V255" s="100"/>
      <c r="W255" s="100"/>
      <c r="X255" s="100"/>
      <c r="Y255" s="100"/>
      <c r="Z255" s="100"/>
      <c r="AA255" s="25"/>
      <c r="AB255" s="25"/>
      <c r="AC255" s="25"/>
      <c r="AD255" s="25"/>
      <c r="AE255" s="25"/>
      <c r="AF255" s="25"/>
      <c r="AG255" s="25"/>
      <c r="AH255" s="25"/>
    </row>
    <row r="256" spans="1:34">
      <c r="A256" s="996"/>
      <c r="B256" s="997">
        <v>235</v>
      </c>
      <c r="C256" s="998" t="s">
        <v>385</v>
      </c>
      <c r="D256" s="997">
        <v>0</v>
      </c>
      <c r="E256" s="997">
        <v>2.44</v>
      </c>
      <c r="F256" s="999"/>
      <c r="G256" s="1000"/>
      <c r="H256" s="1001"/>
      <c r="I256" s="1002"/>
      <c r="J256" s="1003"/>
      <c r="K256" s="1003">
        <v>20</v>
      </c>
      <c r="L256" s="1001">
        <v>0</v>
      </c>
      <c r="M256" s="1004" t="s">
        <v>384</v>
      </c>
      <c r="N256" s="1005"/>
      <c r="O256" s="1006"/>
      <c r="P256" s="997"/>
      <c r="Q256" s="997"/>
      <c r="R256" s="100"/>
      <c r="S256" s="100"/>
      <c r="T256" s="100"/>
      <c r="U256" s="100"/>
      <c r="V256" s="100"/>
      <c r="W256" s="100"/>
      <c r="X256" s="100"/>
      <c r="Y256" s="100"/>
      <c r="Z256" s="100"/>
      <c r="AA256" s="25"/>
      <c r="AB256" s="25"/>
      <c r="AC256" s="25"/>
      <c r="AD256" s="25"/>
      <c r="AE256" s="25"/>
      <c r="AF256" s="25"/>
      <c r="AG256" s="25"/>
      <c r="AH256" s="25"/>
    </row>
    <row r="257" spans="1:34">
      <c r="A257" s="996"/>
      <c r="B257" s="997">
        <v>236</v>
      </c>
      <c r="C257" s="998" t="s">
        <v>377</v>
      </c>
      <c r="D257" s="997">
        <v>-1</v>
      </c>
      <c r="E257" s="997">
        <v>3.33</v>
      </c>
      <c r="F257" s="999"/>
      <c r="G257" s="1000"/>
      <c r="H257" s="1001"/>
      <c r="I257" s="1002"/>
      <c r="J257" s="1003"/>
      <c r="K257" s="1003">
        <v>25</v>
      </c>
      <c r="L257" s="1001">
        <v>0</v>
      </c>
      <c r="M257" s="1004" t="s">
        <v>376</v>
      </c>
      <c r="N257" s="1005"/>
      <c r="O257" s="1006"/>
      <c r="P257" s="997"/>
      <c r="Q257" s="997"/>
      <c r="R257" s="100"/>
      <c r="S257" s="100"/>
      <c r="T257" s="100"/>
      <c r="U257" s="100"/>
      <c r="V257" s="100"/>
      <c r="W257" s="100"/>
      <c r="X257" s="100"/>
      <c r="Y257" s="100"/>
      <c r="Z257" s="100"/>
      <c r="AA257" s="25"/>
      <c r="AB257" s="25"/>
      <c r="AC257" s="25"/>
      <c r="AD257" s="25"/>
      <c r="AE257" s="25"/>
      <c r="AF257" s="25"/>
      <c r="AG257" s="25"/>
      <c r="AH257" s="25"/>
    </row>
    <row r="258" spans="1:34">
      <c r="A258" s="996"/>
      <c r="B258" s="997">
        <v>237</v>
      </c>
      <c r="C258" s="998" t="s">
        <v>255</v>
      </c>
      <c r="D258" s="997">
        <v>-2</v>
      </c>
      <c r="E258" s="997">
        <v>0.6</v>
      </c>
      <c r="F258" s="999">
        <v>1.63</v>
      </c>
      <c r="G258" s="1000"/>
      <c r="H258" s="1001"/>
      <c r="I258" s="1002"/>
      <c r="J258" s="1003"/>
      <c r="K258" s="1003">
        <v>25</v>
      </c>
      <c r="L258" s="1001">
        <v>0</v>
      </c>
      <c r="M258" s="1004" t="s">
        <v>256</v>
      </c>
      <c r="N258" s="1005"/>
      <c r="O258" s="1006"/>
      <c r="P258" s="997"/>
      <c r="Q258" s="997"/>
      <c r="R258" s="100"/>
      <c r="S258" s="100"/>
      <c r="T258" s="100"/>
      <c r="U258" s="100"/>
      <c r="V258" s="100"/>
      <c r="W258" s="100"/>
      <c r="X258" s="100"/>
      <c r="Y258" s="100"/>
      <c r="Z258" s="100"/>
      <c r="AA258" s="25"/>
      <c r="AB258" s="25"/>
      <c r="AC258" s="25"/>
      <c r="AD258" s="25"/>
      <c r="AE258" s="25"/>
      <c r="AF258" s="25"/>
      <c r="AG258" s="25"/>
      <c r="AH258" s="25"/>
    </row>
    <row r="259" spans="1:34">
      <c r="A259" s="996"/>
      <c r="B259" s="997">
        <v>238</v>
      </c>
      <c r="C259" s="998" t="s">
        <v>257</v>
      </c>
      <c r="D259" s="997">
        <v>-1</v>
      </c>
      <c r="E259" s="997">
        <v>2.0880000000000001</v>
      </c>
      <c r="F259" s="999">
        <v>9.1</v>
      </c>
      <c r="G259" s="1000"/>
      <c r="H259" s="1001"/>
      <c r="I259" s="1002"/>
      <c r="J259" s="1003"/>
      <c r="K259" s="1003">
        <v>25</v>
      </c>
      <c r="L259" s="1001">
        <v>0</v>
      </c>
      <c r="M259" s="1004" t="s">
        <v>258</v>
      </c>
      <c r="N259" s="1005">
        <v>119.12</v>
      </c>
      <c r="O259" s="1006"/>
      <c r="P259" s="997"/>
      <c r="Q259" s="997"/>
      <c r="R259" s="100"/>
      <c r="S259" s="100"/>
      <c r="T259" s="100"/>
      <c r="U259" s="100"/>
      <c r="V259" s="100"/>
      <c r="W259" s="100"/>
      <c r="X259" s="100"/>
      <c r="Y259" s="100"/>
      <c r="Z259" s="100"/>
      <c r="AA259" s="25"/>
      <c r="AB259" s="25"/>
      <c r="AC259" s="25"/>
      <c r="AD259" s="25"/>
      <c r="AE259" s="25"/>
      <c r="AF259" s="25"/>
      <c r="AG259" s="25"/>
      <c r="AH259" s="25"/>
    </row>
    <row r="260" spans="1:34">
      <c r="A260" s="996"/>
      <c r="B260" s="997">
        <v>239</v>
      </c>
      <c r="C260" s="998" t="s">
        <v>103</v>
      </c>
      <c r="D260" s="997">
        <v>-1</v>
      </c>
      <c r="E260" s="997">
        <v>4.2699999999999996</v>
      </c>
      <c r="F260" s="999"/>
      <c r="G260" s="1000"/>
      <c r="H260" s="1001"/>
      <c r="I260" s="1002"/>
      <c r="J260" s="1003"/>
      <c r="K260" s="1003">
        <v>25</v>
      </c>
      <c r="L260" s="1001">
        <v>0</v>
      </c>
      <c r="M260" s="1004" t="s">
        <v>100</v>
      </c>
      <c r="N260" s="1005"/>
      <c r="O260" s="1006"/>
      <c r="P260" s="997"/>
      <c r="Q260" s="997"/>
      <c r="R260" s="100"/>
      <c r="S260" s="100"/>
      <c r="T260" s="100"/>
      <c r="U260" s="100"/>
      <c r="V260" s="100"/>
      <c r="W260" s="100"/>
      <c r="X260" s="100"/>
      <c r="Y260" s="100"/>
      <c r="Z260" s="100"/>
      <c r="AA260" s="25"/>
      <c r="AB260" s="25"/>
      <c r="AC260" s="25"/>
      <c r="AD260" s="25"/>
      <c r="AE260" s="25"/>
      <c r="AF260" s="25"/>
      <c r="AG260" s="25"/>
      <c r="AH260" s="25"/>
    </row>
    <row r="261" spans="1:34">
      <c r="A261" s="996"/>
      <c r="B261" s="997">
        <v>240</v>
      </c>
      <c r="C261" s="998" t="s">
        <v>102</v>
      </c>
      <c r="D261" s="997">
        <v>-1</v>
      </c>
      <c r="E261" s="997">
        <v>3.91</v>
      </c>
      <c r="F261" s="999"/>
      <c r="G261" s="1000"/>
      <c r="H261" s="1001"/>
      <c r="I261" s="1002"/>
      <c r="J261" s="1003"/>
      <c r="K261" s="1003">
        <v>25</v>
      </c>
      <c r="L261" s="1001">
        <v>0</v>
      </c>
      <c r="M261" s="1004" t="s">
        <v>100</v>
      </c>
      <c r="N261" s="1005"/>
      <c r="O261" s="1006"/>
      <c r="P261" s="997"/>
      <c r="Q261" s="997"/>
      <c r="R261" s="100"/>
      <c r="S261" s="100"/>
      <c r="T261" s="100"/>
      <c r="U261" s="100"/>
      <c r="V261" s="100"/>
      <c r="W261" s="100"/>
      <c r="X261" s="100"/>
      <c r="Y261" s="100"/>
      <c r="Z261" s="100"/>
      <c r="AA261" s="25"/>
      <c r="AB261" s="25"/>
      <c r="AC261" s="25"/>
      <c r="AD261" s="25"/>
      <c r="AE261" s="25"/>
      <c r="AF261" s="25"/>
      <c r="AG261" s="25"/>
      <c r="AH261" s="25"/>
    </row>
    <row r="262" spans="1:34">
      <c r="A262" s="996"/>
      <c r="B262" s="997">
        <v>241</v>
      </c>
      <c r="C262" s="998" t="s">
        <v>104</v>
      </c>
      <c r="D262" s="997">
        <v>-1</v>
      </c>
      <c r="E262" s="997">
        <v>4.3600000000000003</v>
      </c>
      <c r="F262" s="999"/>
      <c r="G262" s="1000"/>
      <c r="H262" s="1001"/>
      <c r="I262" s="1002"/>
      <c r="J262" s="1003"/>
      <c r="K262" s="1003">
        <v>25</v>
      </c>
      <c r="L262" s="1001">
        <v>0</v>
      </c>
      <c r="M262" s="1004" t="s">
        <v>100</v>
      </c>
      <c r="N262" s="1005"/>
      <c r="O262" s="1006"/>
      <c r="P262" s="997"/>
      <c r="Q262" s="997"/>
      <c r="R262" s="100"/>
      <c r="S262" s="100"/>
      <c r="T262" s="100"/>
      <c r="U262" s="100"/>
      <c r="V262" s="100"/>
      <c r="W262" s="100"/>
      <c r="X262" s="100"/>
      <c r="Y262" s="100"/>
      <c r="Z262" s="100"/>
      <c r="AA262" s="25"/>
      <c r="AB262" s="25"/>
      <c r="AC262" s="25"/>
      <c r="AD262" s="25"/>
      <c r="AE262" s="25"/>
      <c r="AF262" s="25"/>
      <c r="AG262" s="25"/>
      <c r="AH262" s="25"/>
    </row>
    <row r="263" spans="1:34">
      <c r="A263" s="996"/>
      <c r="B263" s="997">
        <v>242</v>
      </c>
      <c r="C263" s="998" t="s">
        <v>259</v>
      </c>
      <c r="D263" s="997">
        <v>-1</v>
      </c>
      <c r="E263" s="997">
        <v>0.87</v>
      </c>
      <c r="F263" s="999"/>
      <c r="G263" s="1000"/>
      <c r="H263" s="1001"/>
      <c r="I263" s="1002"/>
      <c r="J263" s="1003"/>
      <c r="K263" s="1003">
        <v>25</v>
      </c>
      <c r="L263" s="988">
        <v>0</v>
      </c>
      <c r="M263" s="1004" t="s">
        <v>260</v>
      </c>
      <c r="N263" s="1005"/>
      <c r="O263" s="1006"/>
      <c r="P263" s="997"/>
      <c r="Q263" s="997"/>
      <c r="R263" s="100"/>
      <c r="S263" s="100"/>
      <c r="T263" s="100"/>
      <c r="U263" s="100"/>
      <c r="V263" s="100"/>
      <c r="W263" s="100"/>
      <c r="X263" s="100"/>
      <c r="Y263" s="100"/>
      <c r="Z263" s="100"/>
      <c r="AA263" s="25"/>
      <c r="AB263" s="25"/>
      <c r="AC263" s="25"/>
      <c r="AD263" s="25"/>
      <c r="AE263" s="25"/>
      <c r="AF263" s="25"/>
      <c r="AG263" s="25"/>
      <c r="AH263" s="25"/>
    </row>
    <row r="264" spans="1:34">
      <c r="A264" s="996"/>
      <c r="B264" s="997">
        <v>243</v>
      </c>
      <c r="C264" s="998" t="s">
        <v>261</v>
      </c>
      <c r="D264" s="997">
        <v>0</v>
      </c>
      <c r="E264" s="997">
        <v>7.7619999999999996</v>
      </c>
      <c r="F264" s="999"/>
      <c r="G264" s="1000"/>
      <c r="H264" s="1001"/>
      <c r="I264" s="1002"/>
      <c r="J264" s="1003"/>
      <c r="K264" s="1003">
        <v>25</v>
      </c>
      <c r="L264" s="1001">
        <v>0</v>
      </c>
      <c r="M264" s="1004" t="s">
        <v>262</v>
      </c>
      <c r="N264" s="1005"/>
      <c r="O264" s="1006"/>
      <c r="P264" s="997"/>
      <c r="Q264" s="997"/>
      <c r="R264" s="100"/>
      <c r="S264" s="100"/>
      <c r="T264" s="100"/>
      <c r="U264" s="100"/>
      <c r="V264" s="100"/>
      <c r="W264" s="100"/>
      <c r="X264" s="100"/>
      <c r="Y264" s="100"/>
      <c r="Z264" s="100"/>
      <c r="AA264" s="25"/>
      <c r="AB264" s="25"/>
      <c r="AC264" s="25"/>
      <c r="AD264" s="25"/>
      <c r="AE264" s="25"/>
      <c r="AF264" s="25"/>
      <c r="AG264" s="25"/>
      <c r="AH264" s="25"/>
    </row>
    <row r="265" spans="1:34">
      <c r="A265" s="996"/>
      <c r="B265" s="997">
        <v>244</v>
      </c>
      <c r="C265" s="998" t="s">
        <v>263</v>
      </c>
      <c r="D265" s="997">
        <v>0</v>
      </c>
      <c r="E265" s="997">
        <v>10.715</v>
      </c>
      <c r="F265" s="999"/>
      <c r="G265" s="1000"/>
      <c r="H265" s="1001"/>
      <c r="I265" s="1002"/>
      <c r="J265" s="1003"/>
      <c r="K265" s="1003">
        <v>25</v>
      </c>
      <c r="L265" s="1001">
        <v>0</v>
      </c>
      <c r="M265" s="1004" t="s">
        <v>264</v>
      </c>
      <c r="N265" s="1005"/>
      <c r="O265" s="1006"/>
      <c r="P265" s="997"/>
      <c r="Q265" s="997"/>
      <c r="R265" s="100"/>
      <c r="S265" s="100"/>
      <c r="T265" s="100"/>
      <c r="U265" s="100"/>
      <c r="V265" s="100"/>
      <c r="W265" s="100"/>
      <c r="X265" s="100"/>
      <c r="Y265" s="100"/>
      <c r="Z265" s="100"/>
      <c r="AA265" s="25"/>
      <c r="AB265" s="25"/>
      <c r="AC265" s="25"/>
      <c r="AD265" s="25"/>
      <c r="AE265" s="25"/>
      <c r="AF265" s="25"/>
      <c r="AG265" s="25"/>
      <c r="AH265" s="25"/>
    </row>
    <row r="266" spans="1:34">
      <c r="A266" s="996"/>
      <c r="B266" s="997">
        <v>245</v>
      </c>
      <c r="C266" s="998" t="s">
        <v>454</v>
      </c>
      <c r="D266" s="997">
        <v>-1</v>
      </c>
      <c r="E266" s="997">
        <v>5.03</v>
      </c>
      <c r="F266" s="999"/>
      <c r="G266" s="1000"/>
      <c r="H266" s="1001"/>
      <c r="I266" s="1002"/>
      <c r="J266" s="1003"/>
      <c r="K266" s="1003">
        <v>25</v>
      </c>
      <c r="L266" s="1001">
        <v>0</v>
      </c>
      <c r="M266" s="1004" t="s">
        <v>450</v>
      </c>
      <c r="N266" s="1005"/>
      <c r="O266" s="1006"/>
      <c r="P266" s="997"/>
      <c r="Q266" s="997"/>
      <c r="R266" s="100"/>
      <c r="S266" s="100"/>
      <c r="T266" s="100"/>
      <c r="U266" s="100"/>
      <c r="V266" s="100"/>
      <c r="W266" s="100"/>
      <c r="X266" s="100"/>
      <c r="Y266" s="100"/>
      <c r="Z266" s="100"/>
      <c r="AA266" s="25"/>
      <c r="AB266" s="25"/>
      <c r="AC266" s="25"/>
      <c r="AD266" s="25"/>
      <c r="AE266" s="25"/>
      <c r="AF266" s="25"/>
      <c r="AG266" s="25"/>
      <c r="AH266" s="25"/>
    </row>
    <row r="267" spans="1:34">
      <c r="A267" s="996"/>
      <c r="B267" s="997">
        <v>246</v>
      </c>
      <c r="C267" s="998" t="s">
        <v>265</v>
      </c>
      <c r="D267" s="997">
        <v>0</v>
      </c>
      <c r="E267" s="997">
        <v>9.8000000000000007</v>
      </c>
      <c r="F267" s="999"/>
      <c r="G267" s="1000"/>
      <c r="H267" s="1001"/>
      <c r="I267" s="1002"/>
      <c r="J267" s="1003"/>
      <c r="K267" s="1003">
        <v>25</v>
      </c>
      <c r="L267" s="1001">
        <v>0</v>
      </c>
      <c r="M267" s="1004" t="s">
        <v>266</v>
      </c>
      <c r="N267" s="1005"/>
      <c r="O267" s="1006"/>
      <c r="P267" s="997"/>
      <c r="Q267" s="997"/>
      <c r="R267" s="100"/>
      <c r="S267" s="100"/>
      <c r="T267" s="100"/>
      <c r="U267" s="100"/>
      <c r="V267" s="100"/>
      <c r="W267" s="100"/>
      <c r="X267" s="100"/>
      <c r="Y267" s="100"/>
      <c r="Z267" s="100"/>
      <c r="AA267" s="25"/>
      <c r="AB267" s="25"/>
      <c r="AC267" s="25"/>
      <c r="AD267" s="25"/>
      <c r="AE267" s="25"/>
      <c r="AF267" s="25"/>
      <c r="AG267" s="25"/>
      <c r="AH267" s="25"/>
    </row>
    <row r="268" spans="1:34">
      <c r="A268" s="996"/>
      <c r="B268" s="997">
        <v>247</v>
      </c>
      <c r="C268" s="998" t="s">
        <v>267</v>
      </c>
      <c r="D268" s="997">
        <v>0</v>
      </c>
      <c r="E268" s="997">
        <v>8.0749999999999993</v>
      </c>
      <c r="F268" s="999"/>
      <c r="G268" s="1000"/>
      <c r="H268" s="1001"/>
      <c r="I268" s="1002"/>
      <c r="J268" s="1003"/>
      <c r="K268" s="1003">
        <v>25</v>
      </c>
      <c r="L268" s="1001">
        <v>0</v>
      </c>
      <c r="M268" s="1004" t="s">
        <v>268</v>
      </c>
      <c r="N268" s="1005"/>
      <c r="O268" s="1006"/>
      <c r="P268" s="997"/>
      <c r="Q268" s="997"/>
      <c r="R268" s="100"/>
      <c r="S268" s="100"/>
      <c r="T268" s="100"/>
      <c r="U268" s="100"/>
      <c r="V268" s="100"/>
      <c r="W268" s="100"/>
      <c r="X268" s="100"/>
      <c r="Y268" s="100"/>
      <c r="Z268" s="100"/>
      <c r="AA268" s="25"/>
      <c r="AB268" s="25"/>
      <c r="AC268" s="25"/>
      <c r="AD268" s="25"/>
      <c r="AE268" s="25"/>
      <c r="AF268" s="25"/>
      <c r="AG268" s="25"/>
      <c r="AH268" s="25"/>
    </row>
    <row r="269" spans="1:34">
      <c r="A269" s="996"/>
      <c r="B269" s="997">
        <v>248</v>
      </c>
      <c r="C269" s="998" t="s">
        <v>269</v>
      </c>
      <c r="D269" s="997">
        <v>-1</v>
      </c>
      <c r="E269" s="997">
        <v>2.35</v>
      </c>
      <c r="F269" s="999">
        <v>9.5399999999999991</v>
      </c>
      <c r="G269" s="1000"/>
      <c r="H269" s="1001"/>
      <c r="I269" s="1002"/>
      <c r="J269" s="1003"/>
      <c r="K269" s="1003">
        <v>25</v>
      </c>
      <c r="L269" s="988">
        <v>0</v>
      </c>
      <c r="M269" s="1004" t="s">
        <v>288</v>
      </c>
      <c r="N269" s="1005"/>
      <c r="O269" s="1006"/>
      <c r="P269" s="997"/>
      <c r="Q269" s="997"/>
      <c r="R269" s="100"/>
      <c r="S269" s="100"/>
      <c r="T269" s="100"/>
      <c r="U269" s="100"/>
      <c r="V269" s="100"/>
      <c r="W269" s="100"/>
      <c r="X269" s="100"/>
      <c r="Y269" s="100"/>
      <c r="Z269" s="100"/>
      <c r="AA269" s="25"/>
      <c r="AB269" s="25"/>
      <c r="AC269" s="25"/>
      <c r="AD269" s="25"/>
      <c r="AE269" s="25"/>
      <c r="AF269" s="25"/>
      <c r="AG269" s="25"/>
      <c r="AH269" s="25"/>
    </row>
    <row r="270" spans="1:34">
      <c r="A270" s="996"/>
      <c r="B270" s="997">
        <v>249</v>
      </c>
      <c r="C270" s="998" t="s">
        <v>113</v>
      </c>
      <c r="D270" s="997">
        <v>0</v>
      </c>
      <c r="E270" s="997">
        <v>9.74</v>
      </c>
      <c r="F270" s="999">
        <v>10.52</v>
      </c>
      <c r="G270" s="1000"/>
      <c r="H270" s="1001"/>
      <c r="I270" s="1002"/>
      <c r="J270" s="1003"/>
      <c r="K270" s="1003">
        <v>25</v>
      </c>
      <c r="L270" s="1001">
        <v>0</v>
      </c>
      <c r="M270" s="1004" t="s">
        <v>109</v>
      </c>
      <c r="N270" s="1005"/>
      <c r="O270" s="1006"/>
      <c r="P270" s="997"/>
      <c r="Q270" s="997"/>
      <c r="R270" s="100"/>
      <c r="S270" s="100"/>
      <c r="T270" s="100"/>
      <c r="U270" s="100"/>
      <c r="V270" s="100"/>
      <c r="W270" s="100"/>
      <c r="X270" s="100"/>
      <c r="Y270" s="100"/>
      <c r="Z270" s="100"/>
      <c r="AA270" s="25"/>
      <c r="AB270" s="25"/>
      <c r="AC270" s="25"/>
      <c r="AD270" s="25"/>
      <c r="AE270" s="25"/>
      <c r="AF270" s="25"/>
      <c r="AG270" s="25"/>
      <c r="AH270" s="25"/>
    </row>
    <row r="271" spans="1:34">
      <c r="A271" s="996"/>
      <c r="B271" s="997">
        <v>250</v>
      </c>
      <c r="C271" s="998" t="s">
        <v>273</v>
      </c>
      <c r="D271" s="997">
        <v>-1</v>
      </c>
      <c r="E271" s="997">
        <v>2.17</v>
      </c>
      <c r="F271" s="999">
        <v>9.19</v>
      </c>
      <c r="G271" s="1000">
        <v>10.47</v>
      </c>
      <c r="H271" s="1001"/>
      <c r="I271" s="1002"/>
      <c r="J271" s="1003"/>
      <c r="K271" s="1003">
        <v>25</v>
      </c>
      <c r="L271" s="1001">
        <v>0</v>
      </c>
      <c r="M271" s="1004" t="s">
        <v>272</v>
      </c>
      <c r="N271" s="1005"/>
      <c r="O271" s="1006"/>
      <c r="P271" s="997"/>
      <c r="Q271" s="997"/>
      <c r="R271" s="100"/>
      <c r="S271" s="100"/>
      <c r="T271" s="100"/>
      <c r="U271" s="100"/>
      <c r="V271" s="100"/>
      <c r="W271" s="100"/>
      <c r="X271" s="100"/>
      <c r="Y271" s="100"/>
      <c r="Z271" s="100"/>
      <c r="AA271" s="25"/>
      <c r="AB271" s="25"/>
      <c r="AC271" s="25"/>
      <c r="AD271" s="25"/>
      <c r="AE271" s="25"/>
      <c r="AF271" s="25"/>
      <c r="AG271" s="25"/>
      <c r="AH271" s="25"/>
    </row>
    <row r="272" spans="1:34">
      <c r="A272" s="996"/>
      <c r="B272" s="997">
        <v>251</v>
      </c>
      <c r="C272" s="998" t="s">
        <v>372</v>
      </c>
      <c r="D272" s="997">
        <v>0</v>
      </c>
      <c r="E272" s="997">
        <v>0.1</v>
      </c>
      <c r="F272" s="999"/>
      <c r="G272" s="1000"/>
      <c r="H272" s="1001"/>
      <c r="I272" s="1002"/>
      <c r="J272" s="1003"/>
      <c r="K272" s="1003">
        <v>21</v>
      </c>
      <c r="L272" s="1001">
        <v>0</v>
      </c>
      <c r="M272" s="1004" t="s">
        <v>371</v>
      </c>
      <c r="N272" s="1005"/>
      <c r="O272" s="1006"/>
      <c r="P272" s="997"/>
      <c r="Q272" s="997"/>
      <c r="R272" s="100"/>
      <c r="S272" s="100"/>
      <c r="T272" s="100"/>
      <c r="U272" s="100"/>
      <c r="V272" s="100"/>
      <c r="W272" s="100"/>
      <c r="X272" s="100"/>
      <c r="Y272" s="100"/>
      <c r="Z272" s="100"/>
      <c r="AA272" s="25"/>
      <c r="AB272" s="25"/>
      <c r="AC272" s="25"/>
      <c r="AD272" s="25"/>
      <c r="AE272" s="25"/>
      <c r="AF272" s="25"/>
      <c r="AG272" s="25"/>
      <c r="AH272" s="25"/>
    </row>
    <row r="273" spans="1:34">
      <c r="A273" s="996"/>
      <c r="B273" s="997">
        <v>252</v>
      </c>
      <c r="C273" s="998" t="s">
        <v>441</v>
      </c>
      <c r="D273" s="997">
        <v>-1</v>
      </c>
      <c r="E273" s="997">
        <v>3.89</v>
      </c>
      <c r="F273" s="999"/>
      <c r="G273" s="1000"/>
      <c r="H273" s="1001"/>
      <c r="I273" s="1002"/>
      <c r="J273" s="1003"/>
      <c r="K273" s="1003">
        <v>12</v>
      </c>
      <c r="L273" s="1001">
        <v>0</v>
      </c>
      <c r="M273" s="1004" t="s">
        <v>440</v>
      </c>
      <c r="N273" s="1005"/>
      <c r="O273" s="1006"/>
      <c r="P273" s="997"/>
      <c r="Q273" s="997"/>
      <c r="R273" s="100"/>
      <c r="S273" s="100"/>
      <c r="T273" s="100"/>
      <c r="U273" s="100"/>
      <c r="V273" s="100"/>
      <c r="W273" s="100"/>
      <c r="X273" s="100"/>
      <c r="Y273" s="100"/>
      <c r="Z273" s="100"/>
      <c r="AA273" s="25"/>
      <c r="AB273" s="25"/>
      <c r="AC273" s="25"/>
      <c r="AD273" s="25"/>
      <c r="AE273" s="25"/>
      <c r="AF273" s="25"/>
      <c r="AG273" s="25"/>
      <c r="AH273" s="25"/>
    </row>
    <row r="274" spans="1:34">
      <c r="A274" s="996"/>
      <c r="B274" s="997">
        <v>253</v>
      </c>
      <c r="C274" s="998" t="s">
        <v>458</v>
      </c>
      <c r="D274" s="997">
        <v>-1</v>
      </c>
      <c r="E274" s="997">
        <v>2.286</v>
      </c>
      <c r="F274" s="999">
        <v>9.718</v>
      </c>
      <c r="G274" s="1000"/>
      <c r="H274" s="1001"/>
      <c r="I274" s="1002"/>
      <c r="J274" s="1003"/>
      <c r="K274" s="1003">
        <v>25</v>
      </c>
      <c r="L274" s="1001">
        <v>0</v>
      </c>
      <c r="M274" s="1004" t="s">
        <v>455</v>
      </c>
      <c r="N274" s="1005"/>
      <c r="O274" s="1006"/>
      <c r="P274" s="997"/>
      <c r="Q274" s="997"/>
      <c r="R274" s="100"/>
      <c r="S274" s="100"/>
      <c r="T274" s="100"/>
      <c r="U274" s="100"/>
      <c r="V274" s="100"/>
      <c r="W274" s="100"/>
      <c r="X274" s="100"/>
      <c r="Y274" s="100"/>
      <c r="Z274" s="100"/>
      <c r="AA274" s="25"/>
      <c r="AB274" s="25"/>
      <c r="AC274" s="25"/>
      <c r="AD274" s="25"/>
      <c r="AE274" s="25"/>
      <c r="AF274" s="25"/>
      <c r="AG274" s="25"/>
      <c r="AH274" s="25"/>
    </row>
    <row r="275" spans="1:34">
      <c r="A275" s="364"/>
      <c r="B275" s="376">
        <v>254</v>
      </c>
      <c r="C275" s="973" t="s">
        <v>987</v>
      </c>
      <c r="D275" s="970"/>
      <c r="E275" s="970"/>
      <c r="F275" s="971"/>
      <c r="G275" s="970"/>
      <c r="H275" s="970"/>
      <c r="I275" s="970"/>
      <c r="J275" s="970"/>
      <c r="K275" s="970"/>
      <c r="L275" s="970"/>
      <c r="M275" s="970"/>
      <c r="N275" s="970"/>
      <c r="O275" s="1030" t="s">
        <v>980</v>
      </c>
      <c r="P275" s="1031" t="s">
        <v>981</v>
      </c>
      <c r="Q275" s="1031" t="s">
        <v>982</v>
      </c>
      <c r="R275" s="1031" t="s">
        <v>983</v>
      </c>
      <c r="S275" s="1032"/>
      <c r="T275" s="1032"/>
      <c r="U275" s="1032"/>
      <c r="V275" s="1033" t="s">
        <v>984</v>
      </c>
      <c r="W275" s="1033"/>
      <c r="X275" s="1032"/>
      <c r="Y275" s="1032"/>
      <c r="Z275" s="1032"/>
      <c r="AA275" s="25"/>
    </row>
    <row r="276" spans="1:34" s="955" customFormat="1">
      <c r="A276" s="996"/>
      <c r="B276" s="997">
        <v>255</v>
      </c>
      <c r="C276" s="1011" t="s">
        <v>971</v>
      </c>
      <c r="D276" s="997">
        <v>-2</v>
      </c>
      <c r="E276" s="997">
        <v>1.7</v>
      </c>
      <c r="F276" s="997">
        <v>8.9</v>
      </c>
      <c r="G276" s="997"/>
      <c r="H276" s="997"/>
      <c r="I276" s="997"/>
      <c r="J276" s="997"/>
      <c r="K276" s="997"/>
      <c r="L276" s="1012"/>
      <c r="M276" s="1012" t="s">
        <v>934</v>
      </c>
      <c r="N276" s="1013">
        <v>466.59</v>
      </c>
      <c r="O276" s="997">
        <v>1.7</v>
      </c>
      <c r="P276" s="985">
        <v>5263615</v>
      </c>
      <c r="Q276" s="986">
        <v>4107000</v>
      </c>
      <c r="R276" s="987">
        <v>4907000</v>
      </c>
      <c r="S276" s="988"/>
      <c r="T276" s="988"/>
      <c r="U276" s="990" t="s">
        <v>985</v>
      </c>
      <c r="V276" s="989">
        <v>1701178</v>
      </c>
      <c r="W276" s="989">
        <v>8374896</v>
      </c>
      <c r="X276" s="989">
        <v>52377</v>
      </c>
      <c r="Y276" s="989">
        <v>7722000</v>
      </c>
      <c r="Z276" s="989">
        <v>1702000</v>
      </c>
      <c r="AA276" s="25"/>
    </row>
    <row r="277" spans="1:34" s="955" customFormat="1">
      <c r="A277" s="996"/>
      <c r="B277" s="997">
        <v>256</v>
      </c>
      <c r="C277" s="1011" t="s">
        <v>972</v>
      </c>
      <c r="D277" s="997">
        <v>-2</v>
      </c>
      <c r="E277" s="997">
        <v>-1</v>
      </c>
      <c r="F277" s="997">
        <v>3.47</v>
      </c>
      <c r="G277" s="997"/>
      <c r="H277" s="997"/>
      <c r="I277" s="997"/>
      <c r="J277" s="997"/>
      <c r="K277" s="997"/>
      <c r="L277" s="1012"/>
      <c r="M277" s="1012" t="s">
        <v>935</v>
      </c>
      <c r="N277" s="1013">
        <v>327.33</v>
      </c>
      <c r="O277" s="997">
        <v>3.47</v>
      </c>
      <c r="P277" s="985">
        <v>5263615</v>
      </c>
      <c r="Q277" s="986">
        <v>4961023</v>
      </c>
      <c r="R277" s="987">
        <v>4907000</v>
      </c>
      <c r="S277" s="988"/>
      <c r="T277" s="988"/>
      <c r="U277" s="990" t="s">
        <v>930</v>
      </c>
      <c r="V277" s="989">
        <v>16763955</v>
      </c>
      <c r="W277" s="989">
        <v>16750899</v>
      </c>
      <c r="X277" s="989">
        <v>15456000</v>
      </c>
      <c r="Y277" s="989"/>
      <c r="Z277" s="27"/>
      <c r="AA277" s="25"/>
    </row>
    <row r="278" spans="1:34">
      <c r="A278" s="996"/>
      <c r="B278" s="997">
        <v>257</v>
      </c>
      <c r="C278" s="1011" t="s">
        <v>973</v>
      </c>
      <c r="D278" s="997">
        <v>-2</v>
      </c>
      <c r="E278" s="997">
        <v>-1</v>
      </c>
      <c r="F278" s="997">
        <v>4.8</v>
      </c>
      <c r="G278" s="997"/>
      <c r="H278" s="997"/>
      <c r="I278" s="997"/>
      <c r="J278" s="997"/>
      <c r="K278" s="997"/>
      <c r="L278" s="1012"/>
      <c r="M278" s="1012" t="s">
        <v>936</v>
      </c>
      <c r="N278" s="1013">
        <v>698.01</v>
      </c>
      <c r="O278" s="997">
        <v>4.8</v>
      </c>
      <c r="P278" s="987">
        <v>4907000</v>
      </c>
      <c r="Q278" s="991">
        <v>52377</v>
      </c>
      <c r="R278" s="992">
        <v>16750899</v>
      </c>
      <c r="S278" s="984"/>
      <c r="T278" s="988"/>
      <c r="U278" s="990" t="s">
        <v>928</v>
      </c>
      <c r="V278" s="989">
        <v>7039480</v>
      </c>
      <c r="W278" s="989">
        <v>5263615</v>
      </c>
      <c r="X278" s="989">
        <v>14666000</v>
      </c>
      <c r="Y278" s="989"/>
      <c r="Z278" s="27"/>
      <c r="AA278" s="25"/>
    </row>
    <row r="279" spans="1:34">
      <c r="A279" s="996"/>
      <c r="B279" s="997">
        <v>258</v>
      </c>
      <c r="C279" s="1011" t="s">
        <v>974</v>
      </c>
      <c r="D279" s="997">
        <v>-1</v>
      </c>
      <c r="E279" s="997">
        <v>5.0999999999999996</v>
      </c>
      <c r="F279" s="997"/>
      <c r="G279" s="997"/>
      <c r="H279" s="997"/>
      <c r="I279" s="997"/>
      <c r="J279" s="997"/>
      <c r="K279" s="997"/>
      <c r="L279" s="1012"/>
      <c r="M279" s="1012" t="s">
        <v>937</v>
      </c>
      <c r="N279" s="1013">
        <v>269.3</v>
      </c>
      <c r="O279" s="997">
        <v>5.0999999999999996</v>
      </c>
      <c r="P279" s="985">
        <v>5263615</v>
      </c>
      <c r="Q279" s="986">
        <v>4961023</v>
      </c>
      <c r="R279" s="987">
        <v>4907000</v>
      </c>
      <c r="S279" s="984"/>
      <c r="T279" s="988"/>
      <c r="U279" s="990" t="s">
        <v>929</v>
      </c>
      <c r="V279" s="989">
        <v>4907000</v>
      </c>
      <c r="W279" s="989">
        <v>10285055</v>
      </c>
      <c r="X279" s="989">
        <v>3339000</v>
      </c>
      <c r="Y279" s="989">
        <v>60395</v>
      </c>
      <c r="Z279" s="27"/>
      <c r="AA279" s="25"/>
    </row>
    <row r="280" spans="1:34">
      <c r="A280" s="996"/>
      <c r="B280" s="997">
        <v>259</v>
      </c>
      <c r="C280" s="1011" t="s">
        <v>975</v>
      </c>
      <c r="D280" s="997">
        <v>-1</v>
      </c>
      <c r="E280" s="997">
        <v>7.1</v>
      </c>
      <c r="F280" s="997"/>
      <c r="G280" s="997"/>
      <c r="H280" s="997"/>
      <c r="I280" s="997"/>
      <c r="J280" s="997"/>
      <c r="K280" s="997"/>
      <c r="L280" s="1012"/>
      <c r="M280" s="1012" t="s">
        <v>938</v>
      </c>
      <c r="N280" s="1013">
        <v>624.38</v>
      </c>
      <c r="O280" s="997">
        <v>7.1</v>
      </c>
      <c r="P280" s="987">
        <v>4907000</v>
      </c>
      <c r="Q280" s="991">
        <v>6813000</v>
      </c>
      <c r="R280" s="992">
        <v>16750899</v>
      </c>
      <c r="S280" s="988"/>
      <c r="T280" s="988"/>
      <c r="U280" s="990" t="s">
        <v>986</v>
      </c>
      <c r="V280" s="989">
        <v>16777215</v>
      </c>
      <c r="W280" s="989"/>
      <c r="X280" s="989"/>
      <c r="Y280" s="989"/>
      <c r="Z280" s="27"/>
      <c r="AA280" s="25"/>
    </row>
    <row r="281" spans="1:34">
      <c r="A281" s="996"/>
      <c r="B281" s="997">
        <v>260</v>
      </c>
      <c r="C281" s="1011" t="s">
        <v>976</v>
      </c>
      <c r="D281" s="997">
        <v>-2</v>
      </c>
      <c r="E281" s="997">
        <v>1.2</v>
      </c>
      <c r="F281" s="997">
        <v>7.7</v>
      </c>
      <c r="G281" s="997"/>
      <c r="H281" s="997"/>
      <c r="I281" s="997"/>
      <c r="J281" s="997"/>
      <c r="K281" s="997"/>
      <c r="L281" s="1012"/>
      <c r="M281" s="1012" t="s">
        <v>939</v>
      </c>
      <c r="N281" s="1013">
        <v>354.38</v>
      </c>
      <c r="O281" s="997">
        <v>7.7</v>
      </c>
      <c r="P281" s="987">
        <v>4907000</v>
      </c>
      <c r="Q281" s="986">
        <v>4961023</v>
      </c>
      <c r="R281" s="985">
        <v>5263615</v>
      </c>
      <c r="S281" s="988"/>
      <c r="T281" s="27"/>
      <c r="U281" s="990" t="s">
        <v>940</v>
      </c>
      <c r="V281" s="989">
        <v>4961023</v>
      </c>
      <c r="W281" s="989"/>
      <c r="X281" s="989"/>
      <c r="Y281" s="989"/>
      <c r="Z281" s="27"/>
      <c r="AA281" s="25"/>
    </row>
    <row r="282" spans="1:34">
      <c r="A282" s="996"/>
      <c r="B282" s="997">
        <v>261</v>
      </c>
      <c r="C282" s="1011" t="s">
        <v>977</v>
      </c>
      <c r="D282" s="997">
        <v>-2</v>
      </c>
      <c r="E282" s="997">
        <v>1.7</v>
      </c>
      <c r="F282" s="997">
        <v>8.9</v>
      </c>
      <c r="G282" s="997"/>
      <c r="H282" s="997"/>
      <c r="I282" s="997"/>
      <c r="J282" s="997"/>
      <c r="K282" s="997"/>
      <c r="L282" s="1012"/>
      <c r="M282" s="1012" t="s">
        <v>934</v>
      </c>
      <c r="N282" s="1013">
        <v>466.59</v>
      </c>
      <c r="O282" s="997">
        <v>8.9</v>
      </c>
      <c r="P282" s="987">
        <v>4907000</v>
      </c>
      <c r="Q282" s="991">
        <v>52377</v>
      </c>
      <c r="R282" s="992">
        <v>16750899</v>
      </c>
      <c r="S282" s="988"/>
      <c r="T282" s="27"/>
      <c r="U282" s="27"/>
      <c r="V282" s="27"/>
      <c r="W282" s="27"/>
      <c r="X282" s="27"/>
      <c r="Y282" s="27"/>
      <c r="Z282" s="27"/>
      <c r="AA282" s="25"/>
    </row>
    <row r="283" spans="1:34">
      <c r="A283" s="996"/>
      <c r="B283" s="997">
        <v>262</v>
      </c>
      <c r="C283" s="998" t="s">
        <v>931</v>
      </c>
      <c r="D283" s="997">
        <v>-2</v>
      </c>
      <c r="E283" s="997">
        <v>9.5</v>
      </c>
      <c r="F283" s="997">
        <v>9.6999999999999993</v>
      </c>
      <c r="G283" s="997"/>
      <c r="H283" s="997"/>
      <c r="I283" s="997"/>
      <c r="J283" s="997"/>
      <c r="K283" s="997"/>
      <c r="L283" s="1012"/>
      <c r="M283" s="1012" t="s">
        <v>941</v>
      </c>
      <c r="N283" s="1013">
        <v>318.32</v>
      </c>
      <c r="O283" s="997">
        <v>9.6999999999999993</v>
      </c>
      <c r="P283" s="993">
        <v>15395562</v>
      </c>
      <c r="Q283" s="994">
        <v>16564985</v>
      </c>
      <c r="R283" s="995">
        <v>16419572</v>
      </c>
      <c r="S283" s="988"/>
      <c r="T283" s="27"/>
      <c r="U283" s="27"/>
      <c r="V283" s="27"/>
      <c r="W283" s="27"/>
      <c r="X283" s="27"/>
      <c r="Y283" s="27"/>
      <c r="Z283" s="27"/>
      <c r="AA283" s="25"/>
    </row>
    <row r="284" spans="1:34">
      <c r="A284" s="996"/>
      <c r="B284" s="997">
        <v>263</v>
      </c>
      <c r="C284" s="1011" t="s">
        <v>978</v>
      </c>
      <c r="D284" s="997">
        <v>-1</v>
      </c>
      <c r="E284" s="997">
        <v>11</v>
      </c>
      <c r="F284" s="997"/>
      <c r="G284" s="997"/>
      <c r="H284" s="997"/>
      <c r="I284" s="997"/>
      <c r="J284" s="997"/>
      <c r="K284" s="997"/>
      <c r="L284" s="1012"/>
      <c r="M284" s="1014" t="s">
        <v>979</v>
      </c>
      <c r="N284" s="1013">
        <v>287.23</v>
      </c>
      <c r="O284" s="997">
        <v>11</v>
      </c>
      <c r="P284" s="987">
        <v>4907000</v>
      </c>
      <c r="Q284" s="986">
        <v>4961023</v>
      </c>
      <c r="R284" s="985">
        <v>5263615</v>
      </c>
      <c r="S284" s="27"/>
      <c r="T284" s="27"/>
      <c r="U284" s="27"/>
      <c r="V284" s="27"/>
      <c r="W284" s="27"/>
      <c r="X284" s="27"/>
      <c r="Y284" s="27"/>
      <c r="Z284" s="27"/>
      <c r="AA284" s="25"/>
    </row>
    <row r="285" spans="1:34">
      <c r="A285" s="996"/>
      <c r="B285" s="997">
        <v>264</v>
      </c>
      <c r="C285" s="997"/>
      <c r="D285" s="997"/>
      <c r="E285" s="997"/>
      <c r="F285" s="999"/>
      <c r="G285" s="1000"/>
      <c r="H285" s="1001"/>
      <c r="I285" s="1002"/>
      <c r="J285" s="1003"/>
      <c r="K285" s="1003"/>
      <c r="L285" s="1001"/>
      <c r="M285" s="1004"/>
      <c r="N285" s="1005"/>
      <c r="O285" s="1006"/>
      <c r="P285" s="100"/>
      <c r="Q285" s="100"/>
      <c r="R285" s="100"/>
      <c r="S285" s="100"/>
      <c r="T285" s="100"/>
      <c r="U285" s="100"/>
      <c r="V285" s="100"/>
      <c r="W285" s="100"/>
      <c r="X285" s="100"/>
      <c r="Y285" s="100"/>
      <c r="Z285" s="100"/>
    </row>
    <row r="286" spans="1:34">
      <c r="A286" s="996"/>
      <c r="B286" s="997">
        <v>265</v>
      </c>
      <c r="C286" s="997"/>
      <c r="D286" s="997"/>
      <c r="E286" s="997"/>
      <c r="F286" s="999"/>
      <c r="G286" s="1000"/>
      <c r="H286" s="1001"/>
      <c r="I286" s="1002"/>
      <c r="J286" s="1003"/>
      <c r="K286" s="1003"/>
      <c r="L286" s="1001"/>
      <c r="M286" s="1004"/>
      <c r="N286" s="1005"/>
      <c r="O286" s="1006"/>
      <c r="P286" s="100"/>
      <c r="Q286" s="100"/>
      <c r="R286" s="100"/>
      <c r="S286" s="100"/>
      <c r="T286" s="100"/>
      <c r="U286" s="100"/>
      <c r="V286" s="100"/>
      <c r="W286" s="100"/>
      <c r="X286" s="100"/>
      <c r="Y286" s="100"/>
      <c r="Z286" s="100"/>
    </row>
    <row r="287" spans="1:34">
      <c r="A287" s="996"/>
      <c r="B287" s="997">
        <v>266</v>
      </c>
      <c r="C287" s="997"/>
      <c r="D287" s="997"/>
      <c r="E287" s="997"/>
      <c r="F287" s="999"/>
      <c r="G287" s="1000"/>
      <c r="H287" s="1001"/>
      <c r="I287" s="1002"/>
      <c r="J287" s="1003"/>
      <c r="K287" s="1003"/>
      <c r="L287" s="1001"/>
      <c r="M287" s="1004"/>
      <c r="N287" s="1005"/>
      <c r="O287" s="1006"/>
      <c r="P287" s="100"/>
      <c r="Q287" s="100"/>
      <c r="R287" s="100"/>
      <c r="S287" s="100"/>
      <c r="T287" s="100"/>
      <c r="U287" s="100"/>
      <c r="V287" s="100"/>
      <c r="W287" s="100"/>
      <c r="X287" s="100"/>
      <c r="Y287" s="100"/>
      <c r="Z287" s="100"/>
    </row>
    <row r="288" spans="1:34">
      <c r="A288" s="996"/>
      <c r="B288" s="997">
        <v>267</v>
      </c>
      <c r="C288" s="997"/>
      <c r="D288" s="997"/>
      <c r="E288" s="997"/>
      <c r="F288" s="999"/>
      <c r="G288" s="1000"/>
      <c r="H288" s="1001"/>
      <c r="I288" s="1002"/>
      <c r="J288" s="1003"/>
      <c r="K288" s="1003"/>
      <c r="L288" s="1001"/>
      <c r="M288" s="1004"/>
      <c r="N288" s="1005"/>
      <c r="O288" s="1006"/>
      <c r="P288" s="100"/>
      <c r="Q288" s="100"/>
      <c r="R288" s="100"/>
      <c r="S288" s="100"/>
      <c r="T288" s="100"/>
      <c r="U288" s="100"/>
      <c r="V288" s="100"/>
      <c r="W288" s="100"/>
      <c r="X288" s="100"/>
      <c r="Y288" s="100"/>
      <c r="Z288" s="100"/>
    </row>
    <row r="289" spans="1:26">
      <c r="A289" s="996"/>
      <c r="B289" s="997">
        <v>268</v>
      </c>
      <c r="C289" s="997"/>
      <c r="D289" s="997"/>
      <c r="E289" s="997"/>
      <c r="F289" s="999"/>
      <c r="G289" s="1000"/>
      <c r="H289" s="1001"/>
      <c r="I289" s="1002"/>
      <c r="J289" s="1003"/>
      <c r="K289" s="1003"/>
      <c r="L289" s="1001"/>
      <c r="M289" s="1004"/>
      <c r="N289" s="1005"/>
      <c r="O289" s="1006"/>
      <c r="P289" s="100"/>
      <c r="Q289" s="100"/>
      <c r="R289" s="100"/>
      <c r="S289" s="100"/>
      <c r="T289" s="100"/>
      <c r="U289" s="100"/>
      <c r="V289" s="100"/>
      <c r="W289" s="100"/>
      <c r="X289" s="100"/>
      <c r="Y289" s="100"/>
      <c r="Z289" s="100"/>
    </row>
    <row r="290" spans="1:26">
      <c r="A290" s="996"/>
      <c r="B290" s="997">
        <v>269</v>
      </c>
      <c r="C290" s="997"/>
      <c r="D290" s="997"/>
      <c r="E290" s="997"/>
      <c r="F290" s="999"/>
      <c r="G290" s="1000"/>
      <c r="H290" s="1001"/>
      <c r="I290" s="1002"/>
      <c r="J290" s="1003"/>
      <c r="K290" s="1003"/>
      <c r="L290" s="1001"/>
      <c r="M290" s="1004"/>
      <c r="N290" s="1005"/>
      <c r="O290" s="1006"/>
      <c r="P290" s="100"/>
      <c r="Q290" s="100"/>
      <c r="R290" s="100"/>
      <c r="S290" s="100"/>
      <c r="T290" s="100"/>
      <c r="U290" s="100"/>
      <c r="V290" s="100"/>
      <c r="W290" s="100"/>
      <c r="X290" s="100"/>
      <c r="Y290" s="100"/>
      <c r="Z290" s="100"/>
    </row>
    <row r="291" spans="1:26">
      <c r="A291" s="996"/>
      <c r="B291" s="997">
        <v>270</v>
      </c>
      <c r="C291" s="997"/>
      <c r="D291" s="997"/>
      <c r="E291" s="997"/>
      <c r="F291" s="999"/>
      <c r="G291" s="1000"/>
      <c r="H291" s="1001"/>
      <c r="I291" s="1002"/>
      <c r="J291" s="1003"/>
      <c r="K291" s="1003"/>
      <c r="L291" s="1001"/>
      <c r="M291" s="1004"/>
      <c r="N291" s="1005"/>
      <c r="O291" s="1006"/>
      <c r="P291" s="100"/>
      <c r="Q291" s="100"/>
      <c r="R291" s="100"/>
      <c r="S291" s="100"/>
      <c r="T291" s="100"/>
      <c r="U291" s="100"/>
      <c r="V291" s="100"/>
      <c r="W291" s="100"/>
      <c r="X291" s="100"/>
      <c r="Y291" s="100"/>
      <c r="Z291" s="100"/>
    </row>
    <row r="292" spans="1:26">
      <c r="A292" s="996"/>
      <c r="B292" s="997">
        <v>271</v>
      </c>
      <c r="C292" s="997"/>
      <c r="D292" s="997"/>
      <c r="E292" s="997"/>
      <c r="F292" s="999"/>
      <c r="G292" s="1000"/>
      <c r="H292" s="1001"/>
      <c r="I292" s="1002"/>
      <c r="J292" s="1003"/>
      <c r="K292" s="1003"/>
      <c r="L292" s="1001"/>
      <c r="M292" s="1004"/>
      <c r="N292" s="1005"/>
      <c r="O292" s="1006"/>
      <c r="P292" s="100"/>
      <c r="Q292" s="100"/>
      <c r="R292" s="100"/>
      <c r="S292" s="100"/>
      <c r="T292" s="100"/>
      <c r="U292" s="100"/>
      <c r="V292" s="100"/>
      <c r="W292" s="100"/>
      <c r="X292" s="100"/>
      <c r="Y292" s="100"/>
      <c r="Z292" s="100"/>
    </row>
    <row r="293" spans="1:26">
      <c r="A293" s="996"/>
      <c r="B293" s="997">
        <v>272</v>
      </c>
      <c r="C293" s="997"/>
      <c r="D293" s="997"/>
      <c r="E293" s="997"/>
      <c r="F293" s="999"/>
      <c r="G293" s="1000"/>
      <c r="H293" s="1001"/>
      <c r="I293" s="1002"/>
      <c r="J293" s="1003"/>
      <c r="K293" s="1003"/>
      <c r="L293" s="1001"/>
      <c r="M293" s="1004"/>
      <c r="N293" s="1005"/>
      <c r="O293" s="1006"/>
      <c r="P293" s="100"/>
      <c r="Q293" s="100"/>
      <c r="R293" s="100"/>
      <c r="S293" s="100"/>
      <c r="T293" s="100"/>
      <c r="U293" s="100"/>
      <c r="V293" s="100"/>
      <c r="W293" s="100"/>
      <c r="X293" s="100"/>
      <c r="Y293" s="100"/>
      <c r="Z293" s="100"/>
    </row>
    <row r="294" spans="1:26">
      <c r="A294" s="996"/>
      <c r="B294" s="997">
        <v>273</v>
      </c>
      <c r="C294" s="998"/>
      <c r="D294" s="997"/>
      <c r="E294" s="997"/>
      <c r="F294" s="999"/>
      <c r="G294" s="1000"/>
      <c r="H294" s="1001"/>
      <c r="I294" s="1002"/>
      <c r="J294" s="1003"/>
      <c r="K294" s="1003"/>
      <c r="L294" s="1001"/>
      <c r="M294" s="1004"/>
      <c r="N294" s="1005"/>
      <c r="O294" s="1006"/>
      <c r="P294" s="100"/>
      <c r="Q294" s="100"/>
      <c r="R294" s="100"/>
      <c r="S294" s="100"/>
      <c r="T294" s="100"/>
      <c r="U294" s="100"/>
      <c r="V294" s="100"/>
      <c r="W294" s="100"/>
      <c r="X294" s="100"/>
      <c r="Y294" s="100"/>
      <c r="Z294" s="100"/>
    </row>
    <row r="295" spans="1:26">
      <c r="A295" s="996"/>
      <c r="B295" s="997">
        <v>274</v>
      </c>
      <c r="C295" s="998"/>
      <c r="D295" s="997"/>
      <c r="E295" s="997"/>
      <c r="F295" s="999"/>
      <c r="G295" s="1000"/>
      <c r="H295" s="1001"/>
      <c r="I295" s="1002"/>
      <c r="J295" s="1003"/>
      <c r="K295" s="1003"/>
      <c r="L295" s="1001"/>
      <c r="M295" s="1004"/>
      <c r="N295" s="1005"/>
      <c r="O295" s="1006"/>
      <c r="P295" s="100"/>
      <c r="Q295" s="100"/>
      <c r="R295" s="100"/>
      <c r="S295" s="100"/>
      <c r="T295" s="100"/>
      <c r="U295" s="100"/>
      <c r="V295" s="100"/>
      <c r="W295" s="100"/>
      <c r="X295" s="100"/>
      <c r="Y295" s="100"/>
      <c r="Z295" s="100"/>
    </row>
    <row r="296" spans="1:26">
      <c r="A296" s="996"/>
      <c r="B296" s="997">
        <v>275</v>
      </c>
      <c r="C296" s="998"/>
      <c r="D296" s="997"/>
      <c r="E296" s="997"/>
      <c r="F296" s="999"/>
      <c r="G296" s="1000"/>
      <c r="H296" s="1001"/>
      <c r="I296" s="1002"/>
      <c r="J296" s="1003"/>
      <c r="K296" s="1003"/>
      <c r="L296" s="1001"/>
      <c r="M296" s="1004"/>
      <c r="N296" s="1005"/>
      <c r="O296" s="1006"/>
      <c r="P296" s="100"/>
      <c r="Q296" s="100"/>
      <c r="R296" s="100"/>
      <c r="S296" s="100"/>
      <c r="T296" s="100"/>
      <c r="U296" s="100"/>
      <c r="V296" s="100"/>
      <c r="W296" s="100"/>
      <c r="X296" s="100"/>
      <c r="Y296" s="100"/>
      <c r="Z296" s="100"/>
    </row>
    <row r="297" spans="1:26">
      <c r="A297" s="996"/>
      <c r="B297" s="997">
        <v>276</v>
      </c>
      <c r="C297" s="998"/>
      <c r="D297" s="997"/>
      <c r="E297" s="997"/>
      <c r="F297" s="999"/>
      <c r="G297" s="1000"/>
      <c r="H297" s="1001"/>
      <c r="I297" s="1002"/>
      <c r="J297" s="1003"/>
      <c r="K297" s="1003"/>
      <c r="L297" s="1001"/>
      <c r="M297" s="1004"/>
      <c r="N297" s="1005"/>
      <c r="O297" s="1006"/>
      <c r="P297" s="100"/>
      <c r="Q297" s="100"/>
      <c r="R297" s="100"/>
      <c r="S297" s="100"/>
      <c r="T297" s="100"/>
      <c r="U297" s="100"/>
      <c r="V297" s="100"/>
      <c r="W297" s="100"/>
      <c r="X297" s="100"/>
      <c r="Y297" s="100"/>
      <c r="Z297" s="100"/>
    </row>
    <row r="298" spans="1:26">
      <c r="A298" s="996"/>
      <c r="B298" s="997">
        <v>277</v>
      </c>
      <c r="C298" s="998"/>
      <c r="D298" s="997"/>
      <c r="E298" s="997"/>
      <c r="F298" s="999"/>
      <c r="G298" s="1000"/>
      <c r="H298" s="1001"/>
      <c r="I298" s="1002"/>
      <c r="J298" s="1003"/>
      <c r="K298" s="1003"/>
      <c r="L298" s="1001"/>
      <c r="M298" s="1004"/>
      <c r="N298" s="1005"/>
      <c r="O298" s="1006"/>
      <c r="P298" s="100"/>
      <c r="Q298" s="100"/>
      <c r="R298" s="100"/>
      <c r="S298" s="100"/>
      <c r="T298" s="100"/>
      <c r="U298" s="100"/>
      <c r="V298" s="100"/>
      <c r="W298" s="100"/>
      <c r="X298" s="100"/>
      <c r="Y298" s="100"/>
      <c r="Z298" s="100"/>
    </row>
    <row r="299" spans="1:26">
      <c r="A299" s="996"/>
      <c r="B299" s="997">
        <v>278</v>
      </c>
      <c r="C299" s="998"/>
      <c r="D299" s="997"/>
      <c r="E299" s="997"/>
      <c r="F299" s="999"/>
      <c r="G299" s="1000"/>
      <c r="H299" s="1001"/>
      <c r="I299" s="1002"/>
      <c r="J299" s="1003"/>
      <c r="K299" s="1003"/>
      <c r="L299" s="1001"/>
      <c r="M299" s="1004"/>
      <c r="N299" s="1005"/>
      <c r="O299" s="1006"/>
      <c r="P299" s="100"/>
      <c r="Q299" s="100"/>
      <c r="R299" s="100"/>
      <c r="S299" s="100"/>
      <c r="T299" s="100"/>
      <c r="U299" s="100"/>
      <c r="V299" s="100"/>
      <c r="W299" s="100"/>
      <c r="X299" s="100"/>
      <c r="Y299" s="100"/>
      <c r="Z299" s="100"/>
    </row>
    <row r="300" spans="1:26">
      <c r="A300" s="996"/>
      <c r="B300" s="997">
        <v>279</v>
      </c>
      <c r="C300" s="998"/>
      <c r="D300" s="997"/>
      <c r="E300" s="997"/>
      <c r="F300" s="999"/>
      <c r="G300" s="1000"/>
      <c r="H300" s="1001"/>
      <c r="I300" s="1002"/>
      <c r="J300" s="1003"/>
      <c r="K300" s="1003"/>
      <c r="L300" s="1001"/>
      <c r="M300" s="1004"/>
      <c r="N300" s="1005"/>
      <c r="O300" s="1006"/>
      <c r="P300" s="100"/>
      <c r="Q300" s="100"/>
      <c r="R300" s="100"/>
      <c r="S300" s="100"/>
      <c r="T300" s="100"/>
      <c r="U300" s="100"/>
      <c r="V300" s="100"/>
      <c r="W300" s="100"/>
      <c r="X300" s="100"/>
      <c r="Y300" s="100"/>
      <c r="Z300" s="100"/>
    </row>
    <row r="301" spans="1:26">
      <c r="A301" s="996"/>
      <c r="B301" s="997">
        <v>280</v>
      </c>
      <c r="C301" s="998"/>
      <c r="D301" s="997"/>
      <c r="E301" s="997"/>
      <c r="F301" s="999"/>
      <c r="G301" s="1000"/>
      <c r="H301" s="1001"/>
      <c r="I301" s="1002"/>
      <c r="J301" s="1003"/>
      <c r="K301" s="1003"/>
      <c r="L301" s="1001"/>
      <c r="M301" s="1004"/>
      <c r="N301" s="1005"/>
      <c r="O301" s="1006"/>
      <c r="P301" s="100"/>
      <c r="Q301" s="100"/>
      <c r="R301" s="100"/>
      <c r="S301" s="100"/>
      <c r="T301" s="100"/>
      <c r="U301" s="100"/>
      <c r="V301" s="100"/>
      <c r="W301" s="100"/>
      <c r="X301" s="100"/>
      <c r="Y301" s="100"/>
      <c r="Z301" s="100"/>
    </row>
    <row r="302" spans="1:26">
      <c r="A302" s="996"/>
      <c r="B302" s="997"/>
      <c r="C302" s="998"/>
      <c r="D302" s="997"/>
      <c r="E302" s="997"/>
      <c r="F302" s="999"/>
      <c r="G302" s="1000"/>
      <c r="H302" s="1001"/>
      <c r="I302" s="1002"/>
      <c r="J302" s="1003"/>
      <c r="K302" s="1003"/>
      <c r="L302" s="1001"/>
      <c r="M302" s="1004"/>
      <c r="N302" s="1005"/>
      <c r="O302" s="1006"/>
      <c r="P302" s="100"/>
      <c r="Q302" s="100"/>
      <c r="R302" s="100"/>
      <c r="S302" s="100"/>
      <c r="T302" s="100"/>
      <c r="U302" s="100"/>
      <c r="V302" s="100"/>
      <c r="W302" s="100"/>
      <c r="X302" s="100"/>
      <c r="Y302" s="100"/>
      <c r="Z302" s="100"/>
    </row>
  </sheetData>
  <phoneticPr fontId="0" type="noConversion"/>
  <hyperlinks>
    <hyperlink ref="I8" r:id="rId1" display="http://research.chem.psu.edu/brpgroup/pKa_compilation.pdf" xr:uid="{00000000-0004-0000-0900-000000000000}"/>
    <hyperlink ref="I9" r:id="rId2" display="http://www.zirchrom.com/organic.htm" xr:uid="{00000000-0004-0000-0900-000001000000}"/>
    <hyperlink ref="I7" r:id="rId3" display="http://www.beloit.edu/~chem/Chem220/indicator/" xr:uid="{00000000-0004-0000-0900-000002000000}"/>
  </hyperlinks>
  <pageMargins left="0.78740157499999996" right="0.78740157499999996" top="0.984251969" bottom="0.984251969" header="0.49212598499999999" footer="0.49212598499999999"/>
  <pageSetup paperSize="9" orientation="portrait" r:id="rId4"/>
  <headerFooter alignWithMargins="0"/>
  <drawing r:id="rId5"/>
  <legacyDrawing r:id="rId6"/>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5"/>
  <dimension ref="A1:AH55"/>
  <sheetViews>
    <sheetView zoomScale="85" zoomScaleNormal="85" workbookViewId="0"/>
  </sheetViews>
  <sheetFormatPr defaultRowHeight="12.75"/>
  <cols>
    <col min="1" max="1" width="14.5703125" customWidth="1"/>
    <col min="2" max="9" width="12.7109375" customWidth="1"/>
    <col min="10" max="10" width="17" customWidth="1"/>
    <col min="11" max="17" width="15.7109375" customWidth="1"/>
    <col min="18" max="22" width="12.7109375" customWidth="1"/>
    <col min="23" max="23" width="16.7109375" customWidth="1"/>
    <col min="24" max="25" width="12.7109375" customWidth="1"/>
    <col min="26" max="26" width="16.85546875" customWidth="1"/>
    <col min="27" max="31" width="12.7109375" customWidth="1"/>
    <col min="32" max="32" width="18.28515625" customWidth="1"/>
    <col min="33" max="33" width="12.7109375" customWidth="1"/>
  </cols>
  <sheetData>
    <row r="1" spans="1:34" ht="24" customHeight="1">
      <c r="A1" s="424"/>
      <c r="B1" s="90" t="s">
        <v>806</v>
      </c>
      <c r="C1" s="90"/>
      <c r="D1" s="221"/>
      <c r="E1" s="221"/>
      <c r="F1" s="221"/>
      <c r="G1" s="221"/>
      <c r="H1" s="557" t="s">
        <v>759</v>
      </c>
      <c r="I1" s="426"/>
      <c r="J1" s="340"/>
      <c r="K1" s="378" t="s">
        <v>0</v>
      </c>
      <c r="L1" s="226"/>
      <c r="M1" s="226"/>
      <c r="N1" s="425" t="s">
        <v>649</v>
      </c>
      <c r="O1" s="425"/>
      <c r="P1" s="425"/>
      <c r="Q1" s="226"/>
      <c r="R1" s="427" t="s">
        <v>633</v>
      </c>
      <c r="S1" s="428"/>
      <c r="T1" s="428"/>
      <c r="U1" s="428"/>
      <c r="V1" s="428"/>
      <c r="W1" s="428"/>
      <c r="X1" s="428"/>
      <c r="Y1" s="429"/>
      <c r="Z1" s="337" t="s">
        <v>691</v>
      </c>
      <c r="AA1" s="226"/>
      <c r="AB1" s="226"/>
      <c r="AC1" s="226"/>
      <c r="AD1" s="226"/>
      <c r="AE1" s="226"/>
      <c r="AF1" s="226"/>
      <c r="AG1" s="229"/>
      <c r="AH1" s="30"/>
    </row>
    <row r="2" spans="1:34" ht="18" customHeight="1" thickBot="1">
      <c r="A2" s="746" t="s">
        <v>592</v>
      </c>
      <c r="B2" s="1188"/>
      <c r="C2" s="1188"/>
      <c r="D2" s="1188"/>
      <c r="E2" s="1189"/>
      <c r="F2" s="1189" t="s">
        <v>689</v>
      </c>
      <c r="G2" s="1190"/>
      <c r="H2" s="1191"/>
      <c r="I2" s="1192"/>
      <c r="J2" s="28"/>
      <c r="K2" s="380">
        <v>8</v>
      </c>
      <c r="L2" s="379">
        <v>1</v>
      </c>
      <c r="M2" s="379">
        <v>6</v>
      </c>
      <c r="N2" s="379">
        <v>3</v>
      </c>
      <c r="O2" s="379">
        <v>7</v>
      </c>
      <c r="P2" s="379">
        <v>2</v>
      </c>
      <c r="Q2" s="379">
        <v>5</v>
      </c>
      <c r="R2" s="285" t="s">
        <v>688</v>
      </c>
      <c r="S2" s="228"/>
      <c r="T2" s="228"/>
      <c r="U2" s="228"/>
      <c r="V2" s="228"/>
      <c r="W2" s="228"/>
      <c r="X2" s="228"/>
      <c r="Y2" s="286"/>
      <c r="Z2" s="218"/>
      <c r="AA2" s="252"/>
      <c r="AB2" s="314" t="s">
        <v>690</v>
      </c>
      <c r="AC2" s="50"/>
      <c r="AD2" s="50"/>
      <c r="AE2" s="208"/>
      <c r="AF2" s="209"/>
      <c r="AG2" s="212"/>
      <c r="AH2" s="30"/>
    </row>
    <row r="3" spans="1:34" ht="35.1" customHeight="1" thickTop="1">
      <c r="A3" s="387" t="s">
        <v>593</v>
      </c>
      <c r="B3" s="1193" t="str">
        <f>K3</f>
        <v>Phosphoric acid</v>
      </c>
      <c r="C3" s="1193" t="str">
        <f t="shared" ref="C3:H3" si="0">L3</f>
        <v>Acetic acid</v>
      </c>
      <c r="D3" s="1193" t="str">
        <f t="shared" si="0"/>
        <v>HCl</v>
      </c>
      <c r="E3" s="1193" t="str">
        <f t="shared" si="0"/>
        <v>Carbonic acid</v>
      </c>
      <c r="F3" s="1193" t="str">
        <f t="shared" si="0"/>
        <v>Hydroxide ion</v>
      </c>
      <c r="G3" s="1193" t="str">
        <f t="shared" si="0"/>
        <v>Ammonia</v>
      </c>
      <c r="H3" s="1194" t="str">
        <f t="shared" si="0"/>
        <v>EDTA</v>
      </c>
      <c r="I3" s="586"/>
      <c r="J3" s="387" t="s">
        <v>596</v>
      </c>
      <c r="K3" s="281" t="s">
        <v>126</v>
      </c>
      <c r="L3" s="281" t="s">
        <v>128</v>
      </c>
      <c r="M3" s="281" t="s">
        <v>329</v>
      </c>
      <c r="N3" s="281" t="s">
        <v>161</v>
      </c>
      <c r="O3" s="281" t="s">
        <v>629</v>
      </c>
      <c r="P3" s="281" t="s">
        <v>129</v>
      </c>
      <c r="Q3" s="282" t="s">
        <v>333</v>
      </c>
      <c r="R3" s="32" t="s">
        <v>596</v>
      </c>
      <c r="S3" s="339" t="str">
        <f>K3</f>
        <v>Phosphoric acid</v>
      </c>
      <c r="T3" s="339" t="str">
        <f t="shared" ref="T3:Y3" si="1">L3</f>
        <v>Acetic acid</v>
      </c>
      <c r="U3" s="339" t="str">
        <f t="shared" si="1"/>
        <v>HCl</v>
      </c>
      <c r="V3" s="339" t="str">
        <f t="shared" si="1"/>
        <v>Carbonic acid</v>
      </c>
      <c r="W3" s="339" t="str">
        <f t="shared" si="1"/>
        <v>Hydroxide ion</v>
      </c>
      <c r="X3" s="339" t="str">
        <f t="shared" si="1"/>
        <v>Ammonia</v>
      </c>
      <c r="Y3" s="339" t="str">
        <f t="shared" si="1"/>
        <v>EDTA</v>
      </c>
      <c r="Z3" s="31" t="s">
        <v>596</v>
      </c>
      <c r="AA3" s="223" t="str">
        <f>IF(VLOOKUP(K$2,Database!$B$22:$N$301,2)="","",VLOOKUP(K$2,Database!$B$22:$N$301,2))</f>
        <v>Phosphoric acid</v>
      </c>
      <c r="AB3" s="223" t="str">
        <f>IF(VLOOKUP(L$2,Database!$B$22:$N$301,2)="","",VLOOKUP(L$2,Database!$B$22:$N$301,2))</f>
        <v>Acetic acid</v>
      </c>
      <c r="AC3" s="223" t="str">
        <f>IF(VLOOKUP(M$2,Database!$B$22:$N$301,2)="","",VLOOKUP(M$2,Database!$B$22:$N$301,2))</f>
        <v>HCl</v>
      </c>
      <c r="AD3" s="223" t="str">
        <f>IF(VLOOKUP(N$2,Database!$B$22:$N$301,2)="","",VLOOKUP(N$2,Database!$B$22:$N$301,2))</f>
        <v>Carbonic acid</v>
      </c>
      <c r="AE3" s="223" t="str">
        <f>IF(VLOOKUP(O$2,Database!$B$22:$N$301,2)="","",VLOOKUP(O$2,Database!$B$22:$N$301,2))</f>
        <v>Hydroxide ion</v>
      </c>
      <c r="AF3" s="223" t="str">
        <f>IF(VLOOKUP(P$2,Database!$B$22:$N$301,2)="","",VLOOKUP(P$2,Database!$B$22:$N$301,2))</f>
        <v>Ammonia</v>
      </c>
      <c r="AG3" s="244" t="str">
        <f>IF(VLOOKUP(Q$2,Database!$B$22:$N$301,2)="","",VLOOKUP(Q$2,Database!$B$22:$N$301,2))</f>
        <v>EDTA</v>
      </c>
      <c r="AH3" s="30"/>
    </row>
    <row r="4" spans="1:34" ht="15.75" customHeight="1" thickBot="1">
      <c r="A4" s="1195" t="s">
        <v>335</v>
      </c>
      <c r="B4" s="1196"/>
      <c r="C4" s="1197"/>
      <c r="D4" s="1197"/>
      <c r="E4" s="1197"/>
      <c r="F4" s="1197"/>
      <c r="G4" s="1331"/>
      <c r="H4" s="1198"/>
      <c r="I4" s="586"/>
      <c r="J4" s="233" t="s">
        <v>597</v>
      </c>
      <c r="K4" s="268">
        <v>-3</v>
      </c>
      <c r="L4" s="268">
        <v>-1</v>
      </c>
      <c r="M4" s="268">
        <v>-1</v>
      </c>
      <c r="N4" s="268">
        <v>-2</v>
      </c>
      <c r="O4" s="268">
        <v>-1</v>
      </c>
      <c r="P4" s="268">
        <v>0</v>
      </c>
      <c r="Q4" s="268">
        <v>-4</v>
      </c>
      <c r="R4" s="234" t="s">
        <v>597</v>
      </c>
      <c r="S4" s="631">
        <f t="shared" ref="S4:Y4" si="2">K4</f>
        <v>-3</v>
      </c>
      <c r="T4" s="632">
        <f t="shared" si="2"/>
        <v>-1</v>
      </c>
      <c r="U4" s="632">
        <f t="shared" si="2"/>
        <v>-1</v>
      </c>
      <c r="V4" s="632">
        <f t="shared" si="2"/>
        <v>-2</v>
      </c>
      <c r="W4" s="632">
        <f t="shared" si="2"/>
        <v>-1</v>
      </c>
      <c r="X4" s="632">
        <f t="shared" si="2"/>
        <v>0</v>
      </c>
      <c r="Y4" s="633">
        <f t="shared" si="2"/>
        <v>-4</v>
      </c>
      <c r="Z4" s="233" t="s">
        <v>607</v>
      </c>
      <c r="AA4" s="246">
        <f>IF(VLOOKUP(K$2,Database!$B$22:$N$301,3)="","",VLOOKUP(K$2,Database!$B$22:$N$301,3))</f>
        <v>-3</v>
      </c>
      <c r="AB4" s="246">
        <f>IF(VLOOKUP(L$2,Database!$B$22:$N$301,3)="","",VLOOKUP(L$2,Database!$B$22:$N$301,3))</f>
        <v>-1</v>
      </c>
      <c r="AC4" s="246">
        <f>IF(VLOOKUP(M$2,Database!$B$22:$N$301,3)="","",VLOOKUP(M$2,Database!$B$22:$N$301,3))</f>
        <v>-1</v>
      </c>
      <c r="AD4" s="246">
        <f>IF(VLOOKUP(N$2,Database!$B$22:$N$301,3)="","",VLOOKUP(N$2,Database!$B$22:$N$301,3))</f>
        <v>-2</v>
      </c>
      <c r="AE4" s="246">
        <f>IF(VLOOKUP(O$2,Database!$B$22:$N$301,3)="","",VLOOKUP(O$2,Database!$B$22:$N$301,3))</f>
        <v>-1</v>
      </c>
      <c r="AF4" s="246">
        <f>IF(VLOOKUP(P$2,Database!$B$22:$N$301,3)="","",VLOOKUP(P$2,Database!$B$22:$N$301,3))</f>
        <v>0</v>
      </c>
      <c r="AG4" s="253">
        <f>IF(VLOOKUP(Q$2,Database!$B$22:$N$301,3)="","",VLOOKUP(Q$2,Database!$B$22:$N$301,3))</f>
        <v>-4</v>
      </c>
      <c r="AH4" s="30"/>
    </row>
    <row r="5" spans="1:34" ht="15.75" customHeight="1" thickBot="1">
      <c r="A5" s="1325" t="s">
        <v>336</v>
      </c>
      <c r="B5" s="1328">
        <v>2.6499999999999999E-2</v>
      </c>
      <c r="C5" s="1330"/>
      <c r="D5" s="1330"/>
      <c r="E5" s="258"/>
      <c r="F5" s="1330"/>
      <c r="G5" s="258"/>
      <c r="H5" s="259"/>
      <c r="I5" s="586"/>
      <c r="J5" s="201" t="s">
        <v>638</v>
      </c>
      <c r="K5" s="269">
        <v>2.1480000000000001</v>
      </c>
      <c r="L5" s="269">
        <v>4.7569999999999997</v>
      </c>
      <c r="M5" s="269">
        <v>-7</v>
      </c>
      <c r="N5" s="269">
        <v>6.3520000000000003</v>
      </c>
      <c r="O5" s="269">
        <v>15.744999999999999</v>
      </c>
      <c r="P5" s="269">
        <v>9.2439999999999998</v>
      </c>
      <c r="Q5" s="270">
        <v>-0.21</v>
      </c>
      <c r="R5" s="34" t="s">
        <v>490</v>
      </c>
      <c r="S5" s="111">
        <f t="shared" ref="S5:Y5" si="3">IF(K5="","",IF(K6="",10^K5,(IF(K7="",10^K6,(IF(K8="",10^K7,(IF(K9="",10^K8,(IF(K10="",10^K9,10^K10))))))))))</f>
        <v>2238721138568.3457</v>
      </c>
      <c r="T5" s="115">
        <f t="shared" si="3"/>
        <v>57147.863667186728</v>
      </c>
      <c r="U5" s="115">
        <f t="shared" si="3"/>
        <v>9.9999999999999995E-8</v>
      </c>
      <c r="V5" s="115">
        <f t="shared" si="3"/>
        <v>21330449131.465843</v>
      </c>
      <c r="W5" s="115">
        <f t="shared" si="3"/>
        <v>5559042572704029</v>
      </c>
      <c r="X5" s="115">
        <f t="shared" si="3"/>
        <v>1753880501.8417609</v>
      </c>
      <c r="Y5" s="225">
        <f t="shared" si="3"/>
        <v>107151930523.76077</v>
      </c>
      <c r="Z5" s="201" t="s">
        <v>584</v>
      </c>
      <c r="AA5" s="254">
        <f>IF(VLOOKUP(K$2,Database!$B$22:$N$301,4)="","",VLOOKUP(K$2,Database!$B$22:$N$301,4))</f>
        <v>2.1480000000000001</v>
      </c>
      <c r="AB5" s="388">
        <f>IF(VLOOKUP(L$2,Database!$B$22:$N$301,4)="","",VLOOKUP(L$2,Database!$B$22:$N$301,4))</f>
        <v>4.7569999999999997</v>
      </c>
      <c r="AC5" s="388">
        <f>IF(VLOOKUP(M$2,Database!$B$22:$N$301,4)="","",VLOOKUP(M$2,Database!$B$22:$N$301,4))</f>
        <v>-7</v>
      </c>
      <c r="AD5" s="388">
        <f>IF(VLOOKUP(N$2,Database!$B$22:$N$301,4)="","",VLOOKUP(N$2,Database!$B$22:$N$301,4))</f>
        <v>6.3520000000000003</v>
      </c>
      <c r="AE5" s="388">
        <f>IF(VLOOKUP(O$2,Database!$B$22:$N$301,4)="","",VLOOKUP(O$2,Database!$B$22:$N$301,4))</f>
        <v>15.744999999999999</v>
      </c>
      <c r="AF5" s="388">
        <f>IF(VLOOKUP(P$2,Database!$B$22:$N$301,4)="","",VLOOKUP(P$2,Database!$B$22:$N$301,4))</f>
        <v>9.2439999999999998</v>
      </c>
      <c r="AG5" s="389">
        <f>IF(VLOOKUP(Q$2,Database!$B$22:$N$301,4)="","",VLOOKUP(Q$2,Database!$B$22:$N$301,4))</f>
        <v>-0.21</v>
      </c>
      <c r="AH5" s="30"/>
    </row>
    <row r="6" spans="1:34" ht="15.75" customHeight="1" thickBot="1">
      <c r="A6" s="1325" t="s">
        <v>491</v>
      </c>
      <c r="B6" s="1328">
        <v>0.02</v>
      </c>
      <c r="C6" s="560"/>
      <c r="D6" s="710"/>
      <c r="E6" s="1330"/>
      <c r="F6" s="560"/>
      <c r="G6" s="560"/>
      <c r="H6" s="259"/>
      <c r="I6" s="586"/>
      <c r="J6" s="202" t="s">
        <v>639</v>
      </c>
      <c r="K6" s="269">
        <v>7.1989999999999998</v>
      </c>
      <c r="L6" s="269" t="s">
        <v>591</v>
      </c>
      <c r="M6" s="269" t="s">
        <v>591</v>
      </c>
      <c r="N6" s="269">
        <v>10.329000000000001</v>
      </c>
      <c r="O6" s="269" t="s">
        <v>591</v>
      </c>
      <c r="P6" s="269" t="s">
        <v>591</v>
      </c>
      <c r="Q6" s="271">
        <v>1.5</v>
      </c>
      <c r="R6" s="36" t="s">
        <v>492</v>
      </c>
      <c r="S6" s="114">
        <f t="shared" ref="S6:Y6" si="4">IF(K6="","",IF(K7="",S5*10^K5,(IF(K8="",S5*10^K6,(IF(K9="",S5*10^K7,(IF(K10="",S5*10^K8,S5*10^K9))))))))</f>
        <v>3.539973410834362E+19</v>
      </c>
      <c r="T6" s="115" t="str">
        <f t="shared" si="4"/>
        <v/>
      </c>
      <c r="U6" s="115" t="str">
        <f t="shared" si="4"/>
        <v/>
      </c>
      <c r="V6" s="115">
        <f t="shared" si="4"/>
        <v>4.7973344863669224E+16</v>
      </c>
      <c r="W6" s="115" t="str">
        <f t="shared" si="4"/>
        <v/>
      </c>
      <c r="X6" s="115" t="str">
        <f t="shared" si="4"/>
        <v/>
      </c>
      <c r="Y6" s="117">
        <f t="shared" si="4"/>
        <v>6.0255958607435917E+17</v>
      </c>
      <c r="Z6" s="202" t="s">
        <v>585</v>
      </c>
      <c r="AA6" s="247">
        <f>IF(VLOOKUP(K$2,Database!$B$22:$N$301,5)="","",VLOOKUP(K$2,Database!$B$22:$N$301,5))</f>
        <v>7.1989999999999998</v>
      </c>
      <c r="AB6" s="248" t="str">
        <f>IF(VLOOKUP(L$2,Database!$B$22:$N$301,5)="","",VLOOKUP(L$2,Database!$B$22:$N$301,5))</f>
        <v/>
      </c>
      <c r="AC6" s="248" t="str">
        <f>IF(VLOOKUP(M$2,Database!$B$22:$N$301,5)="","",VLOOKUP(M$2,Database!$B$22:$N$301,5))</f>
        <v/>
      </c>
      <c r="AD6" s="248">
        <f>IF(VLOOKUP(N$2,Database!$B$22:$N$301,5)="","",VLOOKUP(N$2,Database!$B$22:$N$301,5))</f>
        <v>10.329000000000001</v>
      </c>
      <c r="AE6" s="248" t="str">
        <f>IF(VLOOKUP(O$2,Database!$B$22:$N$301,5)="","",VLOOKUP(O$2,Database!$B$22:$N$301,5))</f>
        <v/>
      </c>
      <c r="AF6" s="248" t="str">
        <f>IF(VLOOKUP(P$2,Database!$B$22:$N$301,5)="","",VLOOKUP(P$2,Database!$B$22:$N$301,5))</f>
        <v/>
      </c>
      <c r="AG6" s="249">
        <f>IF(VLOOKUP(Q$2,Database!$B$22:$N$301,5)="","",VLOOKUP(Q$2,Database!$B$22:$N$301,5))</f>
        <v>1.5</v>
      </c>
      <c r="AH6" s="30"/>
    </row>
    <row r="7" spans="1:34" ht="15.75" customHeight="1" thickBot="1">
      <c r="A7" s="1325" t="s">
        <v>493</v>
      </c>
      <c r="B7" s="1329"/>
      <c r="C7" s="560"/>
      <c r="D7" s="710"/>
      <c r="E7" s="560"/>
      <c r="F7" s="560"/>
      <c r="G7" s="560"/>
      <c r="H7" s="259"/>
      <c r="I7" s="586"/>
      <c r="J7" s="202" t="s">
        <v>640</v>
      </c>
      <c r="K7" s="269">
        <v>12.35</v>
      </c>
      <c r="L7" s="269" t="s">
        <v>591</v>
      </c>
      <c r="M7" s="269" t="s">
        <v>591</v>
      </c>
      <c r="N7" s="269" t="s">
        <v>591</v>
      </c>
      <c r="O7" s="269" t="s">
        <v>591</v>
      </c>
      <c r="P7" s="269" t="s">
        <v>591</v>
      </c>
      <c r="Q7" s="271">
        <v>2.21</v>
      </c>
      <c r="R7" s="36" t="s">
        <v>494</v>
      </c>
      <c r="S7" s="114">
        <f t="shared" ref="S7:Y7" si="5">IF(K7="","",IF(K8="",S6*10^K5,(IF(K9="",S6*10^K6,(IF(K10="",S6*10^K7,S6*10^K8))))))</f>
        <v>4.9773708497893867E+21</v>
      </c>
      <c r="T7" s="115" t="str">
        <f t="shared" si="5"/>
        <v/>
      </c>
      <c r="U7" s="115" t="str">
        <f t="shared" si="5"/>
        <v/>
      </c>
      <c r="V7" s="115" t="str">
        <f t="shared" si="5"/>
        <v/>
      </c>
      <c r="W7" s="115" t="str">
        <f t="shared" si="5"/>
        <v/>
      </c>
      <c r="X7" s="115" t="str">
        <f t="shared" si="5"/>
        <v/>
      </c>
      <c r="Y7" s="117">
        <f t="shared" si="5"/>
        <v>7.7624711662869401E+20</v>
      </c>
      <c r="Z7" s="202" t="s">
        <v>586</v>
      </c>
      <c r="AA7" s="247">
        <f>IF(VLOOKUP(K$2,Database!$B$22:$N$301,6)="","",VLOOKUP(K$2,Database!$B$22:$N$301,6))</f>
        <v>12.35</v>
      </c>
      <c r="AB7" s="248" t="str">
        <f>IF(VLOOKUP(L$2,Database!$B$22:$N$301,6)="","",VLOOKUP(L$2,Database!$B$22:$N$301,6))</f>
        <v/>
      </c>
      <c r="AC7" s="248" t="str">
        <f>IF(VLOOKUP(M$2,Database!$B$22:$N$301,6)="","",VLOOKUP(M$2,Database!$B$22:$N$301,6))</f>
        <v/>
      </c>
      <c r="AD7" s="248" t="str">
        <f>IF(VLOOKUP(N$2,Database!$B$22:$N$301,6)="","",VLOOKUP(N$2,Database!$B$22:$N$301,6))</f>
        <v/>
      </c>
      <c r="AE7" s="248" t="str">
        <f>IF(VLOOKUP(O$2,Database!$B$22:$N$301,6)="","",VLOOKUP(O$2,Database!$B$22:$N$301,6))</f>
        <v/>
      </c>
      <c r="AF7" s="248" t="str">
        <f>IF(VLOOKUP(P$2,Database!$B$22:$N$301,6)="","",VLOOKUP(P$2,Database!$B$22:$N$301,6))</f>
        <v/>
      </c>
      <c r="AG7" s="249">
        <f>IF(VLOOKUP(Q$2,Database!$B$22:$N$301,6)="","",VLOOKUP(Q$2,Database!$B$22:$N$301,6))</f>
        <v>2.21</v>
      </c>
      <c r="AH7" s="30"/>
    </row>
    <row r="8" spans="1:34" ht="15.75" customHeight="1" thickBot="1">
      <c r="A8" s="1325" t="s">
        <v>495</v>
      </c>
      <c r="B8" s="1322"/>
      <c r="C8" s="560"/>
      <c r="D8" s="560"/>
      <c r="E8" s="560"/>
      <c r="F8" s="560"/>
      <c r="G8" s="560"/>
      <c r="H8" s="1333"/>
      <c r="I8" s="586"/>
      <c r="J8" s="202" t="s">
        <v>641</v>
      </c>
      <c r="K8" s="269" t="s">
        <v>591</v>
      </c>
      <c r="L8" s="269" t="s">
        <v>591</v>
      </c>
      <c r="M8" s="269" t="s">
        <v>591</v>
      </c>
      <c r="N8" s="269" t="s">
        <v>591</v>
      </c>
      <c r="O8" s="269" t="s">
        <v>591</v>
      </c>
      <c r="P8" s="269" t="s">
        <v>591</v>
      </c>
      <c r="Q8" s="271">
        <v>3.11</v>
      </c>
      <c r="R8" s="36" t="s">
        <v>496</v>
      </c>
      <c r="S8" s="114" t="str">
        <f t="shared" ref="S8:Y8" si="6">IF(K8="","",IF(K9="",S7*10^K5,(IF(K10="",S7*10^K6,S7*10^K7))))</f>
        <v/>
      </c>
      <c r="T8" s="115" t="str">
        <f t="shared" si="6"/>
        <v/>
      </c>
      <c r="U8" s="115" t="str">
        <f t="shared" si="6"/>
        <v/>
      </c>
      <c r="V8" s="115" t="str">
        <f t="shared" si="6"/>
        <v/>
      </c>
      <c r="W8" s="115" t="str">
        <f t="shared" si="6"/>
        <v/>
      </c>
      <c r="X8" s="115" t="str">
        <f t="shared" si="6"/>
        <v/>
      </c>
      <c r="Y8" s="117">
        <f t="shared" si="6"/>
        <v>1.2589254117941712E+23</v>
      </c>
      <c r="Z8" s="202" t="s">
        <v>587</v>
      </c>
      <c r="AA8" s="247" t="str">
        <f>IF(VLOOKUP(K$2,Database!$B$22:$N$301,7)="","",VLOOKUP(K$2,Database!$B$22:$N$301,7))</f>
        <v/>
      </c>
      <c r="AB8" s="248" t="str">
        <f>IF(VLOOKUP(L$2,Database!$B$22:$N$301,7)="","",VLOOKUP(L$2,Database!$B$22:$N$301,7))</f>
        <v/>
      </c>
      <c r="AC8" s="248" t="str">
        <f>IF(VLOOKUP(M$2,Database!$B$22:$N$301,7)="","",VLOOKUP(M$2,Database!$B$22:$N$301,7))</f>
        <v/>
      </c>
      <c r="AD8" s="248" t="str">
        <f>IF(VLOOKUP(N$2,Database!$B$22:$N$301,7)="","",VLOOKUP(N$2,Database!$B$22:$N$301,7))</f>
        <v/>
      </c>
      <c r="AE8" s="248" t="str">
        <f>IF(VLOOKUP(O$2,Database!$B$22:$N$301,7)="","",VLOOKUP(O$2,Database!$B$22:$N$301,7))</f>
        <v/>
      </c>
      <c r="AF8" s="248" t="str">
        <f>IF(VLOOKUP(P$2,Database!$B$22:$N$301,7)="","",VLOOKUP(P$2,Database!$B$22:$N$301,7))</f>
        <v/>
      </c>
      <c r="AG8" s="249">
        <f>IF(VLOOKUP(Q$2,Database!$B$22:$N$301,7)="","",VLOOKUP(Q$2,Database!$B$22:$N$301,7))</f>
        <v>3.11</v>
      </c>
      <c r="AH8" s="30"/>
    </row>
    <row r="9" spans="1:34" ht="15.75" customHeight="1">
      <c r="A9" s="1325" t="s">
        <v>497</v>
      </c>
      <c r="B9" s="1322"/>
      <c r="C9" s="560"/>
      <c r="D9" s="560"/>
      <c r="E9" s="1168"/>
      <c r="F9" s="1168"/>
      <c r="G9" s="1168"/>
      <c r="H9" s="259"/>
      <c r="I9" s="1326" t="s">
        <v>351</v>
      </c>
      <c r="J9" s="202" t="s">
        <v>642</v>
      </c>
      <c r="K9" s="269" t="s">
        <v>591</v>
      </c>
      <c r="L9" s="269" t="s">
        <v>591</v>
      </c>
      <c r="M9" s="269" t="s">
        <v>591</v>
      </c>
      <c r="N9" s="269" t="s">
        <v>591</v>
      </c>
      <c r="O9" s="269" t="s">
        <v>591</v>
      </c>
      <c r="P9" s="269" t="s">
        <v>591</v>
      </c>
      <c r="Q9" s="271">
        <v>6.75</v>
      </c>
      <c r="R9" s="36" t="s">
        <v>498</v>
      </c>
      <c r="S9" s="114" t="str">
        <f t="shared" ref="S9:Y9" si="7">IF(K9="","",IF(K10="",S8*10^K5,S8*10^K6))</f>
        <v/>
      </c>
      <c r="T9" s="115" t="str">
        <f t="shared" si="7"/>
        <v/>
      </c>
      <c r="U9" s="115" t="str">
        <f t="shared" si="7"/>
        <v/>
      </c>
      <c r="V9" s="115" t="str">
        <f t="shared" si="7"/>
        <v/>
      </c>
      <c r="W9" s="115" t="str">
        <f t="shared" si="7"/>
        <v/>
      </c>
      <c r="X9" s="115" t="str">
        <f t="shared" si="7"/>
        <v/>
      </c>
      <c r="Y9" s="117">
        <f t="shared" si="7"/>
        <v>3.9810717055349867E+24</v>
      </c>
      <c r="Z9" s="202" t="s">
        <v>588</v>
      </c>
      <c r="AA9" s="247" t="str">
        <f>IF(VLOOKUP(K$2,Database!$B$22:$N$301,8)="","",VLOOKUP(K$2,Database!$B$22:$N$301,8))</f>
        <v/>
      </c>
      <c r="AB9" s="248" t="str">
        <f>IF(VLOOKUP(L$2,Database!$B$22:$N$301,8)="","",VLOOKUP(L$2,Database!$B$22:$N$301,8))</f>
        <v/>
      </c>
      <c r="AC9" s="248" t="str">
        <f>IF(VLOOKUP(M$2,Database!$B$22:$N$301,8)="","",VLOOKUP(M$2,Database!$B$22:$N$301,8))</f>
        <v/>
      </c>
      <c r="AD9" s="248" t="str">
        <f>IF(VLOOKUP(N$2,Database!$B$22:$N$301,8)="","",VLOOKUP(N$2,Database!$B$22:$N$301,8))</f>
        <v/>
      </c>
      <c r="AE9" s="248" t="str">
        <f>IF(VLOOKUP(O$2,Database!$B$22:$N$301,8)="","",VLOOKUP(O$2,Database!$B$22:$N$301,8))</f>
        <v/>
      </c>
      <c r="AF9" s="248" t="str">
        <f>IF(VLOOKUP(P$2,Database!$B$22:$N$301,8)="","",VLOOKUP(P$2,Database!$B$22:$N$301,8))</f>
        <v/>
      </c>
      <c r="AG9" s="249">
        <f>IF(VLOOKUP(Q$2,Database!$B$22:$N$301,8)="","",VLOOKUP(Q$2,Database!$B$22:$N$301,8))</f>
        <v>6.75</v>
      </c>
      <c r="AH9" s="30"/>
    </row>
    <row r="10" spans="1:34" ht="15.75" customHeight="1" thickBot="1">
      <c r="A10" s="1325" t="s">
        <v>499</v>
      </c>
      <c r="B10" s="1323"/>
      <c r="C10" s="1324"/>
      <c r="D10" s="1324"/>
      <c r="E10" s="1324"/>
      <c r="F10" s="1324"/>
      <c r="G10" s="1324"/>
      <c r="H10" s="1332"/>
      <c r="I10" s="1327" t="s">
        <v>348</v>
      </c>
      <c r="J10" s="1172" t="s">
        <v>643</v>
      </c>
      <c r="K10" s="269" t="s">
        <v>591</v>
      </c>
      <c r="L10" s="272" t="s">
        <v>591</v>
      </c>
      <c r="M10" s="272" t="s">
        <v>591</v>
      </c>
      <c r="N10" s="272" t="s">
        <v>591</v>
      </c>
      <c r="O10" s="272" t="s">
        <v>591</v>
      </c>
      <c r="P10" s="272" t="s">
        <v>591</v>
      </c>
      <c r="Q10" s="273">
        <v>11.03</v>
      </c>
      <c r="R10" s="37" t="s">
        <v>500</v>
      </c>
      <c r="S10" s="200" t="str">
        <f t="shared" ref="S10:Y10" si="8">IF(K10="","",S9*10^K5)</f>
        <v/>
      </c>
      <c r="T10" s="115" t="str">
        <f t="shared" si="8"/>
        <v/>
      </c>
      <c r="U10" s="115" t="str">
        <f t="shared" si="8"/>
        <v/>
      </c>
      <c r="V10" s="115" t="str">
        <f t="shared" si="8"/>
        <v/>
      </c>
      <c r="W10" s="115" t="str">
        <f t="shared" si="8"/>
        <v/>
      </c>
      <c r="X10" s="115" t="str">
        <f t="shared" si="8"/>
        <v/>
      </c>
      <c r="Y10" s="117">
        <f t="shared" si="8"/>
        <v>2.4547089156850394E+24</v>
      </c>
      <c r="Z10" s="203" t="s">
        <v>589</v>
      </c>
      <c r="AA10" s="616" t="str">
        <f>IF(VLOOKUP(K$2,Database!$B$22:$N$301,9)="","",VLOOKUP(K$2,Database!$B$22:$N$301,9))</f>
        <v/>
      </c>
      <c r="AB10" s="617" t="str">
        <f>IF(VLOOKUP(L$2,Database!$B$22:$N$301,9)="","",VLOOKUP(L$2,Database!$B$22:$N$301,9))</f>
        <v/>
      </c>
      <c r="AC10" s="617" t="str">
        <f>IF(VLOOKUP(M$2,Database!$B$22:$N$301,9)="","",VLOOKUP(M$2,Database!$B$22:$N$301,9))</f>
        <v/>
      </c>
      <c r="AD10" s="617" t="str">
        <f>IF(VLOOKUP(N$2,Database!$B$22:$N$301,9)="","",VLOOKUP(N$2,Database!$B$22:$N$301,9))</f>
        <v/>
      </c>
      <c r="AE10" s="617" t="str">
        <f>IF(VLOOKUP(O$2,Database!$B$22:$N$301,9)="","",VLOOKUP(O$2,Database!$B$22:$N$301,9))</f>
        <v/>
      </c>
      <c r="AF10" s="617" t="str">
        <f>IF(VLOOKUP(P$2,Database!$B$22:$N$301,9)="","",VLOOKUP(P$2,Database!$B$22:$N$301,9))</f>
        <v/>
      </c>
      <c r="AG10" s="618">
        <f>IF(VLOOKUP(Q$2,Database!$B$22:$N$301,9)="","",VLOOKUP(Q$2,Database!$B$22:$N$301,9))</f>
        <v>11.03</v>
      </c>
      <c r="AH10" s="30"/>
    </row>
    <row r="11" spans="1:34" ht="15.75" customHeight="1" thickTop="1" thickBot="1">
      <c r="A11" s="547" t="s">
        <v>501</v>
      </c>
      <c r="B11" s="24">
        <f>SUM(B4:B10)</f>
        <v>4.65E-2</v>
      </c>
      <c r="C11" s="24">
        <f t="shared" ref="C11:H11" si="9">SUM(C4:C10)</f>
        <v>0</v>
      </c>
      <c r="D11" s="24">
        <f t="shared" si="9"/>
        <v>0</v>
      </c>
      <c r="E11" s="24">
        <f t="shared" si="9"/>
        <v>0</v>
      </c>
      <c r="F11" s="24">
        <f t="shared" si="9"/>
        <v>0</v>
      </c>
      <c r="G11" s="24">
        <f t="shared" si="9"/>
        <v>0</v>
      </c>
      <c r="H11" s="24">
        <f t="shared" si="9"/>
        <v>0</v>
      </c>
      <c r="I11" s="39">
        <f>SUM(B11:H11)</f>
        <v>4.65E-2</v>
      </c>
      <c r="J11" s="1173" t="s">
        <v>594</v>
      </c>
      <c r="K11" s="40" t="s">
        <v>502</v>
      </c>
      <c r="L11" s="41" t="s">
        <v>503</v>
      </c>
      <c r="M11" s="41" t="s">
        <v>504</v>
      </c>
      <c r="N11" s="41" t="s">
        <v>505</v>
      </c>
      <c r="O11" s="41" t="s">
        <v>506</v>
      </c>
      <c r="P11" s="634" t="s">
        <v>807</v>
      </c>
      <c r="Q11" s="41" t="s">
        <v>507</v>
      </c>
      <c r="R11" s="1272" t="s">
        <v>339</v>
      </c>
      <c r="S11" s="78">
        <f>10^-K13</f>
        <v>1.0069316688518014E-14</v>
      </c>
      <c r="T11" s="399"/>
      <c r="U11" s="398"/>
      <c r="V11" s="394"/>
      <c r="W11" s="394"/>
      <c r="X11" s="394"/>
      <c r="Y11" s="394"/>
      <c r="Z11" s="203" t="s">
        <v>794</v>
      </c>
      <c r="AA11" s="619">
        <f>IF(VLOOKUP(K$2,Database!$B$22:$N$301,10)="","unknown",VLOOKUP(K$2,Database!$B$22:$N$301,10))</f>
        <v>25</v>
      </c>
      <c r="AB11" s="619">
        <f>IF(VLOOKUP(L$2,Database!$B$22:$N$301,10)="","unknown",VLOOKUP(L$2,Database!$B$22:$N$301,10))</f>
        <v>25</v>
      </c>
      <c r="AC11" s="619">
        <f>IF(VLOOKUP(M$2,Database!$B$22:$N$301,10)="","unknown",VLOOKUP(M$2,Database!$B$22:$N$301,10))</f>
        <v>25</v>
      </c>
      <c r="AD11" s="619">
        <f>IF(VLOOKUP(N$2,Database!$B$22:$N$301,10)="","unknown",VLOOKUP(N$2,Database!$B$22:$N$301,10))</f>
        <v>25</v>
      </c>
      <c r="AE11" s="619">
        <f>IF(VLOOKUP(O$2,Database!$B$22:$N$301,10)="","unknown",VLOOKUP(O$2,Database!$B$22:$N$301,10))</f>
        <v>25</v>
      </c>
      <c r="AF11" s="619">
        <f>IF(VLOOKUP(P$2,Database!$B$22:$N$301,10)="","unknown",VLOOKUP(P$2,Database!$B$22:$N$301,10))</f>
        <v>25</v>
      </c>
      <c r="AG11" s="620">
        <f>IF(VLOOKUP(Q$2,Database!$B$22:$N$301,10)="","unknown",VLOOKUP(Q$2,Database!$B$22:$N$301,10))</f>
        <v>25</v>
      </c>
      <c r="AH11" s="30"/>
    </row>
    <row r="12" spans="1:34" ht="15.75" customHeight="1" thickTop="1" thickBot="1">
      <c r="A12" s="547" t="s">
        <v>337</v>
      </c>
      <c r="B12" s="24">
        <f>B5+2*B6+3*B7+4*B8+5*B9+6*B10</f>
        <v>6.6500000000000004E-2</v>
      </c>
      <c r="C12" s="24">
        <f t="shared" ref="C12:H12" si="10">C5+2*C6+3*C7+4*C8+5*C9+6*C10</f>
        <v>0</v>
      </c>
      <c r="D12" s="24">
        <f>D5+2*D6+3*D7+4*D8+5*D9+6*D10</f>
        <v>0</v>
      </c>
      <c r="E12" s="24">
        <f t="shared" si="10"/>
        <v>0</v>
      </c>
      <c r="F12" s="24">
        <f>F5+2*F6+3*F7+4*F8+5*F9+6*F10</f>
        <v>0</v>
      </c>
      <c r="G12" s="24">
        <f t="shared" si="10"/>
        <v>0</v>
      </c>
      <c r="H12" s="24">
        <f t="shared" si="10"/>
        <v>0</v>
      </c>
      <c r="I12" s="42">
        <f>SUM(B12:H12)</f>
        <v>6.6500000000000004E-2</v>
      </c>
      <c r="J12" s="43" t="s">
        <v>598</v>
      </c>
      <c r="K12" s="44">
        <v>1</v>
      </c>
      <c r="L12" s="45">
        <v>1</v>
      </c>
      <c r="M12" s="45">
        <v>2</v>
      </c>
      <c r="N12" s="45">
        <v>-1</v>
      </c>
      <c r="O12" s="45">
        <v>-1</v>
      </c>
      <c r="P12" s="45">
        <v>-2</v>
      </c>
      <c r="Q12" s="45">
        <v>-1</v>
      </c>
      <c r="R12" s="397"/>
      <c r="S12" s="398"/>
      <c r="T12" s="243"/>
      <c r="U12" s="243"/>
      <c r="V12" s="243"/>
      <c r="W12" s="243"/>
      <c r="X12" s="243"/>
      <c r="Y12" s="243"/>
      <c r="Z12" s="224" t="s">
        <v>795</v>
      </c>
      <c r="AA12" s="621">
        <f>IF(VLOOKUP(K$2,Database!$B$22:$N$301,11)="","unknown",VLOOKUP(K$2,Database!$B$22:$N$301,11))</f>
        <v>0</v>
      </c>
      <c r="AB12" s="621">
        <f>IF(VLOOKUP(L$2,Database!$B$22:$N$301,11)="","unknown",VLOOKUP(L$2,Database!$B$22:$N$301,11))</f>
        <v>0</v>
      </c>
      <c r="AC12" s="621">
        <f>IF(VLOOKUP(M$2,Database!$B$22:$N$301,11)="","unknown",VLOOKUP(M$2,Database!$B$22:$N$301,11))</f>
        <v>0</v>
      </c>
      <c r="AD12" s="621">
        <f>IF(VLOOKUP(N$2,Database!$B$22:$N$301,11)="","unknown",VLOOKUP(N$2,Database!$B$22:$N$301,11))</f>
        <v>0</v>
      </c>
      <c r="AE12" s="621">
        <f>IF(VLOOKUP(O$2,Database!$B$22:$N$301,11)="","unknown",VLOOKUP(O$2,Database!$B$22:$N$301,11))</f>
        <v>0</v>
      </c>
      <c r="AF12" s="621">
        <f>IF(VLOOKUP(P$2,Database!$B$22:$N$301,11)="","unknown",VLOOKUP(P$2,Database!$B$22:$N$301,11))</f>
        <v>0</v>
      </c>
      <c r="AG12" s="622">
        <f>IF(VLOOKUP(Q$2,Database!$B$22:$N$301,11)="","unknown",VLOOKUP(Q$2,Database!$B$22:$N$301,11))</f>
        <v>0</v>
      </c>
      <c r="AH12" s="30"/>
    </row>
    <row r="13" spans="1:34" ht="15.75" customHeight="1" thickTop="1" thickBot="1">
      <c r="A13" s="548" t="s">
        <v>579</v>
      </c>
      <c r="B13" s="24">
        <f t="shared" ref="B13:H13" si="11">K4*B4+(K4+1)*B5+(K4+2)*B6+(K4+3)*B7+(K4+4)*B8+(K4+5)*B9+(K4+6)*B10</f>
        <v>-7.2999999999999995E-2</v>
      </c>
      <c r="C13" s="24">
        <f t="shared" si="11"/>
        <v>0</v>
      </c>
      <c r="D13" s="24">
        <f>M4*D4+(M4+1)*D5+(M4+2)*D6+(M4+3)*D7+(M4+4)*D8+(M4+5)*D9+(M4+6)*D10</f>
        <v>0</v>
      </c>
      <c r="E13" s="24">
        <f t="shared" si="11"/>
        <v>0</v>
      </c>
      <c r="F13" s="24">
        <f>O4*F4+(O4+1)*F5+(O4+2)*F6+(O4+3)*F7+(O4+4)*F8+(O4+5)*F9+(O4+6)*F10</f>
        <v>0</v>
      </c>
      <c r="G13" s="24">
        <f t="shared" si="11"/>
        <v>0</v>
      </c>
      <c r="H13" s="24">
        <f t="shared" si="11"/>
        <v>0</v>
      </c>
      <c r="I13" s="104">
        <f>SUM(B13:H13)</f>
        <v>-7.2999999999999995E-2</v>
      </c>
      <c r="J13" s="46" t="s">
        <v>338</v>
      </c>
      <c r="K13" s="47">
        <v>13.997</v>
      </c>
      <c r="L13" s="30"/>
      <c r="M13" s="30"/>
      <c r="N13" s="30"/>
      <c r="O13" s="30"/>
      <c r="P13" s="30"/>
      <c r="Q13" s="30"/>
      <c r="R13" s="27"/>
      <c r="S13" s="27"/>
      <c r="T13" s="27"/>
      <c r="U13" s="27"/>
      <c r="V13" s="27"/>
      <c r="W13" s="27"/>
      <c r="X13" s="27"/>
      <c r="Y13" s="27"/>
      <c r="Z13" s="30"/>
      <c r="AA13" s="30"/>
      <c r="AB13" s="30"/>
      <c r="AC13" s="30"/>
      <c r="AD13" s="30"/>
      <c r="AE13" s="30"/>
      <c r="AF13" s="30"/>
      <c r="AG13" s="30"/>
      <c r="AH13" s="30"/>
    </row>
    <row r="14" spans="1:34" s="15" customFormat="1" ht="16.5" customHeight="1" thickTop="1">
      <c r="A14" s="48" t="s">
        <v>594</v>
      </c>
      <c r="B14" s="469" t="str">
        <f>K11</f>
        <v>Na+</v>
      </c>
      <c r="C14" s="469" t="str">
        <f t="shared" ref="C14:H14" si="12">L11</f>
        <v>K+</v>
      </c>
      <c r="D14" s="469" t="str">
        <f t="shared" si="12"/>
        <v>Ca++</v>
      </c>
      <c r="E14" s="469" t="str">
        <f t="shared" si="12"/>
        <v>Cl-</v>
      </c>
      <c r="F14" s="469" t="str">
        <f t="shared" si="12"/>
        <v>NO3-</v>
      </c>
      <c r="G14" s="469" t="str">
        <f t="shared" si="12"/>
        <v>SO4=</v>
      </c>
      <c r="H14" s="470" t="str">
        <f t="shared" si="12"/>
        <v>ClO4-</v>
      </c>
      <c r="I14" s="260"/>
      <c r="J14" s="307" t="s">
        <v>599</v>
      </c>
      <c r="K14" s="308"/>
      <c r="L14" s="30"/>
      <c r="M14" s="1169"/>
      <c r="N14" s="1170" t="s">
        <v>601</v>
      </c>
      <c r="O14" s="1171"/>
      <c r="P14" s="30"/>
      <c r="Q14" s="30"/>
      <c r="R14" s="30"/>
      <c r="S14" s="30"/>
      <c r="T14" s="30"/>
      <c r="U14" s="30"/>
      <c r="V14" s="30"/>
      <c r="W14" s="30"/>
      <c r="X14" s="30"/>
      <c r="Y14" s="30"/>
      <c r="Z14" s="30"/>
      <c r="AA14" s="30"/>
      <c r="AB14" s="30"/>
      <c r="AC14" s="30"/>
      <c r="AD14" s="30"/>
      <c r="AE14" s="30"/>
      <c r="AF14" s="30"/>
      <c r="AG14" s="30"/>
      <c r="AH14" s="30"/>
    </row>
    <row r="15" spans="1:34" ht="15.75" customHeight="1">
      <c r="A15" s="33" t="s">
        <v>508</v>
      </c>
      <c r="B15" s="261">
        <v>7.2999999999999995E-2</v>
      </c>
      <c r="C15" s="261"/>
      <c r="D15" s="261"/>
      <c r="E15" s="261"/>
      <c r="F15" s="261"/>
      <c r="G15" s="261"/>
      <c r="H15" s="262"/>
      <c r="I15" s="260"/>
      <c r="J15" s="309" t="s">
        <v>600</v>
      </c>
      <c r="K15" s="310"/>
      <c r="L15" s="30"/>
      <c r="M15" s="957"/>
      <c r="N15" s="958" t="s">
        <v>602</v>
      </c>
      <c r="O15" s="959"/>
      <c r="P15" s="30"/>
      <c r="Q15" s="30"/>
      <c r="R15" s="27"/>
      <c r="S15" s="27"/>
      <c r="T15" s="27"/>
      <c r="U15" s="27"/>
      <c r="V15" s="27"/>
      <c r="W15" s="27"/>
      <c r="X15" s="27"/>
      <c r="Y15" s="27"/>
      <c r="Z15" s="30"/>
      <c r="AA15" s="30"/>
      <c r="AB15" s="30"/>
      <c r="AC15" s="30"/>
      <c r="AD15" s="30"/>
      <c r="AE15" s="30"/>
      <c r="AF15" s="30"/>
      <c r="AG15" s="30"/>
      <c r="AH15" s="30"/>
    </row>
    <row r="16" spans="1:34" ht="15.75" customHeight="1">
      <c r="A16" s="549" t="s">
        <v>580</v>
      </c>
      <c r="B16" s="24">
        <f t="shared" ref="B16:H16" si="13">B15*K12</f>
        <v>7.2999999999999995E-2</v>
      </c>
      <c r="C16" s="24">
        <f t="shared" si="13"/>
        <v>0</v>
      </c>
      <c r="D16" s="24">
        <f t="shared" si="13"/>
        <v>0</v>
      </c>
      <c r="E16" s="24">
        <f t="shared" si="13"/>
        <v>0</v>
      </c>
      <c r="F16" s="24">
        <f t="shared" si="13"/>
        <v>0</v>
      </c>
      <c r="G16" s="24">
        <f t="shared" si="13"/>
        <v>0</v>
      </c>
      <c r="H16" s="24">
        <f t="shared" si="13"/>
        <v>0</v>
      </c>
      <c r="I16" s="104">
        <f>SUM(B16:H16)</f>
        <v>7.2999999999999995E-2</v>
      </c>
      <c r="J16" s="305" t="s">
        <v>509</v>
      </c>
      <c r="K16" s="306">
        <v>0.50900000000000001</v>
      </c>
      <c r="L16" s="27"/>
      <c r="M16" s="960"/>
      <c r="N16" s="960" t="s">
        <v>603</v>
      </c>
      <c r="O16" s="961"/>
      <c r="P16" s="51"/>
      <c r="Q16" s="27"/>
      <c r="R16" s="27"/>
      <c r="S16" s="27"/>
      <c r="T16" s="27"/>
      <c r="U16" s="27"/>
      <c r="V16" s="27"/>
      <c r="W16" s="27"/>
      <c r="X16" s="27"/>
      <c r="Y16" s="27"/>
      <c r="Z16" s="30"/>
      <c r="AA16" s="30"/>
      <c r="AB16" s="30"/>
      <c r="AC16" s="30"/>
      <c r="AD16" s="30"/>
      <c r="AE16" s="30"/>
      <c r="AF16" s="30"/>
      <c r="AG16" s="30"/>
      <c r="AH16" s="30"/>
    </row>
    <row r="17" spans="1:34" ht="20.25" customHeight="1" thickBot="1">
      <c r="A17" s="52" t="s">
        <v>595</v>
      </c>
      <c r="B17" s="263" t="str">
        <f>IF(I17=0,"OK", "WARNING")</f>
        <v>OK</v>
      </c>
      <c r="C17" s="264" t="str">
        <f>IF(I17&lt;0,"Add cations/Remove anions", "")</f>
        <v/>
      </c>
      <c r="D17" s="265"/>
      <c r="E17" s="266" t="str">
        <f>IF(I17&gt;0,"Add anions/Remove cations", "")</f>
        <v/>
      </c>
      <c r="F17" s="267"/>
      <c r="G17" s="267"/>
      <c r="H17" s="267" t="str">
        <f>IF(I17=0,"","Unbalance")</f>
        <v/>
      </c>
      <c r="I17" s="53">
        <f>I13+I16</f>
        <v>0</v>
      </c>
      <c r="J17" s="54" t="s">
        <v>510</v>
      </c>
      <c r="K17" s="55">
        <v>0.3</v>
      </c>
      <c r="L17" s="27"/>
      <c r="M17" s="1267"/>
      <c r="N17" s="1267" t="s">
        <v>604</v>
      </c>
      <c r="O17" s="1268"/>
      <c r="P17" s="51"/>
      <c r="Q17" s="27"/>
      <c r="R17" s="27"/>
      <c r="S17" s="27"/>
      <c r="T17" s="27"/>
      <c r="U17" s="27"/>
      <c r="V17" s="27"/>
      <c r="W17" s="27"/>
      <c r="X17" s="27"/>
      <c r="Y17" s="27"/>
      <c r="Z17" s="30"/>
      <c r="AA17" s="30"/>
      <c r="AB17" s="30"/>
      <c r="AC17" s="30"/>
      <c r="AD17" s="30"/>
      <c r="AE17" s="30"/>
      <c r="AF17" s="30"/>
      <c r="AG17" s="30"/>
      <c r="AH17" s="30"/>
    </row>
    <row r="18" spans="1:34" ht="9.9499999999999993" customHeight="1" thickTop="1">
      <c r="A18" s="56"/>
      <c r="B18" s="57"/>
      <c r="C18" s="58"/>
      <c r="D18" s="58"/>
      <c r="E18" s="58"/>
      <c r="F18" s="58"/>
      <c r="G18" s="57"/>
      <c r="H18" s="57"/>
      <c r="I18" s="57"/>
      <c r="J18" s="27"/>
      <c r="K18" s="27"/>
      <c r="L18" s="27"/>
      <c r="M18" s="27"/>
      <c r="N18" s="27"/>
      <c r="O18" s="51"/>
      <c r="P18" s="58"/>
      <c r="Q18" s="27"/>
      <c r="R18" s="27"/>
      <c r="S18" s="27"/>
      <c r="T18" s="27"/>
      <c r="U18" s="27"/>
      <c r="V18" s="27"/>
      <c r="W18" s="27"/>
      <c r="X18" s="27"/>
      <c r="Y18" s="27"/>
      <c r="Z18" s="30"/>
      <c r="AA18" s="30"/>
      <c r="AB18" s="30"/>
      <c r="AC18" s="30"/>
      <c r="AD18" s="30"/>
      <c r="AE18" s="30"/>
      <c r="AF18" s="30"/>
      <c r="AG18" s="30"/>
      <c r="AH18" s="30"/>
    </row>
    <row r="19" spans="1:34" ht="12.75" customHeight="1">
      <c r="A19" s="56"/>
      <c r="B19" s="57"/>
      <c r="C19" s="58"/>
      <c r="D19" s="58"/>
      <c r="E19" s="58"/>
      <c r="F19" s="623"/>
      <c r="G19" s="57"/>
      <c r="H19" s="57"/>
      <c r="I19" s="57"/>
      <c r="J19" s="27"/>
      <c r="K19" s="27"/>
      <c r="L19" s="27"/>
      <c r="M19" s="27"/>
      <c r="N19" s="27"/>
      <c r="O19" s="51"/>
      <c r="P19" s="58"/>
      <c r="Q19" s="27"/>
      <c r="R19" s="27"/>
      <c r="S19" s="27"/>
      <c r="T19" s="27"/>
      <c r="U19" s="27"/>
      <c r="V19" s="27"/>
      <c r="W19" s="27"/>
      <c r="X19" s="27"/>
      <c r="Y19" s="27"/>
      <c r="Z19" s="30"/>
      <c r="AA19" s="30"/>
      <c r="AB19" s="30"/>
      <c r="AC19" s="30"/>
      <c r="AD19" s="30"/>
      <c r="AE19" s="30"/>
      <c r="AF19" s="30"/>
      <c r="AG19" s="30"/>
      <c r="AH19" s="30"/>
    </row>
    <row r="20" spans="1:34" ht="12.75" customHeight="1">
      <c r="A20" s="56"/>
      <c r="B20" s="57"/>
      <c r="C20" s="58"/>
      <c r="D20" s="58"/>
      <c r="E20" s="58"/>
      <c r="F20" s="58"/>
      <c r="G20" s="57"/>
      <c r="H20" s="57"/>
      <c r="I20" s="57"/>
      <c r="J20" s="27"/>
      <c r="K20" s="27"/>
      <c r="L20" s="27"/>
      <c r="M20" s="27"/>
      <c r="N20" s="27"/>
      <c r="O20" s="51"/>
      <c r="P20" s="58"/>
      <c r="Q20" s="27"/>
      <c r="R20" s="27"/>
      <c r="S20" s="27"/>
      <c r="T20" s="27"/>
      <c r="U20" s="27"/>
      <c r="V20" s="27"/>
      <c r="W20" s="27"/>
      <c r="X20" s="27"/>
      <c r="Y20" s="27"/>
      <c r="Z20" s="30"/>
      <c r="AA20" s="30"/>
      <c r="AB20" s="30"/>
      <c r="AC20" s="30"/>
      <c r="AD20" s="30"/>
      <c r="AE20" s="30"/>
      <c r="AF20" s="30"/>
      <c r="AG20" s="30"/>
      <c r="AH20" s="30"/>
    </row>
    <row r="21" spans="1:34" ht="12.75" customHeight="1" thickBot="1">
      <c r="A21" s="59"/>
      <c r="B21" s="60"/>
      <c r="C21" s="58"/>
      <c r="D21" s="58"/>
      <c r="E21" s="58"/>
      <c r="F21" s="58"/>
      <c r="G21" s="58"/>
      <c r="H21" s="58"/>
      <c r="I21" s="58"/>
      <c r="J21" s="27"/>
      <c r="K21" s="27"/>
      <c r="L21" s="27"/>
      <c r="M21" s="61"/>
      <c r="N21" s="27"/>
      <c r="O21" s="27"/>
      <c r="P21" s="27"/>
      <c r="Q21" s="27"/>
      <c r="R21" s="27"/>
      <c r="S21" s="27"/>
      <c r="T21" s="27"/>
      <c r="U21" s="27"/>
      <c r="V21" s="27"/>
      <c r="W21" s="27"/>
      <c r="X21" s="27"/>
      <c r="Y21" s="27"/>
      <c r="Z21" s="30"/>
      <c r="AA21" s="1151"/>
      <c r="AB21" s="1151"/>
      <c r="AC21" s="1151"/>
      <c r="AD21" s="1151"/>
      <c r="AE21" s="1151"/>
      <c r="AF21" s="1151"/>
      <c r="AG21" s="30"/>
      <c r="AH21" s="30"/>
    </row>
    <row r="22" spans="1:34" ht="15.75" customHeight="1" thickTop="1">
      <c r="A22" s="62" t="s">
        <v>17</v>
      </c>
      <c r="B22" s="63"/>
      <c r="C22" s="64"/>
      <c r="D22" s="63"/>
      <c r="E22" s="63"/>
      <c r="F22" s="63"/>
      <c r="G22" s="64"/>
      <c r="H22" s="64"/>
      <c r="I22" s="1201"/>
      <c r="J22" s="1269" t="s">
        <v>798</v>
      </c>
      <c r="K22" s="66"/>
      <c r="L22" s="67"/>
      <c r="M22" s="68">
        <f>E26</f>
        <v>9.9500751682789185E-2</v>
      </c>
      <c r="N22" s="69"/>
      <c r="O22" s="69"/>
      <c r="P22" s="69"/>
      <c r="Q22" s="69"/>
      <c r="R22" s="26" t="s">
        <v>804</v>
      </c>
      <c r="S22" s="66"/>
      <c r="T22" s="67"/>
      <c r="U22" s="67"/>
      <c r="V22" s="67"/>
      <c r="W22" s="68">
        <f>$E$26</f>
        <v>9.9500751682789185E-2</v>
      </c>
      <c r="X22" s="68"/>
      <c r="Y22" s="70"/>
      <c r="Z22" s="30"/>
      <c r="AA22" s="1153" t="s">
        <v>1072</v>
      </c>
      <c r="AB22" s="1151"/>
      <c r="AC22" s="1151"/>
      <c r="AD22" s="1151"/>
      <c r="AE22" s="1151"/>
      <c r="AF22" s="1151"/>
      <c r="AG22" s="30"/>
      <c r="AH22" s="30"/>
    </row>
    <row r="23" spans="1:34" s="147" customFormat="1" ht="27.75" customHeight="1">
      <c r="A23" s="582" t="s">
        <v>334</v>
      </c>
      <c r="B23" s="583">
        <v>7.0006187702789102</v>
      </c>
      <c r="C23" s="614" t="s">
        <v>512</v>
      </c>
      <c r="D23" s="584">
        <v>9.9857625427858334E-8</v>
      </c>
      <c r="E23" s="615" t="s">
        <v>763</v>
      </c>
      <c r="F23" s="584">
        <v>1.0083660260938211E-7</v>
      </c>
      <c r="G23" s="585" t="s">
        <v>513</v>
      </c>
      <c r="H23" s="1212">
        <v>6.9963817950151643</v>
      </c>
      <c r="I23" s="1213"/>
      <c r="J23" s="32" t="s">
        <v>596</v>
      </c>
      <c r="K23" s="339" t="str">
        <f>K3</f>
        <v>Phosphoric acid</v>
      </c>
      <c r="L23" s="339" t="str">
        <f t="shared" ref="L23:Q24" si="14">L3</f>
        <v>Acetic acid</v>
      </c>
      <c r="M23" s="339" t="str">
        <f t="shared" si="14"/>
        <v>HCl</v>
      </c>
      <c r="N23" s="339" t="str">
        <f t="shared" si="14"/>
        <v>Carbonic acid</v>
      </c>
      <c r="O23" s="339" t="str">
        <f t="shared" si="14"/>
        <v>Hydroxide ion</v>
      </c>
      <c r="P23" s="339" t="str">
        <f t="shared" si="14"/>
        <v>Ammonia</v>
      </c>
      <c r="Q23" s="339" t="str">
        <f t="shared" si="14"/>
        <v>EDTA</v>
      </c>
      <c r="R23" s="352" t="s">
        <v>596</v>
      </c>
      <c r="S23" s="145" t="str">
        <f>K3</f>
        <v>Phosphoric acid</v>
      </c>
      <c r="T23" s="145" t="str">
        <f t="shared" ref="T23:Y23" si="15">L3</f>
        <v>Acetic acid</v>
      </c>
      <c r="U23" s="145" t="str">
        <f t="shared" si="15"/>
        <v>HCl</v>
      </c>
      <c r="V23" s="145" t="str">
        <f t="shared" si="15"/>
        <v>Carbonic acid</v>
      </c>
      <c r="W23" s="145" t="str">
        <f t="shared" si="15"/>
        <v>Hydroxide ion</v>
      </c>
      <c r="X23" s="145" t="str">
        <f t="shared" si="15"/>
        <v>Ammonia</v>
      </c>
      <c r="Y23" s="235" t="str">
        <f t="shared" si="15"/>
        <v>EDTA</v>
      </c>
      <c r="Z23" s="30"/>
      <c r="AA23" s="1151" t="s">
        <v>1077</v>
      </c>
      <c r="AB23" s="1151"/>
      <c r="AC23" s="1151"/>
      <c r="AD23" s="1151"/>
      <c r="AE23" s="1151"/>
      <c r="AF23" s="1151"/>
      <c r="AG23" s="30"/>
      <c r="AH23" s="30"/>
    </row>
    <row r="24" spans="1:34" ht="17.25" customHeight="1">
      <c r="A24" s="587" t="s">
        <v>514</v>
      </c>
      <c r="B24" s="588">
        <v>6.8937560683116317</v>
      </c>
      <c r="C24" s="589" t="s">
        <v>773</v>
      </c>
      <c r="D24" s="590">
        <v>1.2771559533761944E-7</v>
      </c>
      <c r="E24" s="591" t="s">
        <v>774</v>
      </c>
      <c r="F24" s="590">
        <v>1.2896768581148085E-7</v>
      </c>
      <c r="G24" s="592" t="s">
        <v>515</v>
      </c>
      <c r="H24" s="1214">
        <v>6.8895190930478858</v>
      </c>
      <c r="I24" s="1215"/>
      <c r="J24" s="562" t="s">
        <v>597</v>
      </c>
      <c r="K24" s="628">
        <f>K4</f>
        <v>-3</v>
      </c>
      <c r="L24" s="629">
        <f t="shared" si="14"/>
        <v>-1</v>
      </c>
      <c r="M24" s="629">
        <f t="shared" si="14"/>
        <v>-1</v>
      </c>
      <c r="N24" s="629">
        <f t="shared" si="14"/>
        <v>-2</v>
      </c>
      <c r="O24" s="629">
        <f t="shared" si="14"/>
        <v>-1</v>
      </c>
      <c r="P24" s="629">
        <f t="shared" si="14"/>
        <v>0</v>
      </c>
      <c r="Q24" s="630">
        <f t="shared" si="14"/>
        <v>-4</v>
      </c>
      <c r="R24" s="234" t="s">
        <v>597</v>
      </c>
      <c r="S24" s="625">
        <f t="shared" ref="S24:Y24" si="16">K4</f>
        <v>-3</v>
      </c>
      <c r="T24" s="626">
        <f t="shared" si="16"/>
        <v>-1</v>
      </c>
      <c r="U24" s="626">
        <f t="shared" si="16"/>
        <v>-1</v>
      </c>
      <c r="V24" s="626">
        <f t="shared" si="16"/>
        <v>-2</v>
      </c>
      <c r="W24" s="626">
        <f t="shared" si="16"/>
        <v>-1</v>
      </c>
      <c r="X24" s="626">
        <f t="shared" si="16"/>
        <v>0</v>
      </c>
      <c r="Y24" s="627">
        <f t="shared" si="16"/>
        <v>-4</v>
      </c>
      <c r="Z24" s="30"/>
      <c r="AA24" s="1151" t="s">
        <v>1075</v>
      </c>
      <c r="AB24" s="1151"/>
      <c r="AC24" s="1151"/>
      <c r="AD24" s="1151"/>
      <c r="AE24" s="1151"/>
      <c r="AF24" s="1151"/>
      <c r="AG24" s="30"/>
      <c r="AH24" s="30"/>
    </row>
    <row r="25" spans="1:34" ht="17.25" customHeight="1">
      <c r="A25" s="587" t="s">
        <v>35</v>
      </c>
      <c r="B25" s="588">
        <v>7.3212041738443077</v>
      </c>
      <c r="C25" s="589" t="s">
        <v>775</v>
      </c>
      <c r="D25" s="590">
        <v>4.7730482670581822E-8</v>
      </c>
      <c r="E25" s="591" t="s">
        <v>776</v>
      </c>
      <c r="F25" s="590">
        <v>2.1096169614329777E-7</v>
      </c>
      <c r="G25" s="592" t="s">
        <v>778</v>
      </c>
      <c r="H25" s="1214">
        <v>6.6757963914497687</v>
      </c>
      <c r="I25" s="1215"/>
      <c r="J25" s="73" t="s">
        <v>536</v>
      </c>
      <c r="K25" s="74">
        <v>11.708824286973341</v>
      </c>
      <c r="L25" s="74">
        <v>4.543274788185462</v>
      </c>
      <c r="M25" s="74">
        <v>-7.2137256866421744</v>
      </c>
      <c r="N25" s="74">
        <v>9.9015496092861692</v>
      </c>
      <c r="O25" s="74">
        <v>15.531275231955648</v>
      </c>
      <c r="P25" s="74">
        <v>9.2440003733356022</v>
      </c>
      <c r="Q25" s="75">
        <v>9.3150987949955528</v>
      </c>
      <c r="R25" s="1216" t="s">
        <v>544</v>
      </c>
      <c r="S25" s="23">
        <v>511474296994.56995</v>
      </c>
      <c r="T25" s="23">
        <v>34936.114694678938</v>
      </c>
      <c r="U25" s="23">
        <v>6.1132844611895118E-8</v>
      </c>
      <c r="V25" s="23">
        <v>7971668115.0200691</v>
      </c>
      <c r="W25" s="23">
        <v>3398400857880251</v>
      </c>
      <c r="X25" s="23">
        <v>1753880501.8417609</v>
      </c>
      <c r="Y25" s="35">
        <v>2065848260.415817</v>
      </c>
      <c r="Z25" s="30"/>
      <c r="AA25" s="1151" t="s">
        <v>1076</v>
      </c>
      <c r="AB25" s="1151"/>
      <c r="AC25" s="1151"/>
      <c r="AD25" s="1151"/>
      <c r="AE25" s="1151"/>
      <c r="AF25" s="1151"/>
      <c r="AG25" s="30"/>
      <c r="AH25" s="30"/>
    </row>
    <row r="26" spans="1:34" ht="17.25" customHeight="1">
      <c r="A26" s="612" t="s">
        <v>511</v>
      </c>
      <c r="B26" s="601">
        <v>0.78187495555168618</v>
      </c>
      <c r="C26" s="602" t="s">
        <v>782</v>
      </c>
      <c r="D26" s="603"/>
      <c r="E26" s="604">
        <v>9.9500751682789185E-2</v>
      </c>
      <c r="F26" s="605"/>
      <c r="G26" s="593" t="s">
        <v>764</v>
      </c>
      <c r="H26" s="1202">
        <v>0.78187495555168618</v>
      </c>
      <c r="I26" s="1217"/>
      <c r="J26" s="76" t="s">
        <v>537</v>
      </c>
      <c r="K26" s="74">
        <v>6.7715494828754776</v>
      </c>
      <c r="L26" s="74"/>
      <c r="M26" s="74"/>
      <c r="N26" s="74">
        <v>6.1382748526024136</v>
      </c>
      <c r="O26" s="74"/>
      <c r="P26" s="74"/>
      <c r="Q26" s="75">
        <v>5.4688240349596926</v>
      </c>
      <c r="R26" s="1216" t="s">
        <v>545</v>
      </c>
      <c r="S26" s="23">
        <v>3.022546726541886E+18</v>
      </c>
      <c r="T26" s="23"/>
      <c r="U26" s="23"/>
      <c r="V26" s="23">
        <v>1.0960334637441574E+16</v>
      </c>
      <c r="W26" s="23"/>
      <c r="X26" s="23"/>
      <c r="Y26" s="35">
        <v>608026115083652.5</v>
      </c>
      <c r="Z26" s="30"/>
      <c r="AA26" s="1151"/>
      <c r="AB26" s="1151"/>
      <c r="AC26" s="1151"/>
      <c r="AD26" s="1151"/>
      <c r="AE26" s="1151"/>
      <c r="AF26" s="1151"/>
      <c r="AG26" s="30"/>
      <c r="AH26" s="30"/>
    </row>
    <row r="27" spans="1:34" ht="18" customHeight="1">
      <c r="A27" s="28" t="s">
        <v>790</v>
      </c>
      <c r="B27" s="29"/>
      <c r="C27" s="29"/>
      <c r="D27" s="289" t="s">
        <v>789</v>
      </c>
      <c r="E27" s="561">
        <v>2.6247987897922681E-2</v>
      </c>
      <c r="F27" s="29" t="s">
        <v>781</v>
      </c>
      <c r="G27" s="29"/>
      <c r="H27" s="1203">
        <v>1.1399356765514707E-2</v>
      </c>
      <c r="I27" s="1217"/>
      <c r="J27" s="76" t="s">
        <v>538</v>
      </c>
      <c r="K27" s="74">
        <v>1.9342746828162951</v>
      </c>
      <c r="L27" s="74"/>
      <c r="M27" s="74"/>
      <c r="N27" s="74"/>
      <c r="O27" s="74"/>
      <c r="P27" s="74"/>
      <c r="Q27" s="75">
        <v>2.2525493003675172</v>
      </c>
      <c r="R27" s="1216" t="s">
        <v>546</v>
      </c>
      <c r="S27" s="23">
        <v>2.5980507374884399E+20</v>
      </c>
      <c r="T27" s="23"/>
      <c r="U27" s="23"/>
      <c r="V27" s="23"/>
      <c r="W27" s="23"/>
      <c r="X27" s="23"/>
      <c r="Y27" s="35">
        <v>1.0876056180387254E+17</v>
      </c>
      <c r="Z27" s="30"/>
      <c r="AA27" s="1151" t="s">
        <v>1071</v>
      </c>
      <c r="AB27" s="1151"/>
      <c r="AC27" s="1151"/>
      <c r="AD27" s="1151"/>
      <c r="AE27" s="1151"/>
      <c r="AF27" s="1151"/>
      <c r="AG27" s="30"/>
      <c r="AH27" s="30"/>
    </row>
    <row r="28" spans="1:34" ht="17.25" customHeight="1">
      <c r="A28" s="563" t="s">
        <v>788</v>
      </c>
      <c r="B28" s="79"/>
      <c r="C28" s="79"/>
      <c r="D28" s="79"/>
      <c r="E28" s="564"/>
      <c r="F28" s="80"/>
      <c r="G28" s="611">
        <f>B23</f>
        <v>7.0006187702789102</v>
      </c>
      <c r="H28" s="1204"/>
      <c r="I28" s="1217"/>
      <c r="J28" s="76" t="s">
        <v>539</v>
      </c>
      <c r="K28" s="74"/>
      <c r="L28" s="74"/>
      <c r="M28" s="74"/>
      <c r="N28" s="74"/>
      <c r="O28" s="74"/>
      <c r="P28" s="74"/>
      <c r="Q28" s="75">
        <v>1.7862746768390481</v>
      </c>
      <c r="R28" s="1216" t="s">
        <v>547</v>
      </c>
      <c r="S28" s="23"/>
      <c r="T28" s="23"/>
      <c r="U28" s="23"/>
      <c r="V28" s="23"/>
      <c r="W28" s="23"/>
      <c r="X28" s="23"/>
      <c r="Y28" s="35">
        <v>6.6488425246585559E+18</v>
      </c>
      <c r="Z28" s="30"/>
      <c r="AA28" s="1151" t="s">
        <v>1092</v>
      </c>
      <c r="AB28" s="1151"/>
      <c r="AC28" s="1151"/>
      <c r="AD28" s="1151"/>
      <c r="AE28" s="1151"/>
      <c r="AF28" s="1151"/>
      <c r="AG28" s="30"/>
      <c r="AH28" s="30"/>
    </row>
    <row r="29" spans="1:34" ht="27" customHeight="1">
      <c r="A29" s="31" t="s">
        <v>596</v>
      </c>
      <c r="B29" s="339" t="str">
        <f t="shared" ref="B29:H29" si="17">K3</f>
        <v>Phosphoric acid</v>
      </c>
      <c r="C29" s="339" t="str">
        <f t="shared" si="17"/>
        <v>Acetic acid</v>
      </c>
      <c r="D29" s="339" t="str">
        <f t="shared" si="17"/>
        <v>HCl</v>
      </c>
      <c r="E29" s="339" t="str">
        <f t="shared" si="17"/>
        <v>Carbonic acid</v>
      </c>
      <c r="F29" s="339" t="str">
        <f t="shared" si="17"/>
        <v>Hydroxide ion</v>
      </c>
      <c r="G29" s="339" t="str">
        <f t="shared" si="17"/>
        <v>Ammonia</v>
      </c>
      <c r="H29" s="1218" t="str">
        <f t="shared" si="17"/>
        <v>EDTA</v>
      </c>
      <c r="I29" s="1217"/>
      <c r="J29" s="624" t="s">
        <v>540</v>
      </c>
      <c r="K29" s="74"/>
      <c r="L29" s="74"/>
      <c r="M29" s="74"/>
      <c r="N29" s="74"/>
      <c r="O29" s="74"/>
      <c r="P29" s="74"/>
      <c r="Q29" s="75">
        <v>1.500000060580204</v>
      </c>
      <c r="R29" s="1219" t="s">
        <v>548</v>
      </c>
      <c r="S29" s="23"/>
      <c r="T29" s="23"/>
      <c r="U29" s="23"/>
      <c r="V29" s="23"/>
      <c r="W29" s="23"/>
      <c r="X29" s="23"/>
      <c r="Y29" s="35">
        <v>2.1025486181705286E+20</v>
      </c>
      <c r="Z29" s="30"/>
      <c r="AA29" s="1151" t="s">
        <v>1093</v>
      </c>
      <c r="AB29" s="1151"/>
      <c r="AC29" s="1151"/>
      <c r="AD29" s="1151"/>
      <c r="AE29" s="1151"/>
      <c r="AF29" s="1151"/>
      <c r="AG29" s="30"/>
      <c r="AH29" s="30"/>
    </row>
    <row r="30" spans="1:34" ht="18" customHeight="1" thickBot="1">
      <c r="A30" s="598" t="s">
        <v>779</v>
      </c>
      <c r="B30" s="599">
        <v>-1.5698924464219046</v>
      </c>
      <c r="C30" s="600">
        <v>-0.995557933315949</v>
      </c>
      <c r="D30" s="600">
        <v>-0.99999999999999223</v>
      </c>
      <c r="E30" s="600">
        <v>-0.8515907136791272</v>
      </c>
      <c r="F30" s="600">
        <v>-2.3039946617231521E-9</v>
      </c>
      <c r="G30" s="600">
        <v>0.99555551391968078</v>
      </c>
      <c r="H30" s="600">
        <v>-2.9675419732131836</v>
      </c>
      <c r="I30" s="1217"/>
      <c r="J30" s="1200" t="s">
        <v>541</v>
      </c>
      <c r="K30" s="77"/>
      <c r="L30" s="77"/>
      <c r="M30" s="566"/>
      <c r="N30" s="566"/>
      <c r="O30" s="566"/>
      <c r="P30" s="566"/>
      <c r="Q30" s="567">
        <v>0.21372540393455688</v>
      </c>
      <c r="R30" s="1219" t="s">
        <v>549</v>
      </c>
      <c r="S30" s="38"/>
      <c r="T30" s="23"/>
      <c r="U30" s="23"/>
      <c r="V30" s="23"/>
      <c r="W30" s="23"/>
      <c r="X30" s="23"/>
      <c r="Y30" s="35">
        <v>3.4393109489974844E+20</v>
      </c>
      <c r="Z30" s="30"/>
      <c r="AA30" s="1151" t="s">
        <v>1100</v>
      </c>
      <c r="AB30" s="1151"/>
      <c r="AC30" s="1151"/>
      <c r="AD30" s="1151"/>
      <c r="AE30" s="1151"/>
      <c r="AF30" s="1151"/>
      <c r="AG30" s="30"/>
      <c r="AH30" s="30"/>
    </row>
    <row r="31" spans="1:34" ht="17.25" customHeight="1" thickTop="1" thickBot="1">
      <c r="A31" s="598" t="s">
        <v>780</v>
      </c>
      <c r="B31" s="1316">
        <v>1.4301075535780954</v>
      </c>
      <c r="C31" s="1205">
        <v>4.4420666840509848E-3</v>
      </c>
      <c r="D31" s="1205">
        <v>7.807617635918784E-15</v>
      </c>
      <c r="E31" s="1205">
        <v>1.1484092863208728</v>
      </c>
      <c r="F31" s="1205">
        <v>0.99999999769600534</v>
      </c>
      <c r="G31" s="1205">
        <v>0.99555551391968078</v>
      </c>
      <c r="H31" s="1205">
        <v>1.0324580267868166</v>
      </c>
      <c r="I31" s="1220"/>
      <c r="J31" s="1221" t="s">
        <v>542</v>
      </c>
      <c r="K31" s="1222">
        <v>13.783275161359517</v>
      </c>
      <c r="L31" s="1317"/>
      <c r="M31" s="1318"/>
      <c r="N31" s="774"/>
      <c r="O31" s="774"/>
      <c r="P31" s="774"/>
      <c r="Q31" s="1319"/>
      <c r="R31" s="1320" t="s">
        <v>543</v>
      </c>
      <c r="S31" s="1321">
        <v>1.6471205867228278E-14</v>
      </c>
      <c r="T31" s="399"/>
      <c r="U31" s="398"/>
      <c r="V31" s="394"/>
      <c r="W31" s="394"/>
      <c r="X31" s="394"/>
      <c r="Y31" s="394"/>
      <c r="Z31" s="30"/>
      <c r="AA31" s="1151" t="s">
        <v>1121</v>
      </c>
      <c r="AB31" s="1151"/>
      <c r="AC31" s="1151"/>
      <c r="AD31" s="1151"/>
      <c r="AE31" s="1151"/>
      <c r="AF31" s="1151"/>
      <c r="AG31" s="30"/>
      <c r="AH31" s="30"/>
    </row>
    <row r="32" spans="1:34" ht="15.75" customHeight="1" thickTop="1">
      <c r="A32" s="1296" t="s">
        <v>19</v>
      </c>
      <c r="B32" s="29"/>
      <c r="C32" s="29"/>
      <c r="D32" s="65"/>
      <c r="E32" s="65"/>
      <c r="F32" s="65"/>
      <c r="G32" s="65"/>
      <c r="H32" s="65"/>
      <c r="I32" s="65"/>
      <c r="J32" s="1223" t="s">
        <v>21</v>
      </c>
      <c r="K32" s="1224"/>
      <c r="L32" s="1224"/>
      <c r="M32" s="1225"/>
      <c r="N32" s="1226" t="s">
        <v>797</v>
      </c>
      <c r="O32" s="1227">
        <f>B23</f>
        <v>7.0006187702789102</v>
      </c>
      <c r="P32" s="1228" t="s">
        <v>799</v>
      </c>
      <c r="Q32" s="1229">
        <f>E26</f>
        <v>9.9500751682789185E-2</v>
      </c>
      <c r="R32" s="85"/>
      <c r="S32" s="27"/>
      <c r="T32" s="27"/>
      <c r="U32" s="27"/>
      <c r="V32" s="27"/>
      <c r="W32" s="27"/>
      <c r="X32" s="27"/>
      <c r="Y32" s="27"/>
      <c r="Z32" s="30"/>
      <c r="AA32" s="1151" t="s">
        <v>1122</v>
      </c>
      <c r="AB32" s="1151"/>
      <c r="AC32" s="1151"/>
      <c r="AD32" s="1151"/>
      <c r="AE32" s="1151"/>
      <c r="AF32" s="1151"/>
      <c r="AG32" s="30"/>
      <c r="AH32" s="30"/>
    </row>
    <row r="33" spans="1:34" s="147" customFormat="1" ht="27" customHeight="1">
      <c r="A33" s="982" t="s">
        <v>18</v>
      </c>
      <c r="B33" s="339" t="str">
        <f t="shared" ref="B33:H33" si="18">K3</f>
        <v>Phosphoric acid</v>
      </c>
      <c r="C33" s="339" t="str">
        <f t="shared" si="18"/>
        <v>Acetic acid</v>
      </c>
      <c r="D33" s="339" t="str">
        <f t="shared" si="18"/>
        <v>HCl</v>
      </c>
      <c r="E33" s="339" t="str">
        <f t="shared" si="18"/>
        <v>Carbonic acid</v>
      </c>
      <c r="F33" s="339" t="str">
        <f t="shared" si="18"/>
        <v>Hydroxide ion</v>
      </c>
      <c r="G33" s="339" t="str">
        <f t="shared" si="18"/>
        <v>Ammonia</v>
      </c>
      <c r="H33" s="339" t="str">
        <f t="shared" si="18"/>
        <v>EDTA</v>
      </c>
      <c r="I33" s="569" t="s">
        <v>516</v>
      </c>
      <c r="J33" s="982" t="s">
        <v>22</v>
      </c>
      <c r="K33" s="339" t="str">
        <f t="shared" ref="K33:Q33" si="19">K3</f>
        <v>Phosphoric acid</v>
      </c>
      <c r="L33" s="339" t="str">
        <f t="shared" si="19"/>
        <v>Acetic acid</v>
      </c>
      <c r="M33" s="339" t="str">
        <f t="shared" si="19"/>
        <v>HCl</v>
      </c>
      <c r="N33" s="339" t="str">
        <f t="shared" si="19"/>
        <v>Carbonic acid</v>
      </c>
      <c r="O33" s="339" t="str">
        <f t="shared" si="19"/>
        <v>Hydroxide ion</v>
      </c>
      <c r="P33" s="339" t="str">
        <f t="shared" si="19"/>
        <v>Ammonia</v>
      </c>
      <c r="Q33" s="1208" t="str">
        <f t="shared" si="19"/>
        <v>EDTA</v>
      </c>
      <c r="R33" s="85"/>
      <c r="S33" s="30"/>
      <c r="T33" s="594"/>
      <c r="U33" s="594"/>
      <c r="V33" s="594"/>
      <c r="W33" s="595"/>
      <c r="X33" s="594"/>
      <c r="Y33" s="594"/>
      <c r="Z33" s="30"/>
      <c r="AA33" s="1151" t="s">
        <v>1101</v>
      </c>
      <c r="AB33" s="1151"/>
      <c r="AC33" s="1151"/>
      <c r="AD33" s="1151"/>
      <c r="AE33" s="1151"/>
      <c r="AF33" s="1151"/>
      <c r="AG33" s="30"/>
      <c r="AH33" s="30"/>
    </row>
    <row r="34" spans="1:34" ht="15.75" customHeight="1">
      <c r="A34" s="550" t="s">
        <v>335</v>
      </c>
      <c r="B34" s="71">
        <v>4.0566581283886205E-7</v>
      </c>
      <c r="C34" s="71"/>
      <c r="D34" s="71"/>
      <c r="E34" s="71"/>
      <c r="F34" s="71"/>
      <c r="G34" s="71"/>
      <c r="H34" s="1206"/>
      <c r="I34" s="1207">
        <f>D24</f>
        <v>1.2771559533761944E-7</v>
      </c>
      <c r="J34" s="552" t="s">
        <v>527</v>
      </c>
      <c r="K34" s="74">
        <v>0.10920328961081206</v>
      </c>
      <c r="L34" s="74">
        <v>0.78187495555168618</v>
      </c>
      <c r="M34" s="74">
        <v>0.78187495555168618</v>
      </c>
      <c r="N34" s="74">
        <v>0.37372246903421158</v>
      </c>
      <c r="O34" s="74">
        <v>0.78187495555168618</v>
      </c>
      <c r="P34" s="74">
        <v>1</v>
      </c>
      <c r="Q34" s="1209">
        <v>1.9507285384038019E-2</v>
      </c>
      <c r="R34" s="85"/>
      <c r="S34" s="85"/>
      <c r="T34" s="594"/>
      <c r="U34" s="594"/>
      <c r="V34" s="594"/>
      <c r="W34" s="595"/>
      <c r="X34" s="594"/>
      <c r="Y34" s="594"/>
      <c r="Z34" s="30"/>
      <c r="AA34" s="1151" t="s">
        <v>1102</v>
      </c>
      <c r="AB34" s="1151"/>
      <c r="AC34" s="1151"/>
      <c r="AD34" s="1151"/>
      <c r="AE34" s="1151"/>
      <c r="AF34" s="1151"/>
      <c r="AG34" s="30"/>
      <c r="AH34" s="30"/>
    </row>
    <row r="35" spans="1:34" ht="15.75" customHeight="1">
      <c r="A35" s="551" t="s">
        <v>336</v>
      </c>
      <c r="B35" s="71">
        <v>2.649940698426825E-2</v>
      </c>
      <c r="C35" s="71"/>
      <c r="D35" s="71"/>
      <c r="E35" s="71"/>
      <c r="F35" s="71"/>
      <c r="G35" s="71"/>
      <c r="H35" s="596"/>
      <c r="I35" s="597"/>
      <c r="J35" s="553" t="s">
        <v>528</v>
      </c>
      <c r="K35" s="74">
        <v>0.37372246903421158</v>
      </c>
      <c r="L35" s="74">
        <v>1</v>
      </c>
      <c r="M35" s="74">
        <v>1</v>
      </c>
      <c r="N35" s="74">
        <v>0.78187495555168618</v>
      </c>
      <c r="O35" s="74">
        <v>1</v>
      </c>
      <c r="P35" s="74">
        <v>0.78187495555168618</v>
      </c>
      <c r="Q35" s="1209">
        <v>0.10920328961081206</v>
      </c>
      <c r="R35" s="85"/>
      <c r="S35" s="85"/>
      <c r="T35" s="594"/>
      <c r="U35" s="594"/>
      <c r="V35" s="594"/>
      <c r="W35" s="595"/>
      <c r="X35" s="594"/>
      <c r="Y35" s="594"/>
      <c r="Z35" s="30"/>
      <c r="AA35" s="1151" t="s">
        <v>1103</v>
      </c>
      <c r="AB35" s="1151"/>
      <c r="AC35" s="1151"/>
      <c r="AD35" s="1151"/>
      <c r="AE35" s="1151"/>
      <c r="AF35" s="1151"/>
      <c r="AG35" s="30"/>
      <c r="AH35" s="30"/>
    </row>
    <row r="36" spans="1:34" ht="15.75" customHeight="1">
      <c r="A36" s="551" t="s">
        <v>491</v>
      </c>
      <c r="B36" s="71">
        <v>1.9999967792643555E-2</v>
      </c>
      <c r="C36" s="71"/>
      <c r="D36" s="71"/>
      <c r="E36" s="71"/>
      <c r="F36" s="71"/>
      <c r="G36" s="71"/>
      <c r="H36" s="72"/>
      <c r="I36" s="569" t="s">
        <v>517</v>
      </c>
      <c r="J36" s="553" t="s">
        <v>529</v>
      </c>
      <c r="K36" s="74">
        <v>0.78187495555168618</v>
      </c>
      <c r="L36" s="74"/>
      <c r="M36" s="74"/>
      <c r="N36" s="74">
        <v>1</v>
      </c>
      <c r="O36" s="74"/>
      <c r="P36" s="74"/>
      <c r="Q36" s="1209">
        <v>0.37372246903421158</v>
      </c>
      <c r="R36" s="85"/>
      <c r="S36" s="85"/>
      <c r="T36" s="594"/>
      <c r="U36" s="594"/>
      <c r="V36" s="594"/>
      <c r="W36" s="595"/>
      <c r="X36" s="594"/>
      <c r="Y36" s="594"/>
      <c r="Z36" s="30"/>
      <c r="AA36" s="1151" t="s">
        <v>1104</v>
      </c>
      <c r="AB36" s="1151"/>
      <c r="AC36" s="1151"/>
      <c r="AD36" s="1151"/>
      <c r="AE36" s="1151"/>
      <c r="AF36" s="1151"/>
      <c r="AG36" s="30"/>
      <c r="AH36" s="30"/>
    </row>
    <row r="37" spans="1:34" ht="15.75" customHeight="1">
      <c r="A37" s="551" t="s">
        <v>493</v>
      </c>
      <c r="B37" s="71">
        <v>2.1955727535819438E-7</v>
      </c>
      <c r="C37" s="71"/>
      <c r="D37" s="71"/>
      <c r="E37" s="71"/>
      <c r="F37" s="71"/>
      <c r="G37" s="71"/>
      <c r="H37" s="596"/>
      <c r="I37" s="1230">
        <f>F24</f>
        <v>1.2896768581148085E-7</v>
      </c>
      <c r="J37" s="553" t="s">
        <v>530</v>
      </c>
      <c r="K37" s="74">
        <v>1</v>
      </c>
      <c r="L37" s="74"/>
      <c r="M37" s="74"/>
      <c r="N37" s="74"/>
      <c r="O37" s="74"/>
      <c r="P37" s="74"/>
      <c r="Q37" s="1209">
        <v>0.78187495555168618</v>
      </c>
      <c r="R37" s="85"/>
      <c r="S37" s="85"/>
      <c r="T37" s="594"/>
      <c r="U37" s="594"/>
      <c r="V37" s="594"/>
      <c r="W37" s="595"/>
      <c r="X37" s="594"/>
      <c r="Y37" s="594"/>
      <c r="Z37" s="30"/>
      <c r="AA37" s="1151"/>
      <c r="AB37" s="1151"/>
      <c r="AC37" s="1151"/>
      <c r="AD37" s="1151"/>
      <c r="AE37" s="1151"/>
      <c r="AF37" s="1151"/>
      <c r="AG37" s="30"/>
      <c r="AH37" s="30"/>
    </row>
    <row r="38" spans="1:34" ht="15.75" customHeight="1">
      <c r="A38" s="551" t="s">
        <v>318</v>
      </c>
      <c r="B38" s="71"/>
      <c r="C38" s="71"/>
      <c r="D38" s="71"/>
      <c r="E38" s="71"/>
      <c r="F38" s="71"/>
      <c r="G38" s="71"/>
      <c r="H38" s="596"/>
      <c r="I38" s="1231"/>
      <c r="J38" s="553" t="s">
        <v>531</v>
      </c>
      <c r="K38" s="74"/>
      <c r="L38" s="74"/>
      <c r="M38" s="74"/>
      <c r="N38" s="74"/>
      <c r="O38" s="74"/>
      <c r="P38" s="74"/>
      <c r="Q38" s="1209">
        <v>1</v>
      </c>
      <c r="R38" s="85"/>
      <c r="S38" s="85"/>
      <c r="T38" s="594"/>
      <c r="U38" s="594"/>
      <c r="V38" s="594"/>
      <c r="W38" s="595"/>
      <c r="X38" s="594"/>
      <c r="Y38" s="594"/>
      <c r="Z38" s="30"/>
      <c r="AA38" s="1151" t="s">
        <v>1074</v>
      </c>
      <c r="AB38" s="1151"/>
      <c r="AC38" s="1151"/>
      <c r="AD38" s="1151"/>
      <c r="AE38" s="1151"/>
      <c r="AF38" s="1151"/>
      <c r="AG38" s="30"/>
      <c r="AH38" s="30"/>
    </row>
    <row r="39" spans="1:34" ht="15.75" customHeight="1">
      <c r="A39" s="551" t="s">
        <v>497</v>
      </c>
      <c r="B39" s="71"/>
      <c r="C39" s="71"/>
      <c r="D39" s="71"/>
      <c r="E39" s="71"/>
      <c r="F39" s="71"/>
      <c r="G39" s="71"/>
      <c r="H39" s="596"/>
      <c r="I39" s="1232"/>
      <c r="J39" s="553" t="s">
        <v>532</v>
      </c>
      <c r="K39" s="74"/>
      <c r="L39" s="74"/>
      <c r="M39" s="74"/>
      <c r="N39" s="74"/>
      <c r="O39" s="74"/>
      <c r="P39" s="74"/>
      <c r="Q39" s="1209">
        <v>0.78187495555168618</v>
      </c>
      <c r="R39" s="85"/>
      <c r="S39" s="85"/>
      <c r="T39" s="27"/>
      <c r="U39" s="27"/>
      <c r="V39" s="27"/>
      <c r="W39" s="27"/>
      <c r="X39" s="27"/>
      <c r="Y39" s="27"/>
      <c r="Z39" s="30"/>
      <c r="AA39" s="1151" t="s">
        <v>1071</v>
      </c>
      <c r="AB39" s="1151"/>
      <c r="AC39" s="1151"/>
      <c r="AD39" s="1151"/>
      <c r="AE39" s="1151"/>
      <c r="AF39" s="1151"/>
      <c r="AG39" s="30"/>
      <c r="AH39" s="30"/>
    </row>
    <row r="40" spans="1:34" ht="15.75" customHeight="1">
      <c r="A40" s="551" t="s">
        <v>319</v>
      </c>
      <c r="B40" s="71"/>
      <c r="C40" s="71"/>
      <c r="D40" s="71"/>
      <c r="E40" s="71"/>
      <c r="F40" s="71"/>
      <c r="G40" s="71"/>
      <c r="H40" s="72"/>
      <c r="I40" s="570" t="s">
        <v>348</v>
      </c>
      <c r="J40" s="1297" t="s">
        <v>533</v>
      </c>
      <c r="K40" s="74"/>
      <c r="L40" s="74"/>
      <c r="M40" s="74"/>
      <c r="N40" s="74"/>
      <c r="O40" s="74"/>
      <c r="P40" s="74"/>
      <c r="Q40" s="1209">
        <v>0.37372246903421158</v>
      </c>
      <c r="R40" s="85"/>
      <c r="S40" s="85"/>
      <c r="T40" s="27"/>
      <c r="U40" s="27"/>
      <c r="V40" s="27"/>
      <c r="W40" s="27"/>
      <c r="X40" s="27"/>
      <c r="Y40" s="27"/>
      <c r="Z40" s="30"/>
      <c r="AA40" s="1151" t="s">
        <v>1105</v>
      </c>
      <c r="AB40" s="1151"/>
      <c r="AC40" s="1151"/>
      <c r="AD40" s="1151"/>
      <c r="AE40" s="1151"/>
      <c r="AF40" s="1151"/>
      <c r="AG40" s="30"/>
      <c r="AH40" s="30"/>
    </row>
    <row r="41" spans="1:34" ht="15.75" customHeight="1">
      <c r="A41" s="1298" t="s">
        <v>518</v>
      </c>
      <c r="B41" s="1299">
        <f>B34+B35+B36+B37+B38+B39+B40</f>
        <v>4.65E-2</v>
      </c>
      <c r="C41" s="1233">
        <f t="shared" ref="C41:H41" si="20">C34+C35+C36+C37+C38+C39+C40</f>
        <v>0</v>
      </c>
      <c r="D41" s="1233">
        <f t="shared" si="20"/>
        <v>0</v>
      </c>
      <c r="E41" s="1233">
        <f t="shared" si="20"/>
        <v>0</v>
      </c>
      <c r="F41" s="1233">
        <f t="shared" si="20"/>
        <v>0</v>
      </c>
      <c r="G41" s="1233">
        <f t="shared" si="20"/>
        <v>0</v>
      </c>
      <c r="H41" s="1233">
        <f t="shared" si="20"/>
        <v>0</v>
      </c>
      <c r="I41" s="1234">
        <f>SUM(B41:H41)</f>
        <v>4.65E-2</v>
      </c>
      <c r="J41" s="1300"/>
      <c r="K41" s="1301"/>
      <c r="L41" s="1301"/>
      <c r="M41" s="1301"/>
      <c r="N41" s="1301"/>
      <c r="O41" s="1301"/>
      <c r="P41" s="1301"/>
      <c r="Q41" s="1302"/>
      <c r="R41" s="85"/>
      <c r="S41" s="85"/>
      <c r="T41" s="27"/>
      <c r="U41" s="27"/>
      <c r="V41" s="27"/>
      <c r="W41" s="27"/>
      <c r="X41" s="27"/>
      <c r="Y41" s="27"/>
      <c r="Z41" s="30"/>
      <c r="AA41" s="1151" t="s">
        <v>1106</v>
      </c>
      <c r="AB41" s="1151"/>
      <c r="AC41" s="1151"/>
      <c r="AD41" s="1151"/>
      <c r="AE41" s="1151"/>
      <c r="AF41" s="1151"/>
      <c r="AG41" s="30"/>
      <c r="AH41" s="30"/>
    </row>
    <row r="42" spans="1:34" ht="15.75" customHeight="1">
      <c r="A42" s="1303" t="s">
        <v>20</v>
      </c>
      <c r="B42" s="1304"/>
      <c r="C42" s="1304"/>
      <c r="D42" s="1305"/>
      <c r="E42" s="1306" t="s">
        <v>796</v>
      </c>
      <c r="F42" s="1204">
        <f>B23</f>
        <v>7.0006187702789102</v>
      </c>
      <c r="G42" s="1307" t="s">
        <v>777</v>
      </c>
      <c r="H42" s="1295">
        <f>$B$24</f>
        <v>6.8937560683116317</v>
      </c>
      <c r="I42" s="1308"/>
      <c r="J42" s="1210" t="s">
        <v>594</v>
      </c>
      <c r="K42" s="87" t="str">
        <f t="shared" ref="K42:Q42" si="21">K11</f>
        <v>Na+</v>
      </c>
      <c r="L42" s="87" t="str">
        <f t="shared" si="21"/>
        <v>K+</v>
      </c>
      <c r="M42" s="87" t="str">
        <f t="shared" si="21"/>
        <v>Ca++</v>
      </c>
      <c r="N42" s="87" t="str">
        <f t="shared" si="21"/>
        <v>Cl-</v>
      </c>
      <c r="O42" s="87" t="str">
        <f t="shared" si="21"/>
        <v>NO3-</v>
      </c>
      <c r="P42" s="87" t="str">
        <f t="shared" si="21"/>
        <v>SO4=</v>
      </c>
      <c r="Q42" s="1211" t="str">
        <f t="shared" si="21"/>
        <v>ClO4-</v>
      </c>
      <c r="R42" s="85"/>
      <c r="S42" s="85"/>
      <c r="T42" s="27"/>
      <c r="U42" s="27"/>
      <c r="V42" s="27"/>
      <c r="W42" s="27"/>
      <c r="X42" s="27"/>
      <c r="Y42" s="27"/>
      <c r="Z42" s="30"/>
      <c r="AA42" s="1151" t="s">
        <v>1107</v>
      </c>
      <c r="AB42" s="1151"/>
      <c r="AC42" s="1151"/>
      <c r="AD42" s="1151"/>
      <c r="AE42" s="1151"/>
      <c r="AF42" s="1151"/>
      <c r="AG42" s="30"/>
      <c r="AH42" s="30"/>
    </row>
    <row r="43" spans="1:34" s="147" customFormat="1" ht="27.75" customHeight="1" thickBot="1">
      <c r="A43" s="982" t="s">
        <v>18</v>
      </c>
      <c r="B43" s="339" t="str">
        <f t="shared" ref="B43:H43" si="22">K3</f>
        <v>Phosphoric acid</v>
      </c>
      <c r="C43" s="339" t="str">
        <f t="shared" si="22"/>
        <v>Acetic acid</v>
      </c>
      <c r="D43" s="339" t="str">
        <f t="shared" si="22"/>
        <v>HCl</v>
      </c>
      <c r="E43" s="339" t="str">
        <f t="shared" si="22"/>
        <v>Carbonic acid</v>
      </c>
      <c r="F43" s="339" t="str">
        <f t="shared" si="22"/>
        <v>Hydroxide ion</v>
      </c>
      <c r="G43" s="339" t="str">
        <f t="shared" si="22"/>
        <v>Ammonia</v>
      </c>
      <c r="H43" s="565" t="str">
        <f t="shared" si="22"/>
        <v>EDTA</v>
      </c>
      <c r="I43" s="1213"/>
      <c r="J43" s="1309" t="s">
        <v>534</v>
      </c>
      <c r="K43" s="1270">
        <v>0.78187495555168618</v>
      </c>
      <c r="L43" s="1270">
        <v>0.78187495555168618</v>
      </c>
      <c r="M43" s="1270">
        <v>0.37372246903421158</v>
      </c>
      <c r="N43" s="1270">
        <v>0.78187495555168618</v>
      </c>
      <c r="O43" s="1270">
        <v>0.78187495555168618</v>
      </c>
      <c r="P43" s="1270">
        <v>0.37372246903421158</v>
      </c>
      <c r="Q43" s="1271">
        <v>0.78187495555168618</v>
      </c>
      <c r="R43" s="85"/>
      <c r="S43" s="1310"/>
      <c r="T43" s="146"/>
      <c r="U43" s="146"/>
      <c r="V43" s="146"/>
      <c r="W43" s="146"/>
      <c r="X43" s="146"/>
      <c r="Y43" s="146"/>
      <c r="Z43" s="30"/>
      <c r="AA43" s="1151" t="s">
        <v>1108</v>
      </c>
      <c r="AB43" s="1151"/>
      <c r="AC43" s="1151"/>
      <c r="AD43" s="1151"/>
      <c r="AE43" s="1151"/>
      <c r="AF43" s="1151"/>
      <c r="AG43" s="30"/>
      <c r="AH43" s="30"/>
    </row>
    <row r="44" spans="1:34" ht="15.75" customHeight="1" thickTop="1">
      <c r="A44" s="550" t="s">
        <v>519</v>
      </c>
      <c r="B44" s="82">
        <v>8.7239959750292913E-4</v>
      </c>
      <c r="C44" s="82">
        <v>99.555793331594913</v>
      </c>
      <c r="D44" s="82">
        <v>99.999999999999218</v>
      </c>
      <c r="E44" s="82">
        <v>8.348058255429254E-2</v>
      </c>
      <c r="F44" s="82">
        <v>2.3039946304600247E-7</v>
      </c>
      <c r="G44" s="82">
        <v>0.44444860803191866</v>
      </c>
      <c r="H44" s="571">
        <v>0.36395539124081655</v>
      </c>
      <c r="I44" s="568"/>
      <c r="J44" s="399"/>
      <c r="K44" s="398"/>
      <c r="L44" s="398"/>
      <c r="M44" s="398"/>
      <c r="N44" s="398"/>
      <c r="O44" s="398"/>
      <c r="P44" s="398"/>
      <c r="Q44" s="398"/>
      <c r="R44" s="85"/>
      <c r="S44" s="85"/>
      <c r="T44" s="27"/>
      <c r="U44" s="27"/>
      <c r="V44" s="27"/>
      <c r="W44" s="27"/>
      <c r="X44" s="146"/>
      <c r="Y44" s="146"/>
      <c r="Z44" s="30"/>
      <c r="AA44" s="1151" t="s">
        <v>1109</v>
      </c>
      <c r="AB44" s="1151"/>
      <c r="AC44" s="1151"/>
      <c r="AD44" s="1151"/>
      <c r="AE44" s="1151"/>
      <c r="AF44" s="1151"/>
      <c r="AG44" s="30"/>
      <c r="AH44" s="30"/>
    </row>
    <row r="45" spans="1:34" ht="15.75" customHeight="1">
      <c r="A45" s="551" t="s">
        <v>520</v>
      </c>
      <c r="B45" s="82">
        <v>56.987972009179032</v>
      </c>
      <c r="C45" s="82">
        <v>0.44420666840509848</v>
      </c>
      <c r="D45" s="82">
        <v>7.8076176359187841E-13</v>
      </c>
      <c r="E45" s="82">
        <v>84.992110202804128</v>
      </c>
      <c r="F45" s="82">
        <v>99.999999769600535</v>
      </c>
      <c r="G45" s="82">
        <v>99.555551391968081</v>
      </c>
      <c r="H45" s="571">
        <v>96.026369001655453</v>
      </c>
      <c r="I45" s="568"/>
      <c r="J45" s="85"/>
      <c r="K45" s="85"/>
      <c r="L45" s="85"/>
      <c r="M45" s="85"/>
      <c r="N45" s="85"/>
      <c r="O45" s="85"/>
      <c r="P45" s="85"/>
      <c r="Q45" s="85"/>
      <c r="R45" s="85"/>
      <c r="S45" s="85"/>
      <c r="T45" s="27"/>
      <c r="U45" s="27"/>
      <c r="V45" s="27"/>
      <c r="W45" s="27"/>
      <c r="X45" s="146"/>
      <c r="Y45" s="146"/>
      <c r="Z45" s="30"/>
      <c r="AA45" s="1151" t="s">
        <v>1110</v>
      </c>
      <c r="AB45" s="1151"/>
      <c r="AC45" s="1151"/>
      <c r="AD45" s="1151"/>
      <c r="AE45" s="1151"/>
      <c r="AF45" s="1151"/>
      <c r="AG45" s="30"/>
      <c r="AH45" s="30"/>
    </row>
    <row r="46" spans="1:34" ht="15.75" customHeight="1">
      <c r="A46" s="551" t="s">
        <v>521</v>
      </c>
      <c r="B46" s="82">
        <v>43.0106834250399</v>
      </c>
      <c r="C46" s="82"/>
      <c r="D46" s="82"/>
      <c r="E46" s="82">
        <v>14.924409214641587</v>
      </c>
      <c r="F46" s="82"/>
      <c r="G46" s="82"/>
      <c r="H46" s="571">
        <v>3.6095931449287981</v>
      </c>
      <c r="I46" s="568"/>
      <c r="J46" s="85"/>
      <c r="K46" s="85"/>
      <c r="L46" s="85"/>
      <c r="M46" s="85"/>
      <c r="N46" s="85"/>
      <c r="O46" s="85"/>
      <c r="P46" s="85"/>
      <c r="Q46" s="85"/>
      <c r="R46" s="85"/>
      <c r="S46" s="85"/>
      <c r="T46" s="27"/>
      <c r="U46" s="27"/>
      <c r="V46" s="27"/>
      <c r="W46" s="27"/>
      <c r="X46" s="146"/>
      <c r="Y46" s="146"/>
      <c r="Z46" s="30"/>
      <c r="AA46" s="1151"/>
      <c r="AB46" s="1151"/>
      <c r="AC46" s="1151"/>
      <c r="AD46" s="1151"/>
      <c r="AE46" s="1151"/>
      <c r="AF46" s="1151"/>
      <c r="AG46" s="30"/>
      <c r="AH46" s="30"/>
    </row>
    <row r="47" spans="1:34" ht="15.75" customHeight="1">
      <c r="A47" s="551" t="s">
        <v>522</v>
      </c>
      <c r="B47" s="82">
        <v>4.7216618356600944E-4</v>
      </c>
      <c r="C47" s="82"/>
      <c r="D47" s="82"/>
      <c r="E47" s="82"/>
      <c r="F47" s="82"/>
      <c r="G47" s="82"/>
      <c r="H47" s="571">
        <v>8.2461531098368499E-5</v>
      </c>
      <c r="I47" s="568"/>
      <c r="J47" s="85"/>
      <c r="K47" s="85"/>
      <c r="L47" s="85"/>
      <c r="M47" s="85"/>
      <c r="N47" s="85"/>
      <c r="O47" s="85"/>
      <c r="P47" s="85"/>
      <c r="Q47" s="85"/>
      <c r="R47" s="85"/>
      <c r="S47" s="85"/>
      <c r="T47" s="27"/>
      <c r="U47" s="27"/>
      <c r="V47" s="27"/>
      <c r="W47" s="27"/>
      <c r="X47" s="146"/>
      <c r="Y47" s="146"/>
      <c r="Z47" s="30"/>
      <c r="AA47" s="30"/>
      <c r="AB47" s="30"/>
      <c r="AC47" s="30"/>
      <c r="AD47" s="30"/>
      <c r="AE47" s="30"/>
      <c r="AF47" s="30"/>
      <c r="AG47" s="30"/>
      <c r="AH47" s="30"/>
    </row>
    <row r="48" spans="1:34" ht="15.75" customHeight="1">
      <c r="A48" s="551" t="s">
        <v>523</v>
      </c>
      <c r="B48" s="82"/>
      <c r="C48" s="82"/>
      <c r="D48" s="82"/>
      <c r="E48" s="82"/>
      <c r="F48" s="82"/>
      <c r="G48" s="82"/>
      <c r="H48" s="571">
        <v>6.4382810448849216E-10</v>
      </c>
      <c r="I48" s="568"/>
      <c r="J48" s="85"/>
      <c r="K48" s="85"/>
      <c r="L48" s="85"/>
      <c r="M48" s="85"/>
      <c r="N48" s="85"/>
      <c r="O48" s="85"/>
      <c r="P48" s="85"/>
      <c r="Q48" s="85"/>
      <c r="R48" s="85"/>
      <c r="S48" s="85"/>
      <c r="T48" s="27"/>
      <c r="U48" s="27"/>
      <c r="V48" s="27"/>
      <c r="W48" s="27"/>
      <c r="X48" s="146"/>
      <c r="Y48" s="146"/>
      <c r="Z48" s="30"/>
      <c r="AA48" s="30"/>
      <c r="AB48" s="30"/>
      <c r="AC48" s="30"/>
      <c r="AD48" s="30"/>
      <c r="AE48" s="30"/>
      <c r="AF48" s="30"/>
      <c r="AG48" s="30"/>
      <c r="AH48" s="30"/>
    </row>
    <row r="49" spans="1:34" ht="15.75" customHeight="1">
      <c r="A49" s="551" t="s">
        <v>524</v>
      </c>
      <c r="B49" s="82"/>
      <c r="C49" s="82"/>
      <c r="D49" s="82"/>
      <c r="E49" s="82"/>
      <c r="F49" s="82"/>
      <c r="G49" s="82"/>
      <c r="H49" s="571">
        <v>2.6002425595763432E-15</v>
      </c>
      <c r="I49" s="568"/>
      <c r="J49" s="83"/>
      <c r="K49" s="84"/>
      <c r="L49" s="84"/>
      <c r="M49" s="81"/>
      <c r="N49" s="81"/>
      <c r="O49" s="81"/>
      <c r="P49" s="27"/>
      <c r="Q49" s="61"/>
      <c r="R49" s="61"/>
      <c r="S49" s="85"/>
      <c r="T49" s="27"/>
      <c r="U49" s="27"/>
      <c r="V49" s="27"/>
      <c r="W49" s="27"/>
      <c r="X49" s="146"/>
      <c r="Y49" s="146"/>
      <c r="Z49" s="30"/>
      <c r="AA49" s="30"/>
      <c r="AB49" s="30"/>
      <c r="AC49" s="30"/>
      <c r="AD49" s="30"/>
      <c r="AE49" s="30"/>
      <c r="AF49" s="30"/>
      <c r="AG49" s="30"/>
      <c r="AH49" s="30"/>
    </row>
    <row r="50" spans="1:34" ht="15.75" customHeight="1">
      <c r="A50" s="551" t="s">
        <v>525</v>
      </c>
      <c r="B50" s="82"/>
      <c r="C50" s="82"/>
      <c r="D50" s="82"/>
      <c r="E50" s="82"/>
      <c r="F50" s="82"/>
      <c r="G50" s="82"/>
      <c r="H50" s="571">
        <v>5.4322930377398692E-22</v>
      </c>
      <c r="I50" s="568"/>
      <c r="J50" s="83"/>
      <c r="K50" s="84"/>
      <c r="L50" s="84"/>
      <c r="M50" s="81"/>
      <c r="N50" s="81"/>
      <c r="O50" s="81"/>
      <c r="P50" s="27"/>
      <c r="Q50" s="61"/>
      <c r="R50" s="61"/>
      <c r="S50" s="85"/>
      <c r="T50" s="27"/>
      <c r="U50" s="27"/>
      <c r="V50" s="27"/>
      <c r="W50" s="27"/>
      <c r="X50" s="146"/>
      <c r="Y50" s="146"/>
      <c r="Z50" s="27"/>
      <c r="AA50" s="27"/>
      <c r="AB50" s="27"/>
      <c r="AC50" s="27"/>
      <c r="AD50" s="27"/>
      <c r="AE50" s="27"/>
      <c r="AF50" s="27"/>
      <c r="AG50" s="30"/>
      <c r="AH50" s="30"/>
    </row>
    <row r="51" spans="1:34" ht="14.25" thickBot="1">
      <c r="A51" s="1311" t="s">
        <v>526</v>
      </c>
      <c r="B51" s="1312">
        <f>B44+B45+B46+B47+B48+B49+B50</f>
        <v>100.00000000000001</v>
      </c>
      <c r="C51" s="1313">
        <f t="shared" ref="C51:H51" si="23">C44+C45+C46+C47+C48+C49+C50</f>
        <v>100.00000000000001</v>
      </c>
      <c r="D51" s="1313">
        <f t="shared" si="23"/>
        <v>100</v>
      </c>
      <c r="E51" s="1313">
        <f t="shared" si="23"/>
        <v>100</v>
      </c>
      <c r="F51" s="1313">
        <f t="shared" si="23"/>
        <v>100</v>
      </c>
      <c r="G51" s="1313">
        <f t="shared" si="23"/>
        <v>100</v>
      </c>
      <c r="H51" s="1314">
        <f t="shared" si="23"/>
        <v>99.999999999999986</v>
      </c>
      <c r="I51" s="1315"/>
      <c r="J51" s="83"/>
      <c r="K51" s="84"/>
      <c r="L51" s="84"/>
      <c r="M51" s="81"/>
      <c r="N51" s="81"/>
      <c r="O51" s="81"/>
      <c r="P51" s="27"/>
      <c r="Q51" s="61"/>
      <c r="R51" s="61"/>
      <c r="S51" s="85"/>
      <c r="T51" s="27"/>
      <c r="U51" s="27"/>
      <c r="V51" s="27"/>
      <c r="W51" s="27"/>
      <c r="X51" s="146"/>
      <c r="Y51" s="146"/>
      <c r="Z51" s="27"/>
      <c r="AA51" s="27"/>
      <c r="AB51" s="27"/>
      <c r="AC51" s="27"/>
      <c r="AD51" s="27"/>
      <c r="AE51" s="27"/>
      <c r="AF51" s="27"/>
      <c r="AG51" s="30"/>
      <c r="AH51" s="30"/>
    </row>
    <row r="52" spans="1:34" ht="15.75" customHeight="1" thickTop="1">
      <c r="A52" s="83"/>
      <c r="B52" s="83"/>
      <c r="C52" s="83"/>
      <c r="D52" s="83"/>
      <c r="E52" s="83"/>
      <c r="F52" s="83"/>
      <c r="G52" s="83"/>
      <c r="H52" s="83"/>
      <c r="I52" s="83"/>
      <c r="J52" s="83"/>
      <c r="K52" s="84"/>
      <c r="L52" s="84"/>
      <c r="M52" s="81"/>
      <c r="N52" s="81"/>
      <c r="O52" s="81"/>
      <c r="P52" s="27"/>
      <c r="Q52" s="61"/>
      <c r="R52" s="61"/>
      <c r="S52" s="85"/>
      <c r="T52" s="27"/>
      <c r="U52" s="27"/>
      <c r="V52" s="27"/>
      <c r="W52" s="27"/>
      <c r="X52" s="146"/>
      <c r="Y52" s="146"/>
      <c r="Z52" s="27"/>
      <c r="AA52" s="27"/>
      <c r="AB52" s="27"/>
      <c r="AC52" s="27"/>
      <c r="AD52" s="27"/>
      <c r="AE52" s="27"/>
      <c r="AF52" s="27"/>
      <c r="AG52" s="30"/>
      <c r="AH52" s="30"/>
    </row>
    <row r="53" spans="1:34" ht="13.5">
      <c r="A53" s="83"/>
      <c r="B53" s="83"/>
      <c r="C53" s="83"/>
      <c r="D53" s="83"/>
      <c r="E53" s="83"/>
      <c r="F53" s="83"/>
      <c r="G53" s="83"/>
      <c r="H53" s="83"/>
      <c r="I53" s="83"/>
      <c r="J53" s="83"/>
      <c r="K53" s="84"/>
      <c r="L53" s="84"/>
      <c r="M53" s="81"/>
      <c r="N53" s="81"/>
      <c r="O53" s="81"/>
      <c r="P53" s="27"/>
      <c r="Q53" s="61"/>
      <c r="R53" s="61"/>
      <c r="S53" s="85"/>
      <c r="T53" s="27"/>
      <c r="U53" s="27"/>
      <c r="V53" s="27"/>
      <c r="W53" s="27"/>
      <c r="X53" s="146"/>
      <c r="Y53" s="146"/>
      <c r="Z53" s="27"/>
      <c r="AA53" s="27"/>
      <c r="AB53" s="27"/>
      <c r="AC53" s="27"/>
      <c r="AD53" s="27"/>
      <c r="AE53" s="27"/>
      <c r="AF53" s="27"/>
      <c r="AG53" s="30"/>
      <c r="AH53" s="30"/>
    </row>
    <row r="54" spans="1:34" ht="13.5">
      <c r="A54" s="27"/>
      <c r="B54" s="27"/>
      <c r="C54" s="27"/>
      <c r="D54" s="27"/>
      <c r="E54" s="27"/>
      <c r="F54" s="27"/>
      <c r="G54" s="27"/>
      <c r="H54" s="27"/>
      <c r="I54" s="27"/>
      <c r="J54" s="83"/>
      <c r="K54" s="84"/>
      <c r="L54" s="84"/>
      <c r="M54" s="81"/>
      <c r="N54" s="81"/>
      <c r="O54" s="81"/>
      <c r="P54" s="27"/>
      <c r="Q54" s="61"/>
      <c r="R54" s="61"/>
      <c r="S54" s="85"/>
      <c r="T54" s="27"/>
      <c r="U54" s="27"/>
      <c r="V54" s="27"/>
      <c r="W54" s="27"/>
      <c r="X54" s="146"/>
      <c r="Y54" s="146"/>
      <c r="Z54" s="27"/>
      <c r="AA54" s="27"/>
      <c r="AB54" s="27"/>
      <c r="AC54" s="27"/>
      <c r="AD54" s="27"/>
      <c r="AE54" s="27"/>
      <c r="AF54" s="27"/>
      <c r="AG54" s="30"/>
      <c r="AH54" s="30"/>
    </row>
    <row r="55" spans="1:34">
      <c r="A55" s="27"/>
      <c r="B55" s="27"/>
      <c r="C55" s="27"/>
      <c r="D55" s="27"/>
      <c r="E55" s="27"/>
      <c r="F55" s="27"/>
      <c r="G55" s="27"/>
      <c r="H55" s="27"/>
      <c r="I55" s="27"/>
      <c r="J55" s="27"/>
      <c r="K55" s="27"/>
      <c r="L55" s="27"/>
      <c r="M55" s="27"/>
      <c r="N55" s="27"/>
      <c r="O55" s="27"/>
      <c r="P55" s="27"/>
      <c r="Q55" s="27"/>
      <c r="R55" s="27"/>
      <c r="S55" s="27"/>
      <c r="T55" s="27"/>
      <c r="U55" s="27"/>
      <c r="V55" s="27"/>
      <c r="W55" s="27"/>
      <c r="X55" s="27"/>
      <c r="Y55" s="27"/>
      <c r="Z55" s="27"/>
      <c r="AA55" s="27"/>
      <c r="AB55" s="27"/>
      <c r="AC55" s="27"/>
      <c r="AD55" s="27"/>
      <c r="AE55" s="27"/>
      <c r="AF55" s="27"/>
      <c r="AG55" s="30"/>
      <c r="AH55" s="30"/>
    </row>
  </sheetData>
  <protectedRanges>
    <protectedRange sqref="A22" name="Intervalo4_2_1"/>
    <protectedRange sqref="A33" name="Intervalo4_4_1"/>
    <protectedRange sqref="A32" name="Intervalo4_5_1"/>
    <protectedRange sqref="J23:J24" name="Intervalo4_6_1"/>
    <protectedRange sqref="A42:A43" name="Intervalo4_7_1"/>
    <protectedRange sqref="J32:J33" name="Intervalo4_8_1"/>
    <protectedRange sqref="A28:A29" name="Intervalo4_9_1"/>
    <protectedRange sqref="R23:R24" name="Intervalo4_10_1"/>
    <protectedRange sqref="J22" name="Intervalo4_3_1_1"/>
  </protectedRanges>
  <phoneticPr fontId="0" type="noConversion"/>
  <pageMargins left="0.78740157499999996" right="0.78740157499999996" top="0.984251969" bottom="0.984251969" header="0.49212598499999999" footer="0.49212598499999999"/>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45409" r:id="rId4" name="Button 1">
              <controlPr defaultSize="0" print="0" autoFill="0" autoPict="0" macro="[0]!Calc_pH">
                <anchor moveWithCells="1" sizeWithCells="1">
                  <from>
                    <xdr:col>1</xdr:col>
                    <xdr:colOff>0</xdr:colOff>
                    <xdr:row>18</xdr:row>
                    <xdr:rowOff>0</xdr:rowOff>
                  </from>
                  <to>
                    <xdr:col>4</xdr:col>
                    <xdr:colOff>676275</xdr:colOff>
                    <xdr:row>20</xdr:row>
                    <xdr:rowOff>57150</xdr:rowOff>
                  </to>
                </anchor>
              </controlPr>
            </control>
          </mc:Choice>
        </mc:AlternateContent>
        <mc:AlternateContent xmlns:mc="http://schemas.openxmlformats.org/markup-compatibility/2006">
          <mc:Choice Requires="x14">
            <control shapeId="145942" r:id="rId5" name="Drop Down 534">
              <controlPr defaultSize="0" autoLine="0" autoPict="0">
                <anchor moveWithCells="1">
                  <from>
                    <xdr:col>10</xdr:col>
                    <xdr:colOff>0</xdr:colOff>
                    <xdr:row>1</xdr:row>
                    <xdr:rowOff>0</xdr:rowOff>
                  </from>
                  <to>
                    <xdr:col>11</xdr:col>
                    <xdr:colOff>638175</xdr:colOff>
                    <xdr:row>2</xdr:row>
                    <xdr:rowOff>0</xdr:rowOff>
                  </to>
                </anchor>
              </controlPr>
            </control>
          </mc:Choice>
        </mc:AlternateContent>
        <mc:AlternateContent xmlns:mc="http://schemas.openxmlformats.org/markup-compatibility/2006">
          <mc:Choice Requires="x14">
            <control shapeId="145943" r:id="rId6" name="Drop Down 535">
              <controlPr defaultSize="0" autoLine="0" autoPict="0">
                <anchor moveWithCells="1">
                  <from>
                    <xdr:col>11</xdr:col>
                    <xdr:colOff>0</xdr:colOff>
                    <xdr:row>1</xdr:row>
                    <xdr:rowOff>0</xdr:rowOff>
                  </from>
                  <to>
                    <xdr:col>12</xdr:col>
                    <xdr:colOff>847725</xdr:colOff>
                    <xdr:row>2</xdr:row>
                    <xdr:rowOff>0</xdr:rowOff>
                  </to>
                </anchor>
              </controlPr>
            </control>
          </mc:Choice>
        </mc:AlternateContent>
        <mc:AlternateContent xmlns:mc="http://schemas.openxmlformats.org/markup-compatibility/2006">
          <mc:Choice Requires="x14">
            <control shapeId="145944" r:id="rId7" name="Drop Down 536">
              <controlPr defaultSize="0" autoLine="0" autoPict="0">
                <anchor moveWithCells="1">
                  <from>
                    <xdr:col>12</xdr:col>
                    <xdr:colOff>0</xdr:colOff>
                    <xdr:row>1</xdr:row>
                    <xdr:rowOff>0</xdr:rowOff>
                  </from>
                  <to>
                    <xdr:col>13</xdr:col>
                    <xdr:colOff>866775</xdr:colOff>
                    <xdr:row>2</xdr:row>
                    <xdr:rowOff>0</xdr:rowOff>
                  </to>
                </anchor>
              </controlPr>
            </control>
          </mc:Choice>
        </mc:AlternateContent>
        <mc:AlternateContent xmlns:mc="http://schemas.openxmlformats.org/markup-compatibility/2006">
          <mc:Choice Requires="x14">
            <control shapeId="145945" r:id="rId8" name="Drop Down 537">
              <controlPr defaultSize="0" autoLine="0" autoPict="0">
                <anchor moveWithCells="1">
                  <from>
                    <xdr:col>13</xdr:col>
                    <xdr:colOff>0</xdr:colOff>
                    <xdr:row>1</xdr:row>
                    <xdr:rowOff>0</xdr:rowOff>
                  </from>
                  <to>
                    <xdr:col>14</xdr:col>
                    <xdr:colOff>457200</xdr:colOff>
                    <xdr:row>2</xdr:row>
                    <xdr:rowOff>0</xdr:rowOff>
                  </to>
                </anchor>
              </controlPr>
            </control>
          </mc:Choice>
        </mc:AlternateContent>
        <mc:AlternateContent xmlns:mc="http://schemas.openxmlformats.org/markup-compatibility/2006">
          <mc:Choice Requires="x14">
            <control shapeId="145946" r:id="rId9" name="Drop Down 538">
              <controlPr defaultSize="0" autoLine="0" autoPict="0">
                <anchor moveWithCells="1">
                  <from>
                    <xdr:col>14</xdr:col>
                    <xdr:colOff>0</xdr:colOff>
                    <xdr:row>1</xdr:row>
                    <xdr:rowOff>0</xdr:rowOff>
                  </from>
                  <to>
                    <xdr:col>15</xdr:col>
                    <xdr:colOff>866775</xdr:colOff>
                    <xdr:row>2</xdr:row>
                    <xdr:rowOff>0</xdr:rowOff>
                  </to>
                </anchor>
              </controlPr>
            </control>
          </mc:Choice>
        </mc:AlternateContent>
        <mc:AlternateContent xmlns:mc="http://schemas.openxmlformats.org/markup-compatibility/2006">
          <mc:Choice Requires="x14">
            <control shapeId="145947" r:id="rId10" name="Drop Down 539">
              <controlPr defaultSize="0" autoLine="0" autoPict="0">
                <anchor moveWithCells="1">
                  <from>
                    <xdr:col>15</xdr:col>
                    <xdr:colOff>0</xdr:colOff>
                    <xdr:row>1</xdr:row>
                    <xdr:rowOff>0</xdr:rowOff>
                  </from>
                  <to>
                    <xdr:col>16</xdr:col>
                    <xdr:colOff>457200</xdr:colOff>
                    <xdr:row>2</xdr:row>
                    <xdr:rowOff>0</xdr:rowOff>
                  </to>
                </anchor>
              </controlPr>
            </control>
          </mc:Choice>
        </mc:AlternateContent>
        <mc:AlternateContent xmlns:mc="http://schemas.openxmlformats.org/markup-compatibility/2006">
          <mc:Choice Requires="x14">
            <control shapeId="145948" r:id="rId11" name="Drop Down 540">
              <controlPr defaultSize="0" autoLine="0" autoPict="0">
                <anchor moveWithCells="1">
                  <from>
                    <xdr:col>16</xdr:col>
                    <xdr:colOff>0</xdr:colOff>
                    <xdr:row>1</xdr:row>
                    <xdr:rowOff>0</xdr:rowOff>
                  </from>
                  <to>
                    <xdr:col>17</xdr:col>
                    <xdr:colOff>228600</xdr:colOff>
                    <xdr:row>2</xdr:row>
                    <xdr:rowOff>0</xdr:rowOff>
                  </to>
                </anchor>
              </controlPr>
            </control>
          </mc:Choice>
        </mc:AlternateContent>
        <mc:AlternateContent xmlns:mc="http://schemas.openxmlformats.org/markup-compatibility/2006">
          <mc:Choice Requires="x14">
            <control shapeId="145956" r:id="rId12" name="Button 548">
              <controlPr defaultSize="0" print="0" autoFill="0" autoPict="0" macro="[0]!pH_Copy_pKas">
                <anchor moveWithCells="1" sizeWithCells="1">
                  <from>
                    <xdr:col>9</xdr:col>
                    <xdr:colOff>57150</xdr:colOff>
                    <xdr:row>0</xdr:row>
                    <xdr:rowOff>57150</xdr:rowOff>
                  </from>
                  <to>
                    <xdr:col>9</xdr:col>
                    <xdr:colOff>1104900</xdr:colOff>
                    <xdr:row>2</xdr:row>
                    <xdr:rowOff>85725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6"/>
  <dimension ref="A1:AN164"/>
  <sheetViews>
    <sheetView zoomScale="85" zoomScaleNormal="85" workbookViewId="0"/>
  </sheetViews>
  <sheetFormatPr defaultRowHeight="12.75"/>
  <cols>
    <col min="1" max="1" width="14.7109375" customWidth="1"/>
    <col min="2" max="9" width="11.7109375" customWidth="1"/>
    <col min="10" max="10" width="15.5703125" customWidth="1"/>
    <col min="11" max="20" width="15.7109375" customWidth="1"/>
    <col min="21" max="31" width="12.7109375" customWidth="1"/>
    <col min="32" max="32" width="20.7109375" customWidth="1"/>
    <col min="33" max="39" width="12.7109375" customWidth="1"/>
  </cols>
  <sheetData>
    <row r="1" spans="1:40" ht="24" customHeight="1">
      <c r="A1" s="424"/>
      <c r="B1" s="90"/>
      <c r="C1" s="90" t="s">
        <v>866</v>
      </c>
      <c r="D1" s="221"/>
      <c r="E1" s="221"/>
      <c r="F1" s="221"/>
      <c r="G1" s="221"/>
      <c r="H1" s="557" t="s">
        <v>761</v>
      </c>
      <c r="I1" s="221"/>
      <c r="J1" s="337"/>
      <c r="K1" s="378" t="s">
        <v>839</v>
      </c>
      <c r="L1" s="226"/>
      <c r="M1" s="226"/>
      <c r="N1" s="425" t="s">
        <v>649</v>
      </c>
      <c r="O1" s="425"/>
      <c r="P1" s="425"/>
      <c r="Q1" s="226"/>
      <c r="R1" s="226"/>
      <c r="S1" s="226"/>
      <c r="T1" s="229"/>
      <c r="U1" s="775" t="s">
        <v>846</v>
      </c>
      <c r="V1" s="227"/>
      <c r="W1" s="228"/>
      <c r="X1" s="228"/>
      <c r="Y1" s="228"/>
      <c r="Z1" s="107"/>
      <c r="AA1" s="107"/>
      <c r="AB1" s="455" t="s">
        <v>489</v>
      </c>
      <c r="AC1" s="316"/>
      <c r="AD1" s="315"/>
      <c r="AE1" s="317"/>
      <c r="AF1" s="337" t="s">
        <v>840</v>
      </c>
      <c r="AG1" s="226"/>
      <c r="AH1" s="226"/>
      <c r="AI1" s="226"/>
      <c r="AJ1" s="226"/>
      <c r="AK1" s="226"/>
      <c r="AL1" s="226"/>
      <c r="AM1" s="229"/>
      <c r="AN1" s="58"/>
    </row>
    <row r="2" spans="1:40" ht="18" customHeight="1" thickBot="1">
      <c r="A2" s="746" t="s">
        <v>1123</v>
      </c>
      <c r="B2" s="747"/>
      <c r="C2" s="747"/>
      <c r="D2" s="747"/>
      <c r="E2" s="747"/>
      <c r="F2" s="747"/>
      <c r="G2" s="748"/>
      <c r="H2" s="747"/>
      <c r="I2" s="749"/>
      <c r="J2" s="28"/>
      <c r="K2" s="380">
        <v>6</v>
      </c>
      <c r="L2" s="379">
        <v>3</v>
      </c>
      <c r="M2" s="379">
        <v>1</v>
      </c>
      <c r="N2" s="379">
        <v>260</v>
      </c>
      <c r="O2" s="379">
        <v>2</v>
      </c>
      <c r="P2" s="379">
        <v>7</v>
      </c>
      <c r="Q2" s="379">
        <v>103</v>
      </c>
      <c r="R2" s="207"/>
      <c r="S2" s="209" t="s">
        <v>608</v>
      </c>
      <c r="T2" s="778"/>
      <c r="U2" s="107"/>
      <c r="V2" s="207" t="s">
        <v>605</v>
      </c>
      <c r="W2" s="211"/>
      <c r="X2" s="50"/>
      <c r="Y2" s="50"/>
      <c r="Z2" s="208"/>
      <c r="AA2" s="209"/>
      <c r="AB2" s="210"/>
      <c r="AC2" s="207" t="s">
        <v>608</v>
      </c>
      <c r="AD2" s="210"/>
      <c r="AE2" s="212"/>
      <c r="AF2" s="218"/>
      <c r="AG2" s="977" t="s">
        <v>841</v>
      </c>
      <c r="AH2" s="978" t="s">
        <v>693</v>
      </c>
      <c r="AI2" s="979"/>
      <c r="AJ2" s="979"/>
      <c r="AK2" s="980"/>
      <c r="AL2" s="981"/>
      <c r="AM2" s="778"/>
      <c r="AN2" s="27"/>
    </row>
    <row r="3" spans="1:40" ht="26.25" thickTop="1">
      <c r="A3" s="1061" t="s">
        <v>1040</v>
      </c>
      <c r="B3" s="1340" t="str">
        <f t="shared" ref="B3:H3" si="0">K3</f>
        <v>HCl</v>
      </c>
      <c r="C3" s="1340" t="str">
        <f t="shared" si="0"/>
        <v>Carbonic acid</v>
      </c>
      <c r="D3" s="1340" t="str">
        <f t="shared" si="0"/>
        <v>Acetic acid</v>
      </c>
      <c r="E3" s="1340" t="str">
        <f t="shared" si="0"/>
        <v>Phenol Red (pKa 7.7)</v>
      </c>
      <c r="F3" s="1340" t="str">
        <f t="shared" si="0"/>
        <v>Ammonia</v>
      </c>
      <c r="G3" s="1340" t="str">
        <f t="shared" si="0"/>
        <v>Hydroxide ion</v>
      </c>
      <c r="H3" s="1341" t="str">
        <f t="shared" si="0"/>
        <v>Glycine</v>
      </c>
      <c r="I3" s="586"/>
      <c r="J3" s="387" t="s">
        <v>596</v>
      </c>
      <c r="K3" s="274" t="s">
        <v>329</v>
      </c>
      <c r="L3" s="274" t="s">
        <v>161</v>
      </c>
      <c r="M3" s="274" t="s">
        <v>128</v>
      </c>
      <c r="N3" s="274" t="s">
        <v>976</v>
      </c>
      <c r="O3" s="274" t="s">
        <v>129</v>
      </c>
      <c r="P3" s="274" t="s">
        <v>629</v>
      </c>
      <c r="Q3" s="274" t="s">
        <v>187</v>
      </c>
      <c r="R3" s="280" t="s">
        <v>644</v>
      </c>
      <c r="S3" s="281" t="s">
        <v>645</v>
      </c>
      <c r="T3" s="779" t="s">
        <v>610</v>
      </c>
      <c r="U3" s="776" t="s">
        <v>596</v>
      </c>
      <c r="V3" s="714" t="str">
        <f t="shared" ref="V3:AB4" si="1">IF(K3="","",K3)</f>
        <v>HCl</v>
      </c>
      <c r="W3" s="714" t="str">
        <f t="shared" si="1"/>
        <v>Carbonic acid</v>
      </c>
      <c r="X3" s="714" t="str">
        <f t="shared" si="1"/>
        <v>Acetic acid</v>
      </c>
      <c r="Y3" s="714" t="str">
        <f t="shared" si="1"/>
        <v>Phenol Red (pKa 7.7)</v>
      </c>
      <c r="Z3" s="714" t="str">
        <f t="shared" si="1"/>
        <v>Ammonia</v>
      </c>
      <c r="AA3" s="714" t="str">
        <f t="shared" si="1"/>
        <v>Hydroxide ion</v>
      </c>
      <c r="AB3" s="714" t="str">
        <f t="shared" si="1"/>
        <v>Glycine</v>
      </c>
      <c r="AC3" s="204" t="str">
        <f>R3</f>
        <v>Strong ACID</v>
      </c>
      <c r="AD3" s="205" t="str">
        <f>S3</f>
        <v>Strong BASE</v>
      </c>
      <c r="AE3" s="206" t="str">
        <f>T3</f>
        <v>Carbonic ac.</v>
      </c>
      <c r="AF3" s="982" t="s">
        <v>596</v>
      </c>
      <c r="AG3" s="223" t="str">
        <f>IF(VLOOKUP(K$2,Database!$B$22:$N$301,2)="","",VLOOKUP(K$2,Database!$B$22:$N$301,2))</f>
        <v>HCl</v>
      </c>
      <c r="AH3" s="223" t="str">
        <f>IF(VLOOKUP(L$2,Database!$B$22:$N$301,2)="","",VLOOKUP(L$2,Database!$B$22:$N$301,2))</f>
        <v>Carbonic acid</v>
      </c>
      <c r="AI3" s="223" t="str">
        <f>IF(VLOOKUP(M$2,Database!$B$22:$N$301,2)="","",VLOOKUP(M$2,Database!$B$22:$N$301,2))</f>
        <v>Acetic acid</v>
      </c>
      <c r="AJ3" s="223" t="str">
        <f>IF(VLOOKUP(N$2,Database!$B$22:$N$301,2)="","",VLOOKUP(N$2,Database!$B$22:$N$301,2))</f>
        <v>Phenol Red (pKa 7.7)</v>
      </c>
      <c r="AK3" s="223" t="str">
        <f>IF(VLOOKUP(O$2,Database!$B$22:$N$301,2)="","",VLOOKUP(O$2,Database!$B$22:$N$301,2))</f>
        <v>Ammonia</v>
      </c>
      <c r="AL3" s="223" t="str">
        <f>IF(VLOOKUP(P$2,Database!$B$22:$N$301,2)="","",VLOOKUP(P$2,Database!$B$22:$N$301,2))</f>
        <v>Hydroxide ion</v>
      </c>
      <c r="AM3" s="244" t="str">
        <f>IF(VLOOKUP(Q$2,Database!$B$22:$N$301,2)="","",VLOOKUP(Q$2,Database!$B$22:$N$301,2))</f>
        <v>Glycine</v>
      </c>
      <c r="AN3" s="146"/>
    </row>
    <row r="4" spans="1:40" ht="15" customHeight="1" thickBot="1">
      <c r="A4" s="1336" t="s">
        <v>335</v>
      </c>
      <c r="B4" s="1343"/>
      <c r="C4" s="1345"/>
      <c r="D4" s="1345"/>
      <c r="E4" s="1345"/>
      <c r="F4" s="1348"/>
      <c r="G4" s="1345"/>
      <c r="H4" s="1349"/>
      <c r="I4" s="586"/>
      <c r="J4" s="983" t="s">
        <v>597</v>
      </c>
      <c r="K4" s="1279">
        <v>-1</v>
      </c>
      <c r="L4" s="1279">
        <v>-2</v>
      </c>
      <c r="M4" s="1279">
        <v>-1</v>
      </c>
      <c r="N4" s="1279">
        <v>-2</v>
      </c>
      <c r="O4" s="1279">
        <v>0</v>
      </c>
      <c r="P4" s="1279">
        <v>-1</v>
      </c>
      <c r="Q4" s="1279">
        <v>-1</v>
      </c>
      <c r="R4" s="1280">
        <v>-1</v>
      </c>
      <c r="S4" s="1281">
        <v>-1</v>
      </c>
      <c r="T4" s="1282">
        <v>-2</v>
      </c>
      <c r="U4" s="777" t="s">
        <v>597</v>
      </c>
      <c r="V4" s="715">
        <f t="shared" si="1"/>
        <v>-1</v>
      </c>
      <c r="W4" s="715">
        <f t="shared" si="1"/>
        <v>-2</v>
      </c>
      <c r="X4" s="715">
        <f t="shared" si="1"/>
        <v>-1</v>
      </c>
      <c r="Y4" s="715">
        <f t="shared" si="1"/>
        <v>-2</v>
      </c>
      <c r="Z4" s="715">
        <f t="shared" si="1"/>
        <v>0</v>
      </c>
      <c r="AA4" s="715">
        <f t="shared" si="1"/>
        <v>-1</v>
      </c>
      <c r="AB4" s="715">
        <f t="shared" si="1"/>
        <v>-1</v>
      </c>
      <c r="AC4" s="109">
        <v>-1</v>
      </c>
      <c r="AD4" s="108">
        <v>-1</v>
      </c>
      <c r="AE4" s="110">
        <v>-2</v>
      </c>
      <c r="AF4" s="983" t="s">
        <v>607</v>
      </c>
      <c r="AG4" s="246">
        <f>IF(VLOOKUP(K$2,Database!$B$22:$N$301,3)="","",VLOOKUP(K$2,Database!$B$22:$N$301,3))</f>
        <v>-1</v>
      </c>
      <c r="AH4" s="246">
        <f>IF(VLOOKUP(L$2,Database!$B$22:$N$301,3)="","",VLOOKUP(L$2,Database!$B$22:$N$301,3))</f>
        <v>-2</v>
      </c>
      <c r="AI4" s="246">
        <f>IF(VLOOKUP(M$2,Database!$B$22:$N$301,3)="","",VLOOKUP(M$2,Database!$B$22:$N$301,3))</f>
        <v>-1</v>
      </c>
      <c r="AJ4" s="246">
        <f>IF(VLOOKUP(N$2,Database!$B$22:$N$301,3)="","",VLOOKUP(N$2,Database!$B$22:$N$301,3))</f>
        <v>-2</v>
      </c>
      <c r="AK4" s="246">
        <f>IF(VLOOKUP(O$2,Database!$B$22:$N$301,3)="","",VLOOKUP(O$2,Database!$B$22:$N$301,3))</f>
        <v>0</v>
      </c>
      <c r="AL4" s="246">
        <f>IF(VLOOKUP(P$2,Database!$B$22:$N$301,3)="","",VLOOKUP(P$2,Database!$B$22:$N$301,3))</f>
        <v>-1</v>
      </c>
      <c r="AM4" s="253">
        <f>IF(VLOOKUP(Q$2,Database!$B$22:$N$301,3)="","",VLOOKUP(Q$2,Database!$B$22:$N$301,3))</f>
        <v>-1</v>
      </c>
      <c r="AN4" s="30"/>
    </row>
    <row r="5" spans="1:40" ht="15" customHeight="1" thickBot="1">
      <c r="A5" s="1337" t="s">
        <v>336</v>
      </c>
      <c r="B5" s="1344"/>
      <c r="C5" s="861"/>
      <c r="D5" s="1347">
        <v>0.1</v>
      </c>
      <c r="E5" s="861"/>
      <c r="F5" s="946"/>
      <c r="G5" s="1346"/>
      <c r="H5" s="1350"/>
      <c r="I5" s="586"/>
      <c r="J5" s="202" t="s">
        <v>847</v>
      </c>
      <c r="K5" s="269">
        <v>-7</v>
      </c>
      <c r="L5" s="269">
        <v>6.3520000000000003</v>
      </c>
      <c r="M5" s="269">
        <v>4.7569999999999997</v>
      </c>
      <c r="N5" s="269">
        <v>1.2</v>
      </c>
      <c r="O5" s="269">
        <v>9.2439999999999998</v>
      </c>
      <c r="P5" s="269">
        <v>15.744999999999999</v>
      </c>
      <c r="Q5" s="269">
        <v>2.35</v>
      </c>
      <c r="R5" s="1273">
        <v>-6</v>
      </c>
      <c r="S5" s="1179">
        <v>15.744999999999999</v>
      </c>
      <c r="T5" s="1274">
        <v>6.3520000000000003</v>
      </c>
      <c r="U5" s="36" t="s">
        <v>845</v>
      </c>
      <c r="V5" s="111">
        <f t="shared" ref="V5:AB5" si="2">IF(K5="","",IF(K6="",10^K5,(IF(K7="",10^K6,(IF(K8="",10^K7,(IF(K9="",10^K8,(IF(K10="",10^K9,10^K10))))))))))</f>
        <v>9.9999999999999995E-8</v>
      </c>
      <c r="W5" s="115">
        <f t="shared" si="2"/>
        <v>21330449131.465843</v>
      </c>
      <c r="X5" s="115">
        <f t="shared" si="2"/>
        <v>57147.863667186728</v>
      </c>
      <c r="Y5" s="115">
        <f t="shared" si="2"/>
        <v>50118723.362727284</v>
      </c>
      <c r="Z5" s="115">
        <f t="shared" si="2"/>
        <v>1753880501.8417609</v>
      </c>
      <c r="AA5" s="115">
        <f t="shared" si="2"/>
        <v>5559042572704029</v>
      </c>
      <c r="AB5" s="112">
        <f t="shared" si="2"/>
        <v>5997910762.5551224</v>
      </c>
      <c r="AC5" s="71">
        <f>IF(R5="","",IF(R6="",10^R5,10^R6))</f>
        <v>9.9999999999999995E-7</v>
      </c>
      <c r="AD5" s="214">
        <f>IF(S5="","",IF(S6="",10^S5,10^S6))</f>
        <v>5559042572704029</v>
      </c>
      <c r="AE5" s="118">
        <f>IF(T5="","",IF(T6="",10^T5,10^T6))</f>
        <v>21330449131.465843</v>
      </c>
      <c r="AF5" s="201" t="s">
        <v>584</v>
      </c>
      <c r="AG5" s="254">
        <f>IF(VLOOKUP(K$2,Database!$B$22:$N$301,4)="","",VLOOKUP(K$2,Database!$B$22:$N$301,4))</f>
        <v>-7</v>
      </c>
      <c r="AH5" s="388">
        <f>IF(VLOOKUP(L$2,Database!$B$22:$N$301,4)="","",VLOOKUP(L$2,Database!$B$22:$N$301,4))</f>
        <v>6.3520000000000003</v>
      </c>
      <c r="AI5" s="388">
        <f>IF(VLOOKUP(M$2,Database!$B$22:$N$301,4)="","",VLOOKUP(M$2,Database!$B$22:$N$301,4))</f>
        <v>4.7569999999999997</v>
      </c>
      <c r="AJ5" s="388">
        <f>IF(VLOOKUP(N$2,Database!$B$22:$N$301,4)="","",VLOOKUP(N$2,Database!$B$22:$N$301,4))</f>
        <v>1.2</v>
      </c>
      <c r="AK5" s="388">
        <f>IF(VLOOKUP(O$2,Database!$B$22:$N$301,4)="","",VLOOKUP(O$2,Database!$B$22:$N$301,4))</f>
        <v>9.2439999999999998</v>
      </c>
      <c r="AL5" s="388">
        <f>IF(VLOOKUP(P$2,Database!$B$22:$N$301,4)="","",VLOOKUP(P$2,Database!$B$22:$N$301,4))</f>
        <v>15.744999999999999</v>
      </c>
      <c r="AM5" s="389">
        <f>IF(VLOOKUP(Q$2,Database!$B$22:$N$301,4)="","",VLOOKUP(Q$2,Database!$B$22:$N$301,4))</f>
        <v>2.35</v>
      </c>
      <c r="AN5" s="30"/>
    </row>
    <row r="6" spans="1:40" ht="15" customHeight="1" thickBot="1">
      <c r="A6" s="1337" t="s">
        <v>902</v>
      </c>
      <c r="B6" s="863"/>
      <c r="C6" s="1346"/>
      <c r="D6" s="864"/>
      <c r="E6" s="1346">
        <v>5.0000000000000002E-5</v>
      </c>
      <c r="F6" s="864"/>
      <c r="G6" s="864"/>
      <c r="H6" s="862"/>
      <c r="I6" s="586"/>
      <c r="J6" s="202" t="s">
        <v>848</v>
      </c>
      <c r="K6" s="269" t="s">
        <v>591</v>
      </c>
      <c r="L6" s="269">
        <v>10.329000000000001</v>
      </c>
      <c r="M6" s="269" t="s">
        <v>591</v>
      </c>
      <c r="N6" s="269">
        <v>7.7</v>
      </c>
      <c r="O6" s="269" t="s">
        <v>591</v>
      </c>
      <c r="P6" s="269" t="s">
        <v>591</v>
      </c>
      <c r="Q6" s="269">
        <v>9.7780000000000005</v>
      </c>
      <c r="R6" s="1275"/>
      <c r="S6" s="1276"/>
      <c r="T6" s="1277">
        <v>10.329000000000001</v>
      </c>
      <c r="U6" s="36" t="s">
        <v>492</v>
      </c>
      <c r="V6" s="114" t="str">
        <f t="shared" ref="V6:AB6" si="3">IF(K6="","",IF(K7="",V5*10^K5,(IF(K8="",V5*10^K6,(IF(K9="",V5*10^K7,(IF(K10="",V5*10^K8,V5*10^K9))))))))</f>
        <v/>
      </c>
      <c r="W6" s="115">
        <f t="shared" si="3"/>
        <v>4.7973344863669224E+16</v>
      </c>
      <c r="X6" s="115" t="str">
        <f t="shared" si="3"/>
        <v/>
      </c>
      <c r="Y6" s="115">
        <f t="shared" si="3"/>
        <v>794328234.7242825</v>
      </c>
      <c r="Z6" s="115" t="str">
        <f t="shared" si="3"/>
        <v/>
      </c>
      <c r="AA6" s="115" t="str">
        <f t="shared" si="3"/>
        <v/>
      </c>
      <c r="AB6" s="116">
        <f t="shared" si="3"/>
        <v>1342764961137.8711</v>
      </c>
      <c r="AC6" s="71" t="str">
        <f>IF(R6="","",AC5*10^R5)</f>
        <v/>
      </c>
      <c r="AD6" s="71" t="str">
        <f>IF(S6="","",AD5*10^S5)</f>
        <v/>
      </c>
      <c r="AE6" s="118">
        <f>IF(T6="","",AE5*10^T5)</f>
        <v>4.7973344863669224E+16</v>
      </c>
      <c r="AF6" s="202" t="s">
        <v>585</v>
      </c>
      <c r="AG6" s="247" t="str">
        <f>IF(VLOOKUP(K$2,Database!$B$22:$N$301,5)="","",VLOOKUP(K$2,Database!$B$22:$N$301,5))</f>
        <v/>
      </c>
      <c r="AH6" s="248">
        <f>IF(VLOOKUP(L$2,Database!$B$22:$N$301,5)="","",VLOOKUP(L$2,Database!$B$22:$N$301,5))</f>
        <v>10.329000000000001</v>
      </c>
      <c r="AI6" s="248" t="str">
        <f>IF(VLOOKUP(M$2,Database!$B$22:$N$301,5)="","",VLOOKUP(M$2,Database!$B$22:$N$301,5))</f>
        <v/>
      </c>
      <c r="AJ6" s="248">
        <f>IF(VLOOKUP(N$2,Database!$B$22:$N$301,5)="","",VLOOKUP(N$2,Database!$B$22:$N$301,5))</f>
        <v>7.7</v>
      </c>
      <c r="AK6" s="248" t="str">
        <f>IF(VLOOKUP(O$2,Database!$B$22:$N$301,5)="","",VLOOKUP(O$2,Database!$B$22:$N$301,5))</f>
        <v/>
      </c>
      <c r="AL6" s="248" t="str">
        <f>IF(VLOOKUP(P$2,Database!$B$22:$N$301,5)="","",VLOOKUP(P$2,Database!$B$22:$N$301,5))</f>
        <v/>
      </c>
      <c r="AM6" s="249">
        <f>IF(VLOOKUP(Q$2,Database!$B$22:$N$301,5)="","",VLOOKUP(Q$2,Database!$B$22:$N$301,5))</f>
        <v>9.7780000000000005</v>
      </c>
      <c r="AN6" s="30"/>
    </row>
    <row r="7" spans="1:40" ht="15" customHeight="1">
      <c r="A7" s="1337" t="s">
        <v>903</v>
      </c>
      <c r="B7" s="863"/>
      <c r="C7" s="864"/>
      <c r="D7" s="864"/>
      <c r="E7" s="864"/>
      <c r="F7" s="864"/>
      <c r="G7" s="864"/>
      <c r="H7" s="865"/>
      <c r="I7" s="586"/>
      <c r="J7" s="202" t="s">
        <v>640</v>
      </c>
      <c r="K7" s="269" t="s">
        <v>591</v>
      </c>
      <c r="L7" s="269" t="s">
        <v>591</v>
      </c>
      <c r="M7" s="269" t="s">
        <v>591</v>
      </c>
      <c r="N7" s="269" t="s">
        <v>591</v>
      </c>
      <c r="O7" s="269" t="s">
        <v>591</v>
      </c>
      <c r="P7" s="269" t="s">
        <v>591</v>
      </c>
      <c r="Q7" s="271" t="s">
        <v>591</v>
      </c>
      <c r="R7" s="1283"/>
      <c r="S7" s="1284"/>
      <c r="T7" s="1285"/>
      <c r="U7" s="113" t="s">
        <v>494</v>
      </c>
      <c r="V7" s="114" t="str">
        <f t="shared" ref="V7:AB7" si="4">IF(K7="","",IF(K8="",V6*10^K5,(IF(K9="",V6*10^K6,(IF(K10="",V6*10^K7,V6*10^K8))))))</f>
        <v/>
      </c>
      <c r="W7" s="115" t="str">
        <f t="shared" si="4"/>
        <v/>
      </c>
      <c r="X7" s="115" t="str">
        <f t="shared" si="4"/>
        <v/>
      </c>
      <c r="Y7" s="115" t="str">
        <f t="shared" si="4"/>
        <v/>
      </c>
      <c r="Z7" s="115" t="str">
        <f t="shared" si="4"/>
        <v/>
      </c>
      <c r="AA7" s="115" t="str">
        <f t="shared" si="4"/>
        <v/>
      </c>
      <c r="AB7" s="116" t="str">
        <f t="shared" si="4"/>
        <v/>
      </c>
      <c r="AC7" s="115"/>
      <c r="AD7" s="115"/>
      <c r="AE7" s="118"/>
      <c r="AF7" s="202" t="s">
        <v>586</v>
      </c>
      <c r="AG7" s="247" t="str">
        <f>IF(VLOOKUP(K$2,Database!$B$22:$N$301,6)="","",VLOOKUP(K$2,Database!$B$22:$N$301,6))</f>
        <v/>
      </c>
      <c r="AH7" s="248" t="str">
        <f>IF(VLOOKUP(L$2,Database!$B$22:$N$301,6)="","",VLOOKUP(L$2,Database!$B$22:$N$301,6))</f>
        <v/>
      </c>
      <c r="AI7" s="248" t="str">
        <f>IF(VLOOKUP(M$2,Database!$B$22:$N$301,6)="","",VLOOKUP(M$2,Database!$B$22:$N$301,6))</f>
        <v/>
      </c>
      <c r="AJ7" s="248" t="str">
        <f>IF(VLOOKUP(N$2,Database!$B$22:$N$301,6)="","",VLOOKUP(N$2,Database!$B$22:$N$301,6))</f>
        <v/>
      </c>
      <c r="AK7" s="248" t="str">
        <f>IF(VLOOKUP(O$2,Database!$B$22:$N$301,6)="","",VLOOKUP(O$2,Database!$B$22:$N$301,6))</f>
        <v/>
      </c>
      <c r="AL7" s="248" t="str">
        <f>IF(VLOOKUP(P$2,Database!$B$22:$N$301,6)="","",VLOOKUP(P$2,Database!$B$22:$N$301,6))</f>
        <v/>
      </c>
      <c r="AM7" s="249" t="str">
        <f>IF(VLOOKUP(Q$2,Database!$B$22:$N$301,6)="","",VLOOKUP(Q$2,Database!$B$22:$N$301,6))</f>
        <v/>
      </c>
      <c r="AN7" s="30"/>
    </row>
    <row r="8" spans="1:40" ht="15" customHeight="1">
      <c r="A8" s="1337" t="s">
        <v>896</v>
      </c>
      <c r="B8" s="863"/>
      <c r="C8" s="864"/>
      <c r="D8" s="864"/>
      <c r="E8" s="826"/>
      <c r="F8" s="826"/>
      <c r="G8" s="826"/>
      <c r="H8" s="865"/>
      <c r="I8" s="1326" t="s">
        <v>351</v>
      </c>
      <c r="J8" s="202" t="s">
        <v>641</v>
      </c>
      <c r="K8" s="269" t="s">
        <v>591</v>
      </c>
      <c r="L8" s="269" t="s">
        <v>591</v>
      </c>
      <c r="M8" s="269" t="s">
        <v>591</v>
      </c>
      <c r="N8" s="269" t="s">
        <v>591</v>
      </c>
      <c r="O8" s="269" t="s">
        <v>591</v>
      </c>
      <c r="P8" s="269" t="s">
        <v>591</v>
      </c>
      <c r="Q8" s="271" t="s">
        <v>591</v>
      </c>
      <c r="R8" s="773"/>
      <c r="S8" s="773"/>
      <c r="T8" s="780"/>
      <c r="U8" s="113" t="s">
        <v>496</v>
      </c>
      <c r="V8" s="114" t="str">
        <f t="shared" ref="V8:AB8" si="5">IF(K8="","",IF(K9="",V7*10^K5,(IF(K10="",V7*10^K6,V7*10^K7))))</f>
        <v/>
      </c>
      <c r="W8" s="115" t="str">
        <f t="shared" si="5"/>
        <v/>
      </c>
      <c r="X8" s="115" t="str">
        <f t="shared" si="5"/>
        <v/>
      </c>
      <c r="Y8" s="115" t="str">
        <f t="shared" si="5"/>
        <v/>
      </c>
      <c r="Z8" s="115" t="str">
        <f t="shared" si="5"/>
        <v/>
      </c>
      <c r="AA8" s="115" t="str">
        <f t="shared" si="5"/>
        <v/>
      </c>
      <c r="AB8" s="116" t="str">
        <f t="shared" si="5"/>
        <v/>
      </c>
      <c r="AC8" s="115"/>
      <c r="AD8" s="115"/>
      <c r="AE8" s="117"/>
      <c r="AF8" s="202" t="s">
        <v>587</v>
      </c>
      <c r="AG8" s="247" t="str">
        <f>IF(VLOOKUP(K$2,Database!$B$22:$N$301,7)="","",VLOOKUP(K$2,Database!$B$22:$N$301,7))</f>
        <v/>
      </c>
      <c r="AH8" s="248" t="str">
        <f>IF(VLOOKUP(L$2,Database!$B$22:$N$301,7)="","",VLOOKUP(L$2,Database!$B$22:$N$301,7))</f>
        <v/>
      </c>
      <c r="AI8" s="248" t="str">
        <f>IF(VLOOKUP(M$2,Database!$B$22:$N$301,7)="","",VLOOKUP(M$2,Database!$B$22:$N$301,7))</f>
        <v/>
      </c>
      <c r="AJ8" s="248" t="str">
        <f>IF(VLOOKUP(N$2,Database!$B$22:$N$301,7)="","",VLOOKUP(N$2,Database!$B$22:$N$301,7))</f>
        <v/>
      </c>
      <c r="AK8" s="248" t="str">
        <f>IF(VLOOKUP(O$2,Database!$B$22:$N$301,7)="","",VLOOKUP(O$2,Database!$B$22:$N$301,7))</f>
        <v/>
      </c>
      <c r="AL8" s="248" t="str">
        <f>IF(VLOOKUP(P$2,Database!$B$22:$N$301,7)="","",VLOOKUP(P$2,Database!$B$22:$N$301,7))</f>
        <v/>
      </c>
      <c r="AM8" s="249" t="str">
        <f>IF(VLOOKUP(Q$2,Database!$B$22:$N$301,7)="","",VLOOKUP(Q$2,Database!$B$22:$N$301,7))</f>
        <v/>
      </c>
      <c r="AN8" s="30"/>
    </row>
    <row r="9" spans="1:40" ht="15" customHeight="1">
      <c r="A9" s="1337" t="s">
        <v>897</v>
      </c>
      <c r="B9" s="863"/>
      <c r="C9" s="864"/>
      <c r="D9" s="864"/>
      <c r="E9" s="826"/>
      <c r="F9" s="826"/>
      <c r="G9" s="826"/>
      <c r="H9" s="865"/>
      <c r="I9" s="1338" t="s">
        <v>647</v>
      </c>
      <c r="J9" s="202" t="s">
        <v>642</v>
      </c>
      <c r="K9" s="269" t="s">
        <v>591</v>
      </c>
      <c r="L9" s="269" t="s">
        <v>591</v>
      </c>
      <c r="M9" s="269" t="s">
        <v>591</v>
      </c>
      <c r="N9" s="269" t="s">
        <v>591</v>
      </c>
      <c r="O9" s="269" t="s">
        <v>591</v>
      </c>
      <c r="P9" s="269" t="s">
        <v>591</v>
      </c>
      <c r="Q9" s="271" t="s">
        <v>591</v>
      </c>
      <c r="R9" s="773"/>
      <c r="S9" s="773"/>
      <c r="T9" s="780"/>
      <c r="U9" s="113" t="s">
        <v>498</v>
      </c>
      <c r="V9" s="114" t="str">
        <f t="shared" ref="V9:AB9" si="6">IF(K9="","",IF(K10="",V8*10^K5,V8*10^K6))</f>
        <v/>
      </c>
      <c r="W9" s="115" t="str">
        <f t="shared" si="6"/>
        <v/>
      </c>
      <c r="X9" s="115" t="str">
        <f t="shared" si="6"/>
        <v/>
      </c>
      <c r="Y9" s="115" t="str">
        <f t="shared" si="6"/>
        <v/>
      </c>
      <c r="Z9" s="115" t="str">
        <f t="shared" si="6"/>
        <v/>
      </c>
      <c r="AA9" s="115" t="str">
        <f t="shared" si="6"/>
        <v/>
      </c>
      <c r="AB9" s="116" t="str">
        <f t="shared" si="6"/>
        <v/>
      </c>
      <c r="AC9" s="115"/>
      <c r="AD9" s="115"/>
      <c r="AE9" s="117"/>
      <c r="AF9" s="202" t="s">
        <v>588</v>
      </c>
      <c r="AG9" s="247" t="str">
        <f>IF(VLOOKUP(K$2,Database!$B$22:$N$301,8)="","",VLOOKUP(K$2,Database!$B$22:$N$301,8))</f>
        <v/>
      </c>
      <c r="AH9" s="248" t="str">
        <f>IF(VLOOKUP(L$2,Database!$B$22:$N$301,8)="","",VLOOKUP(L$2,Database!$B$22:$N$301,8))</f>
        <v/>
      </c>
      <c r="AI9" s="248" t="str">
        <f>IF(VLOOKUP(M$2,Database!$B$22:$N$301,8)="","",VLOOKUP(M$2,Database!$B$22:$N$301,8))</f>
        <v/>
      </c>
      <c r="AJ9" s="248" t="str">
        <f>IF(VLOOKUP(N$2,Database!$B$22:$N$301,8)="","",VLOOKUP(N$2,Database!$B$22:$N$301,8))</f>
        <v/>
      </c>
      <c r="AK9" s="248" t="str">
        <f>IF(VLOOKUP(O$2,Database!$B$22:$N$301,8)="","",VLOOKUP(O$2,Database!$B$22:$N$301,8))</f>
        <v/>
      </c>
      <c r="AL9" s="248" t="str">
        <f>IF(VLOOKUP(P$2,Database!$B$22:$N$301,8)="","",VLOOKUP(P$2,Database!$B$22:$N$301,8))</f>
        <v/>
      </c>
      <c r="AM9" s="249" t="str">
        <f>IF(VLOOKUP(Q$2,Database!$B$22:$N$301,8)="","",VLOOKUP(Q$2,Database!$B$22:$N$301,8))</f>
        <v/>
      </c>
      <c r="AN9" s="30"/>
    </row>
    <row r="10" spans="1:40" ht="15" customHeight="1" thickBot="1">
      <c r="A10" s="1337" t="s">
        <v>898</v>
      </c>
      <c r="B10" s="866"/>
      <c r="C10" s="1334"/>
      <c r="D10" s="1334"/>
      <c r="E10" s="1334"/>
      <c r="F10" s="1334"/>
      <c r="G10" s="1334"/>
      <c r="H10" s="1335"/>
      <c r="I10" s="1339" t="s">
        <v>348</v>
      </c>
      <c r="J10" s="1172" t="s">
        <v>643</v>
      </c>
      <c r="K10" s="269" t="s">
        <v>591</v>
      </c>
      <c r="L10" s="269" t="s">
        <v>591</v>
      </c>
      <c r="M10" s="269" t="s">
        <v>591</v>
      </c>
      <c r="N10" s="269" t="s">
        <v>591</v>
      </c>
      <c r="O10" s="269" t="s">
        <v>591</v>
      </c>
      <c r="P10" s="269" t="s">
        <v>591</v>
      </c>
      <c r="Q10" s="271" t="s">
        <v>591</v>
      </c>
      <c r="R10" s="773"/>
      <c r="S10" s="773"/>
      <c r="T10" s="780"/>
      <c r="U10" s="1291" t="s">
        <v>500</v>
      </c>
      <c r="V10" s="114" t="str">
        <f t="shared" ref="V10:AB10" si="7">IF(K10="","",V9*10^K5)</f>
        <v/>
      </c>
      <c r="W10" s="115" t="str">
        <f t="shared" si="7"/>
        <v/>
      </c>
      <c r="X10" s="115" t="str">
        <f t="shared" si="7"/>
        <v/>
      </c>
      <c r="Y10" s="115" t="str">
        <f t="shared" si="7"/>
        <v/>
      </c>
      <c r="Z10" s="115" t="str">
        <f t="shared" si="7"/>
        <v/>
      </c>
      <c r="AA10" s="115" t="str">
        <f t="shared" si="7"/>
        <v/>
      </c>
      <c r="AB10" s="116" t="str">
        <f t="shared" si="7"/>
        <v/>
      </c>
      <c r="AC10" s="115"/>
      <c r="AD10" s="115"/>
      <c r="AE10" s="117"/>
      <c r="AF10" s="203" t="s">
        <v>589</v>
      </c>
      <c r="AG10" s="616" t="str">
        <f>IF(VLOOKUP(K$2,Database!$B$22:$N$301,9)="","",VLOOKUP(K$2,Database!$B$22:$N$301,9))</f>
        <v/>
      </c>
      <c r="AH10" s="617" t="str">
        <f>IF(VLOOKUP(L$2,Database!$B$22:$N$301,9)="","",VLOOKUP(L$2,Database!$B$22:$N$301,9))</f>
        <v/>
      </c>
      <c r="AI10" s="617" t="str">
        <f>IF(VLOOKUP(M$2,Database!$B$22:$N$301,9)="","",VLOOKUP(M$2,Database!$B$22:$N$301,9))</f>
        <v/>
      </c>
      <c r="AJ10" s="617" t="str">
        <f>IF(VLOOKUP(N$2,Database!$B$22:$N$301,9)="","",VLOOKUP(N$2,Database!$B$22:$N$301,9))</f>
        <v/>
      </c>
      <c r="AK10" s="617" t="str">
        <f>IF(VLOOKUP(O$2,Database!$B$22:$N$301,9)="","",VLOOKUP(O$2,Database!$B$22:$N$301,9))</f>
        <v/>
      </c>
      <c r="AL10" s="617" t="str">
        <f>IF(VLOOKUP(P$2,Database!$B$22:$N$301,9)="","",VLOOKUP(P$2,Database!$B$22:$N$301,9))</f>
        <v/>
      </c>
      <c r="AM10" s="618" t="str">
        <f>IF(VLOOKUP(Q$2,Database!$B$22:$N$301,9)="","",VLOOKUP(Q$2,Database!$B$22:$N$301,9))</f>
        <v/>
      </c>
      <c r="AN10" s="30"/>
    </row>
    <row r="11" spans="1:40" ht="15" customHeight="1" thickTop="1" thickBot="1">
      <c r="A11" s="828" t="s">
        <v>904</v>
      </c>
      <c r="B11" s="1342">
        <f>SUM(B4:B10)</f>
        <v>0</v>
      </c>
      <c r="C11" s="950">
        <f t="shared" ref="C11:H11" si="8">SUM(C4:C10)</f>
        <v>0</v>
      </c>
      <c r="D11" s="950">
        <f t="shared" si="8"/>
        <v>0.1</v>
      </c>
      <c r="E11" s="950">
        <f t="shared" si="8"/>
        <v>5.0000000000000002E-5</v>
      </c>
      <c r="F11" s="950">
        <f t="shared" si="8"/>
        <v>0</v>
      </c>
      <c r="G11" s="950">
        <f t="shared" si="8"/>
        <v>0</v>
      </c>
      <c r="H11" s="951">
        <f t="shared" si="8"/>
        <v>0</v>
      </c>
      <c r="I11" s="947">
        <f>SUM(B11:H11)</f>
        <v>0.10005</v>
      </c>
      <c r="J11" s="125" t="s">
        <v>338</v>
      </c>
      <c r="K11" s="1286">
        <v>13.997</v>
      </c>
      <c r="L11" s="1287" t="s">
        <v>1144</v>
      </c>
      <c r="M11" s="1288"/>
      <c r="N11" s="1288"/>
      <c r="O11" s="1288"/>
      <c r="P11" s="1289"/>
      <c r="Q11" s="1290"/>
      <c r="R11" s="1278"/>
      <c r="S11" s="774"/>
      <c r="T11" s="781"/>
      <c r="U11" s="1292" t="s">
        <v>339</v>
      </c>
      <c r="V11" s="1293">
        <f>10^-K11</f>
        <v>1.0069316688518014E-14</v>
      </c>
      <c r="W11" s="395"/>
      <c r="X11" s="395"/>
      <c r="Y11" s="395"/>
      <c r="Z11" s="395"/>
      <c r="AA11" s="395"/>
      <c r="AB11" s="395"/>
      <c r="AC11" s="395"/>
      <c r="AD11" s="395"/>
      <c r="AE11" s="395"/>
      <c r="AF11" s="975" t="s">
        <v>967</v>
      </c>
      <c r="AG11" s="248" t="str">
        <f>IF(VLOOKUP(K$2,Database!$B$22:$R$301,14)="","",VLOOKUP(K$2,Database!$B$22:$R$301,14))</f>
        <v/>
      </c>
      <c r="AH11" s="248" t="str">
        <f>IF(VLOOKUP(L$2,Database!$B$22:$R$301,14)="","",VLOOKUP(L$2,Database!$B$22:$R$301,14))</f>
        <v/>
      </c>
      <c r="AI11" s="248" t="str">
        <f>IF(VLOOKUP(M$2,Database!$B$22:$R$301,14)="","",VLOOKUP(M$2,Database!$B$22:$R$301,14))</f>
        <v/>
      </c>
      <c r="AJ11" s="248">
        <f>IF(VLOOKUP(N$2,Database!$B$22:$R$301,14)="","",VLOOKUP(N$2,Database!$B$22:$R$301,14))</f>
        <v>7.7</v>
      </c>
      <c r="AK11" s="248" t="str">
        <f>IF(VLOOKUP(O$2,Database!$B$22:$R$301,14)="","",VLOOKUP(O$2,Database!$B$22:$R$301,14))</f>
        <v/>
      </c>
      <c r="AL11" s="248" t="str">
        <f>IF(VLOOKUP(P$2,Database!$B$22:$R$301,14)="","",VLOOKUP(P$2,Database!$B$22:$R$301,14))</f>
        <v/>
      </c>
      <c r="AM11" s="249" t="str">
        <f>IF(VLOOKUP(Q$2,Database!$B$22:$R$301,14)="","",VLOOKUP(Q$2,Database!$B$22:$R$301,14))</f>
        <v/>
      </c>
      <c r="AN11" s="30"/>
    </row>
    <row r="12" spans="1:40" ht="15" customHeight="1" thickTop="1" thickBot="1">
      <c r="A12" s="867" t="s">
        <v>842</v>
      </c>
      <c r="B12" s="948">
        <f>B5+2*B6+3*B7+4*B8+5*B9+6*B10</f>
        <v>0</v>
      </c>
      <c r="C12" s="949">
        <f t="shared" ref="C12:H12" si="9">C5+2*C6+3*C7+4*C8+5*C9+6*C10</f>
        <v>0</v>
      </c>
      <c r="D12" s="949">
        <f t="shared" si="9"/>
        <v>0.1</v>
      </c>
      <c r="E12" s="949">
        <f t="shared" si="9"/>
        <v>1E-4</v>
      </c>
      <c r="F12" s="950">
        <f t="shared" si="9"/>
        <v>0</v>
      </c>
      <c r="G12" s="950">
        <f t="shared" si="9"/>
        <v>0</v>
      </c>
      <c r="H12" s="951">
        <f t="shared" si="9"/>
        <v>0</v>
      </c>
      <c r="I12" s="952">
        <f>SUM(B12:H12)</f>
        <v>0.10010000000000001</v>
      </c>
      <c r="J12" s="391"/>
      <c r="K12" s="392"/>
      <c r="L12" s="243"/>
      <c r="M12" s="1169"/>
      <c r="N12" s="1170" t="s">
        <v>601</v>
      </c>
      <c r="O12" s="1171"/>
      <c r="P12" s="243"/>
      <c r="Q12" s="30"/>
      <c r="R12" s="30"/>
      <c r="S12" s="30"/>
      <c r="T12" s="30"/>
      <c r="U12" s="30"/>
      <c r="V12" s="30"/>
      <c r="W12" s="30"/>
      <c r="X12" s="30"/>
      <c r="Y12" s="30"/>
      <c r="Z12" s="30"/>
      <c r="AA12" s="30"/>
      <c r="AB12" s="30"/>
      <c r="AC12" s="30"/>
      <c r="AD12" s="30"/>
      <c r="AE12" s="30"/>
      <c r="AF12" s="975" t="s">
        <v>968</v>
      </c>
      <c r="AG12" s="248" t="str">
        <f>IF(VLOOKUP(K$2,Database!$B$22:$R$301,15)="","",VLOOKUP(K$2,Database!$B$22:$R$301,15))</f>
        <v/>
      </c>
      <c r="AH12" s="248" t="str">
        <f>IF(VLOOKUP(L$2,Database!$B$22:$R$301,15)="","",VLOOKUP(L$2,Database!$B$22:$R$301,15))</f>
        <v/>
      </c>
      <c r="AI12" s="248" t="str">
        <f>IF(VLOOKUP(M$2,Database!$B$22:$R$301,15)="","",VLOOKUP(M$2,Database!$B$22:$R$301,15))</f>
        <v/>
      </c>
      <c r="AJ12" s="248">
        <f>IF(VLOOKUP(N$2,Database!$B$22:$R$301,15)="","",VLOOKUP(N$2,Database!$B$22:$R$301,15))</f>
        <v>4907000</v>
      </c>
      <c r="AK12" s="248" t="str">
        <f>IF(VLOOKUP(O$2,Database!$B$22:$R$301,15)="","",VLOOKUP(O$2,Database!$B$22:$R$301,15))</f>
        <v/>
      </c>
      <c r="AL12" s="248" t="str">
        <f>IF(VLOOKUP(P$2,Database!$B$22:$R$301,15)="","",VLOOKUP(P$2,Database!$B$22:$R$301,15))</f>
        <v/>
      </c>
      <c r="AM12" s="249" t="str">
        <f>IF(VLOOKUP(Q$2,Database!$B$22:$R$301,15)="","",VLOOKUP(Q$2,Database!$B$22:$R$301,15))</f>
        <v/>
      </c>
      <c r="AN12" s="30"/>
    </row>
    <row r="13" spans="1:40" ht="15" customHeight="1" thickTop="1">
      <c r="A13" s="758" t="s">
        <v>1041</v>
      </c>
      <c r="B13" s="1043" t="str">
        <f>R3</f>
        <v>Strong ACID</v>
      </c>
      <c r="C13" s="1043" t="str">
        <f>S3</f>
        <v>Strong BASE</v>
      </c>
      <c r="D13" s="1044" t="str">
        <f>T3</f>
        <v>Carbonic ac.</v>
      </c>
      <c r="E13" s="769" t="s">
        <v>351</v>
      </c>
      <c r="F13" s="868" t="s">
        <v>868</v>
      </c>
      <c r="G13" s="841"/>
      <c r="H13" s="841"/>
      <c r="I13" s="1183"/>
      <c r="J13" s="878"/>
      <c r="K13" s="879"/>
      <c r="L13" s="243"/>
      <c r="M13" s="957"/>
      <c r="N13" s="958" t="s">
        <v>602</v>
      </c>
      <c r="O13" s="959"/>
      <c r="P13" s="243"/>
      <c r="Q13" s="30"/>
      <c r="R13" s="30"/>
      <c r="S13" s="30"/>
      <c r="T13" s="30"/>
      <c r="U13" s="30"/>
      <c r="V13" s="30"/>
      <c r="W13" s="30"/>
      <c r="X13" s="30"/>
      <c r="Y13" s="30"/>
      <c r="Z13" s="30"/>
      <c r="AA13" s="30"/>
      <c r="AB13" s="30"/>
      <c r="AC13" s="30"/>
      <c r="AD13" s="30"/>
      <c r="AE13" s="30"/>
      <c r="AF13" s="975" t="s">
        <v>969</v>
      </c>
      <c r="AG13" s="248" t="str">
        <f>IF(VLOOKUP(K$2,Database!$B$22:$R$301,16)="","",VLOOKUP(K$2,Database!$B$22:$R$301,16))</f>
        <v/>
      </c>
      <c r="AH13" s="248" t="str">
        <f>IF(VLOOKUP(L$2,Database!$B$22:$R$301,16)="","",VLOOKUP(L$2,Database!$B$22:$R$301,16))</f>
        <v/>
      </c>
      <c r="AI13" s="248" t="str">
        <f>IF(VLOOKUP(M$2,Database!$B$22:$R$301,16)="","",VLOOKUP(M$2,Database!$B$22:$R$301,16))</f>
        <v/>
      </c>
      <c r="AJ13" s="248">
        <f>IF(VLOOKUP(N$2,Database!$B$22:$R$301,16)="","",VLOOKUP(N$2,Database!$B$22:$R$301,16))</f>
        <v>4961023</v>
      </c>
      <c r="AK13" s="248" t="str">
        <f>IF(VLOOKUP(O$2,Database!$B$22:$R$301,16)="","",VLOOKUP(O$2,Database!$B$22:$R$301,16))</f>
        <v/>
      </c>
      <c r="AL13" s="248" t="str">
        <f>IF(VLOOKUP(P$2,Database!$B$22:$R$301,16)="","",VLOOKUP(P$2,Database!$B$22:$R$301,16))</f>
        <v/>
      </c>
      <c r="AM13" s="249" t="str">
        <f>IF(VLOOKUP(Q$2,Database!$B$22:$R$301,16)="","",VLOOKUP(Q$2,Database!$B$22:$R$301,16))</f>
        <v/>
      </c>
      <c r="AN13" s="30"/>
    </row>
    <row r="14" spans="1:40" ht="15" customHeight="1" thickBot="1">
      <c r="A14" s="759" t="s">
        <v>335</v>
      </c>
      <c r="B14" s="799"/>
      <c r="C14" s="800">
        <v>0.1</v>
      </c>
      <c r="D14" s="801"/>
      <c r="E14" s="770" t="s">
        <v>872</v>
      </c>
      <c r="F14" s="842" t="s">
        <v>1044</v>
      </c>
      <c r="G14" s="842" t="s">
        <v>611</v>
      </c>
      <c r="H14" s="1180" t="s">
        <v>612</v>
      </c>
      <c r="I14" s="1184"/>
      <c r="J14" s="915" t="s">
        <v>910</v>
      </c>
      <c r="K14" s="913"/>
      <c r="L14" s="390"/>
      <c r="M14" s="960"/>
      <c r="N14" s="960" t="s">
        <v>603</v>
      </c>
      <c r="O14" s="961"/>
      <c r="P14" s="390"/>
      <c r="Q14" s="30"/>
      <c r="R14" s="30"/>
      <c r="S14" s="30"/>
      <c r="T14" s="30"/>
      <c r="U14" s="30"/>
      <c r="V14" s="30"/>
      <c r="W14" s="30"/>
      <c r="X14" s="30"/>
      <c r="Y14" s="30"/>
      <c r="Z14" s="30"/>
      <c r="AA14" s="30"/>
      <c r="AB14" s="30"/>
      <c r="AC14" s="30"/>
      <c r="AD14" s="30"/>
      <c r="AE14" s="30"/>
      <c r="AF14" s="976" t="s">
        <v>970</v>
      </c>
      <c r="AG14" s="250" t="str">
        <f>IF(VLOOKUP(K$2,Database!$B$22:$R$301,17)="","",VLOOKUP(K$2,Database!$B$22:$R$301,17))</f>
        <v/>
      </c>
      <c r="AH14" s="250" t="str">
        <f>IF(VLOOKUP(L$2,Database!$B$22:$R$301,17)="","",VLOOKUP(L$2,Database!$B$22:$R$301,17))</f>
        <v/>
      </c>
      <c r="AI14" s="250" t="str">
        <f>IF(VLOOKUP(M$2,Database!$B$22:$R$301,17)="","",VLOOKUP(M$2,Database!$B$22:$R$301,17))</f>
        <v/>
      </c>
      <c r="AJ14" s="250">
        <f>IF(VLOOKUP(N$2,Database!$B$22:$R$301,17)="","",VLOOKUP(N$2,Database!$B$22:$R$301,17))</f>
        <v>5263615</v>
      </c>
      <c r="AK14" s="250" t="str">
        <f>IF(VLOOKUP(O$2,Database!$B$22:$R$301,17)="","",VLOOKUP(O$2,Database!$B$22:$R$301,17))</f>
        <v/>
      </c>
      <c r="AL14" s="250" t="str">
        <f>IF(VLOOKUP(P$2,Database!$B$22:$R$301,17)="","",VLOOKUP(P$2,Database!$B$22:$R$301,17))</f>
        <v/>
      </c>
      <c r="AM14" s="251" t="str">
        <f>IF(VLOOKUP(Q$2,Database!$B$22:$R$301,17)="","",VLOOKUP(Q$2,Database!$B$22:$R$301,17))</f>
        <v/>
      </c>
      <c r="AN14" s="30"/>
    </row>
    <row r="15" spans="1:40" ht="15" customHeight="1" thickTop="1" thickBot="1">
      <c r="A15" s="759" t="s">
        <v>336</v>
      </c>
      <c r="B15" s="882"/>
      <c r="C15" s="803"/>
      <c r="D15" s="804"/>
      <c r="E15" s="760"/>
      <c r="F15" s="869" t="s">
        <v>613</v>
      </c>
      <c r="G15" s="844" t="s">
        <v>614</v>
      </c>
      <c r="H15" s="845" t="s">
        <v>615</v>
      </c>
      <c r="I15" s="1185"/>
      <c r="J15" s="916" t="s">
        <v>918</v>
      </c>
      <c r="K15" s="914"/>
      <c r="L15" s="744"/>
      <c r="M15" s="962"/>
      <c r="N15" s="962" t="s">
        <v>604</v>
      </c>
      <c r="O15" s="963"/>
      <c r="P15" s="744"/>
      <c r="Q15" s="30"/>
      <c r="R15" s="30"/>
      <c r="S15" s="30"/>
      <c r="T15" s="30"/>
      <c r="U15" s="30"/>
      <c r="V15" s="30"/>
      <c r="W15" s="30"/>
      <c r="X15" s="30"/>
      <c r="Y15" s="121"/>
      <c r="Z15" s="30"/>
      <c r="AA15" s="30"/>
      <c r="AB15" s="30"/>
      <c r="AC15" s="30"/>
      <c r="AD15" s="30"/>
      <c r="AE15" s="30"/>
      <c r="AF15" s="30"/>
      <c r="AG15" s="30"/>
      <c r="AH15" s="30"/>
      <c r="AI15" s="30"/>
      <c r="AJ15" s="30"/>
      <c r="AK15" s="30"/>
      <c r="AL15" s="30"/>
      <c r="AM15" s="30"/>
      <c r="AN15" s="30"/>
    </row>
    <row r="16" spans="1:40" ht="15" customHeight="1" thickBot="1">
      <c r="A16" s="759" t="s">
        <v>885</v>
      </c>
      <c r="B16" s="807"/>
      <c r="C16" s="807"/>
      <c r="D16" s="808"/>
      <c r="E16" s="771" t="s">
        <v>348</v>
      </c>
      <c r="F16" s="870">
        <v>20</v>
      </c>
      <c r="G16" s="871">
        <v>0</v>
      </c>
      <c r="H16" s="1181">
        <f>F16+G16</f>
        <v>20</v>
      </c>
      <c r="I16" s="1184"/>
      <c r="J16" s="744"/>
      <c r="K16" s="904"/>
      <c r="L16" s="744"/>
      <c r="M16" s="744"/>
      <c r="N16" s="30"/>
      <c r="O16" s="30"/>
      <c r="P16" s="30"/>
      <c r="Q16" s="30"/>
      <c r="R16" s="30"/>
      <c r="S16" s="30"/>
      <c r="T16" s="30"/>
      <c r="U16" s="30"/>
      <c r="V16" s="30"/>
      <c r="W16" s="30"/>
      <c r="X16" s="30"/>
      <c r="Y16" s="121"/>
      <c r="Z16" s="30"/>
      <c r="AA16" s="30"/>
      <c r="AB16" s="30"/>
      <c r="AC16" s="30"/>
      <c r="AD16" s="30"/>
      <c r="AE16" s="30"/>
      <c r="AF16" s="30"/>
      <c r="AG16" s="30"/>
      <c r="AH16" s="30"/>
      <c r="AI16" s="30"/>
      <c r="AJ16" s="30"/>
      <c r="AK16" s="30"/>
      <c r="AL16" s="30"/>
      <c r="AM16" s="30"/>
      <c r="AN16" s="30"/>
    </row>
    <row r="17" spans="1:40" ht="15" customHeight="1" thickTop="1">
      <c r="A17" s="761" t="s">
        <v>886</v>
      </c>
      <c r="B17" s="762">
        <f>SUM(B14:B16)</f>
        <v>0</v>
      </c>
      <c r="C17" s="762">
        <f>SUM(C14:C16)</f>
        <v>0.1</v>
      </c>
      <c r="D17" s="762">
        <f>SUM(D14:D16)</f>
        <v>0</v>
      </c>
      <c r="E17" s="763">
        <f>SUM(B17:D17)</f>
        <v>0.1</v>
      </c>
      <c r="F17" s="750" t="s">
        <v>879</v>
      </c>
      <c r="G17" s="751"/>
      <c r="H17" s="767"/>
      <c r="I17" s="1186"/>
      <c r="J17" s="745"/>
      <c r="K17" s="745"/>
      <c r="L17" s="745"/>
      <c r="M17" s="745"/>
      <c r="N17" s="30"/>
      <c r="O17" s="30"/>
      <c r="P17" s="30"/>
      <c r="Q17" s="30"/>
      <c r="R17" s="30"/>
      <c r="S17" s="30"/>
      <c r="T17" s="30"/>
      <c r="U17" s="30"/>
      <c r="V17" s="30"/>
      <c r="W17" s="30"/>
      <c r="X17" s="30"/>
      <c r="Y17" s="121"/>
      <c r="Z17" s="30"/>
      <c r="AA17" s="30"/>
      <c r="AB17" s="30"/>
      <c r="AC17" s="30"/>
      <c r="AD17" s="30"/>
      <c r="AE17" s="30"/>
      <c r="AF17" s="30"/>
      <c r="AG17" s="30"/>
      <c r="AH17" s="30"/>
      <c r="AI17" s="30"/>
      <c r="AJ17" s="30"/>
      <c r="AK17" s="30"/>
      <c r="AL17" s="30"/>
      <c r="AM17" s="30"/>
      <c r="AN17" s="30"/>
    </row>
    <row r="18" spans="1:40" ht="15" customHeight="1" thickBot="1">
      <c r="A18" s="764" t="s">
        <v>884</v>
      </c>
      <c r="B18" s="765">
        <f>B15+2*B16</f>
        <v>0</v>
      </c>
      <c r="C18" s="765">
        <f>C15+2*C16</f>
        <v>0</v>
      </c>
      <c r="D18" s="765">
        <f>D15+2*D16</f>
        <v>0</v>
      </c>
      <c r="E18" s="766">
        <f>SUM(B18:D18)</f>
        <v>0</v>
      </c>
      <c r="F18" s="772">
        <v>50</v>
      </c>
      <c r="G18" s="752"/>
      <c r="H18" s="1182" t="s">
        <v>867</v>
      </c>
      <c r="I18" s="1186"/>
      <c r="J18" s="745"/>
      <c r="K18" s="745"/>
      <c r="L18" s="745"/>
      <c r="M18" s="745"/>
      <c r="N18" s="30"/>
      <c r="O18" s="30"/>
      <c r="P18" s="30"/>
      <c r="Q18" s="30"/>
      <c r="R18" s="30"/>
      <c r="S18" s="30"/>
      <c r="T18" s="30"/>
      <c r="U18" s="30"/>
      <c r="V18" s="30"/>
      <c r="W18" s="30"/>
      <c r="X18" s="30"/>
      <c r="Y18" s="121"/>
      <c r="Z18" s="30"/>
      <c r="AA18" s="30"/>
      <c r="AB18" s="30"/>
      <c r="AC18" s="30"/>
      <c r="AD18" s="30"/>
      <c r="AE18" s="30"/>
      <c r="AF18" s="30"/>
      <c r="AG18" s="30"/>
      <c r="AH18" s="30"/>
      <c r="AI18" s="30"/>
      <c r="AJ18" s="30"/>
      <c r="AK18" s="30"/>
      <c r="AL18" s="30"/>
      <c r="AM18" s="30"/>
      <c r="AN18" s="30"/>
    </row>
    <row r="19" spans="1:40" ht="30" customHeight="1" thickTop="1" thickBot="1">
      <c r="A19" s="925" t="s">
        <v>932</v>
      </c>
      <c r="B19" s="60"/>
      <c r="C19" s="60"/>
      <c r="D19" s="60"/>
      <c r="E19" s="27"/>
      <c r="F19" s="2"/>
      <c r="G19" s="126"/>
      <c r="H19" s="2"/>
      <c r="I19" s="127"/>
      <c r="J19" s="27"/>
      <c r="K19" s="27"/>
      <c r="L19" s="27"/>
      <c r="M19" s="27"/>
      <c r="N19" s="30"/>
      <c r="O19" s="30"/>
      <c r="P19" s="30"/>
      <c r="Q19" s="30"/>
      <c r="R19" s="30"/>
      <c r="S19" s="30"/>
      <c r="T19" s="30"/>
      <c r="U19" s="30"/>
      <c r="V19" s="30"/>
      <c r="W19" s="30"/>
      <c r="X19" s="30"/>
      <c r="Y19" s="121"/>
      <c r="Z19" s="27"/>
      <c r="AA19" s="27"/>
      <c r="AB19" s="27"/>
      <c r="AC19" s="27"/>
      <c r="AD19" s="27"/>
      <c r="AE19" s="27"/>
      <c r="AF19" s="27"/>
      <c r="AG19" s="27"/>
      <c r="AH19" s="27"/>
      <c r="AI19" s="27"/>
      <c r="AJ19" s="27"/>
      <c r="AK19" s="27"/>
      <c r="AL19" s="27"/>
      <c r="AM19" s="27"/>
      <c r="AN19" s="27"/>
    </row>
    <row r="20" spans="1:40" ht="18.75" customHeight="1" thickTop="1" thickBot="1">
      <c r="A20" s="926" t="s">
        <v>869</v>
      </c>
      <c r="B20" s="927" t="s">
        <v>864</v>
      </c>
      <c r="C20" s="928">
        <f>B21</f>
        <v>27.910000000000014</v>
      </c>
      <c r="D20" s="27"/>
      <c r="E20" s="27"/>
      <c r="F20" s="939"/>
      <c r="G20" s="940" t="s">
        <v>854</v>
      </c>
      <c r="H20" s="941"/>
      <c r="I20" s="27"/>
      <c r="J20" s="27"/>
      <c r="K20" s="27"/>
      <c r="L20" s="27"/>
      <c r="M20" s="27"/>
      <c r="N20" s="30"/>
      <c r="O20" s="30"/>
      <c r="P20" s="30"/>
      <c r="Q20" s="30"/>
      <c r="R20" s="30"/>
      <c r="S20" s="30"/>
      <c r="T20" s="30"/>
      <c r="U20" s="30"/>
      <c r="V20" s="30"/>
      <c r="W20" s="30"/>
      <c r="X20" s="30"/>
      <c r="Y20" s="121"/>
      <c r="Z20" s="27"/>
      <c r="AA20" s="27"/>
      <c r="AB20" s="27"/>
      <c r="AC20" s="27"/>
      <c r="AD20" s="27"/>
      <c r="AE20" s="27"/>
      <c r="AF20" s="27"/>
      <c r="AG20" s="27"/>
      <c r="AH20" s="27"/>
      <c r="AI20" s="27"/>
      <c r="AJ20" s="27"/>
      <c r="AK20" s="27"/>
      <c r="AL20" s="27"/>
      <c r="AM20" s="27"/>
      <c r="AN20" s="27"/>
    </row>
    <row r="21" spans="1:40" ht="24">
      <c r="A21" s="929" t="s">
        <v>863</v>
      </c>
      <c r="B21" s="717">
        <v>27.910000000000014</v>
      </c>
      <c r="C21" s="930" t="s">
        <v>870</v>
      </c>
      <c r="D21" s="27"/>
      <c r="E21" s="27"/>
      <c r="F21" s="931" t="s">
        <v>919</v>
      </c>
      <c r="G21" s="717">
        <v>12.21319927694276</v>
      </c>
      <c r="H21" s="942"/>
      <c r="I21" s="27"/>
      <c r="J21" s="27"/>
      <c r="K21" s="27"/>
      <c r="L21" s="27"/>
      <c r="M21" s="27"/>
      <c r="N21" s="30"/>
      <c r="O21" s="30"/>
      <c r="P21" s="30"/>
      <c r="Q21" s="30"/>
      <c r="R21" s="30"/>
      <c r="S21" s="30"/>
      <c r="T21" s="30"/>
      <c r="U21" s="30"/>
      <c r="V21" s="30"/>
      <c r="W21" s="30"/>
      <c r="X21" s="30"/>
      <c r="Y21" s="121"/>
      <c r="Z21" s="27"/>
      <c r="AA21" s="27"/>
      <c r="AB21" s="27"/>
      <c r="AC21" s="27"/>
      <c r="AD21" s="27"/>
      <c r="AE21" s="27"/>
      <c r="AF21" s="27"/>
      <c r="AG21" s="27"/>
      <c r="AH21" s="27"/>
      <c r="AI21" s="27"/>
      <c r="AJ21" s="27"/>
      <c r="AK21" s="27"/>
      <c r="AL21" s="27"/>
      <c r="AM21" s="27"/>
      <c r="AN21" s="27"/>
    </row>
    <row r="22" spans="1:40" ht="18" customHeight="1" thickBot="1">
      <c r="A22" s="931"/>
      <c r="B22" s="932" t="s">
        <v>878</v>
      </c>
      <c r="C22" s="933"/>
      <c r="D22" s="27"/>
      <c r="E22" s="27"/>
      <c r="F22" s="943"/>
      <c r="G22" s="944"/>
      <c r="H22" s="945"/>
      <c r="I22" s="27"/>
      <c r="J22" s="27"/>
      <c r="K22" s="27"/>
      <c r="L22" s="27"/>
      <c r="M22" s="27"/>
      <c r="N22" s="30"/>
      <c r="O22" s="30"/>
      <c r="P22" s="30"/>
      <c r="Q22" s="30"/>
      <c r="R22" s="30"/>
      <c r="S22" s="30"/>
      <c r="T22" s="30"/>
      <c r="U22" s="30"/>
      <c r="V22" s="30"/>
      <c r="W22" s="30"/>
      <c r="X22" s="30"/>
      <c r="Y22" s="121"/>
      <c r="Z22" s="27"/>
      <c r="AA22" s="27"/>
      <c r="AB22" s="27"/>
      <c r="AC22" s="27"/>
      <c r="AD22" s="27"/>
      <c r="AE22" s="27"/>
      <c r="AF22" s="27"/>
      <c r="AG22" s="27"/>
      <c r="AH22" s="27"/>
      <c r="AI22" s="27"/>
      <c r="AJ22" s="27"/>
      <c r="AK22" s="27"/>
      <c r="AL22" s="27"/>
      <c r="AM22" s="27"/>
      <c r="AN22" s="27"/>
    </row>
    <row r="23" spans="1:40" ht="18" customHeight="1" thickTop="1" thickBot="1">
      <c r="A23" s="931"/>
      <c r="B23" s="934"/>
      <c r="C23" s="933"/>
      <c r="D23" s="27"/>
      <c r="E23" s="27"/>
      <c r="F23" s="27"/>
      <c r="G23" s="27"/>
      <c r="H23" s="27"/>
      <c r="I23" s="27"/>
      <c r="J23" s="27"/>
      <c r="K23" s="27"/>
      <c r="L23" s="27"/>
      <c r="M23" s="27"/>
      <c r="N23" s="27"/>
      <c r="O23" s="27"/>
      <c r="P23" s="27"/>
      <c r="Q23" s="27"/>
      <c r="R23" s="27"/>
      <c r="S23" s="27"/>
      <c r="T23" s="27"/>
      <c r="U23" s="27"/>
      <c r="V23" s="27"/>
      <c r="W23" s="27"/>
      <c r="X23" s="30"/>
      <c r="Y23" s="121"/>
      <c r="Z23" s="27"/>
      <c r="AA23" s="27"/>
      <c r="AB23" s="27"/>
      <c r="AC23" s="27"/>
      <c r="AD23" s="27"/>
      <c r="AE23" s="27"/>
      <c r="AF23" s="27"/>
      <c r="AG23" s="27"/>
      <c r="AH23" s="27"/>
      <c r="AI23" s="27"/>
      <c r="AJ23" s="27"/>
      <c r="AK23" s="27"/>
      <c r="AL23" s="27"/>
      <c r="AM23" s="27"/>
      <c r="AN23" s="27"/>
    </row>
    <row r="24" spans="1:40" ht="18" customHeight="1" thickTop="1">
      <c r="A24" s="931"/>
      <c r="B24" s="935"/>
      <c r="C24" s="933"/>
      <c r="D24" s="27"/>
      <c r="E24" s="27"/>
      <c r="F24" s="49"/>
      <c r="G24" s="718" t="s">
        <v>857</v>
      </c>
      <c r="H24" s="719"/>
      <c r="I24" s="27"/>
      <c r="J24" s="27"/>
      <c r="K24" s="27"/>
      <c r="L24" s="27"/>
      <c r="M24" s="27"/>
      <c r="N24" s="27"/>
      <c r="O24" s="27"/>
      <c r="P24" s="27"/>
      <c r="Q24" s="27"/>
      <c r="R24" s="27"/>
      <c r="S24" s="27"/>
      <c r="T24" s="27"/>
      <c r="U24" s="27"/>
      <c r="V24" s="27"/>
      <c r="W24" s="27"/>
      <c r="X24" s="30"/>
      <c r="Y24" s="121"/>
      <c r="Z24" s="27"/>
      <c r="AA24" s="27"/>
      <c r="AB24" s="27"/>
      <c r="AC24" s="27"/>
      <c r="AD24" s="27"/>
      <c r="AE24" s="27"/>
      <c r="AF24" s="27"/>
      <c r="AG24" s="27"/>
      <c r="AH24" s="27"/>
      <c r="AI24" s="27"/>
      <c r="AJ24" s="27"/>
      <c r="AK24" s="27"/>
      <c r="AL24" s="27"/>
      <c r="AM24" s="27"/>
      <c r="AN24" s="27"/>
    </row>
    <row r="25" spans="1:40" ht="18" customHeight="1">
      <c r="A25" s="931"/>
      <c r="B25" s="934"/>
      <c r="C25" s="933"/>
      <c r="D25" s="27"/>
      <c r="E25" s="27"/>
      <c r="F25" s="720" t="b">
        <v>1</v>
      </c>
      <c r="G25" s="721" t="s">
        <v>871</v>
      </c>
      <c r="H25" s="722"/>
      <c r="I25" s="27"/>
      <c r="J25" s="27"/>
      <c r="K25" s="27"/>
      <c r="L25" s="27"/>
      <c r="M25" s="27"/>
      <c r="N25" s="27"/>
      <c r="O25" s="27"/>
      <c r="P25" s="27"/>
      <c r="Q25" s="27"/>
      <c r="R25" s="27"/>
      <c r="S25" s="27"/>
      <c r="T25" s="27"/>
      <c r="U25" s="27"/>
      <c r="V25" s="27"/>
      <c r="W25" s="27"/>
      <c r="X25" s="30"/>
      <c r="Y25" s="121"/>
      <c r="Z25" s="27"/>
      <c r="AA25" s="27"/>
      <c r="AB25" s="27"/>
      <c r="AC25" s="27"/>
      <c r="AD25" s="27"/>
      <c r="AE25" s="27"/>
      <c r="AF25" s="27"/>
      <c r="AG25" s="27"/>
      <c r="AH25" s="27"/>
      <c r="AI25" s="27"/>
      <c r="AJ25" s="27"/>
      <c r="AK25" s="27"/>
      <c r="AL25" s="27"/>
      <c r="AM25" s="27"/>
      <c r="AN25" s="27"/>
    </row>
    <row r="26" spans="1:40" ht="15.75" thickBot="1">
      <c r="A26" s="936"/>
      <c r="B26" s="937"/>
      <c r="C26" s="938"/>
      <c r="D26" s="27"/>
      <c r="E26" s="27"/>
      <c r="F26" s="723" t="b">
        <v>1</v>
      </c>
      <c r="G26" s="742" t="s">
        <v>861</v>
      </c>
      <c r="H26" s="724"/>
      <c r="I26" s="27"/>
      <c r="J26" s="27"/>
      <c r="K26" s="27"/>
      <c r="L26" s="27"/>
      <c r="M26" s="27"/>
      <c r="N26" s="27"/>
      <c r="O26" s="27"/>
      <c r="P26" s="27"/>
      <c r="Q26" s="27"/>
      <c r="R26" s="27"/>
      <c r="S26" s="27"/>
      <c r="T26" s="27"/>
      <c r="U26" s="27"/>
      <c r="V26" s="27"/>
      <c r="W26" s="27"/>
      <c r="X26" s="30"/>
      <c r="Y26" s="121"/>
      <c r="Z26" s="27"/>
      <c r="AA26" s="27"/>
      <c r="AB26" s="27"/>
      <c r="AC26" s="27"/>
      <c r="AD26" s="27"/>
      <c r="AE26" s="27"/>
      <c r="AF26" s="27"/>
      <c r="AG26" s="27"/>
      <c r="AH26" s="27"/>
      <c r="AI26" s="27"/>
      <c r="AJ26" s="27"/>
      <c r="AK26" s="27"/>
      <c r="AL26" s="27"/>
      <c r="AM26" s="27"/>
      <c r="AN26" s="27"/>
    </row>
    <row r="27" spans="1:40" ht="14.25" thickTop="1" thickBot="1">
      <c r="A27" s="27"/>
      <c r="B27" s="27"/>
      <c r="C27" s="27"/>
      <c r="D27" s="27"/>
      <c r="E27" s="27"/>
      <c r="F27" s="27"/>
      <c r="G27" s="27"/>
      <c r="H27" s="27"/>
      <c r="I27" s="27"/>
      <c r="J27" s="27"/>
      <c r="K27" s="27"/>
      <c r="L27" s="27"/>
      <c r="M27" s="27"/>
      <c r="N27" s="27"/>
      <c r="O27" s="27"/>
      <c r="P27" s="27"/>
      <c r="Q27" s="27"/>
      <c r="R27" s="27"/>
      <c r="S27" s="27"/>
      <c r="T27" s="27"/>
      <c r="U27" s="27"/>
      <c r="V27" s="27"/>
      <c r="W27" s="27"/>
      <c r="X27" s="30"/>
      <c r="Y27" s="121"/>
      <c r="Z27" s="27"/>
      <c r="AA27" s="27"/>
      <c r="AB27" s="27"/>
      <c r="AC27" s="27"/>
      <c r="AD27" s="27"/>
      <c r="AE27" s="27"/>
      <c r="AF27" s="27"/>
      <c r="AG27" s="27"/>
      <c r="AH27" s="27"/>
      <c r="AI27" s="27"/>
      <c r="AJ27" s="27"/>
      <c r="AK27" s="27"/>
      <c r="AL27" s="27"/>
      <c r="AM27" s="27"/>
      <c r="AN27" s="27"/>
    </row>
    <row r="28" spans="1:40" ht="15.75" thickTop="1">
      <c r="A28" s="725" t="s">
        <v>887</v>
      </c>
      <c r="B28" s="726"/>
      <c r="C28" s="27"/>
      <c r="D28" s="727"/>
      <c r="E28" s="728"/>
      <c r="F28" s="27"/>
      <c r="G28" s="872" t="s">
        <v>922</v>
      </c>
      <c r="H28" s="873"/>
      <c r="I28" s="27"/>
      <c r="J28" s="27"/>
      <c r="K28" s="27"/>
      <c r="L28" s="27"/>
      <c r="M28" s="27"/>
      <c r="N28" s="27"/>
      <c r="O28" s="27"/>
      <c r="P28" s="27"/>
      <c r="Q28" s="27"/>
      <c r="R28" s="27"/>
      <c r="S28" s="27"/>
      <c r="T28" s="27"/>
      <c r="U28" s="27"/>
      <c r="V28" s="27"/>
      <c r="W28" s="27"/>
      <c r="X28" s="30"/>
      <c r="Y28" s="121"/>
      <c r="Z28" s="27"/>
      <c r="AA28" s="27"/>
      <c r="AB28" s="27"/>
      <c r="AC28" s="27"/>
      <c r="AD28" s="27"/>
      <c r="AE28" s="27"/>
      <c r="AF28" s="27"/>
      <c r="AG28" s="27"/>
      <c r="AH28" s="27"/>
      <c r="AI28" s="27"/>
      <c r="AJ28" s="27"/>
      <c r="AK28" s="27"/>
      <c r="AL28" s="27"/>
      <c r="AM28" s="27"/>
      <c r="AN28" s="27"/>
    </row>
    <row r="29" spans="1:40" ht="27" customHeight="1">
      <c r="A29" s="729" t="s">
        <v>858</v>
      </c>
      <c r="B29" s="730">
        <v>7.7</v>
      </c>
      <c r="C29" s="27"/>
      <c r="D29" s="731"/>
      <c r="E29" s="732"/>
      <c r="F29" s="27"/>
      <c r="G29" s="874" t="s">
        <v>855</v>
      </c>
      <c r="H29" s="875" t="s">
        <v>128</v>
      </c>
      <c r="I29" s="27"/>
      <c r="J29" s="27"/>
      <c r="K29" s="27"/>
      <c r="L29" s="27"/>
      <c r="M29" s="27"/>
      <c r="N29" s="27"/>
      <c r="O29" s="27"/>
      <c r="P29" s="27"/>
      <c r="Q29" s="27"/>
      <c r="R29" s="27"/>
      <c r="S29" s="27"/>
      <c r="T29" s="27"/>
      <c r="U29" s="27"/>
      <c r="V29" s="27"/>
      <c r="W29" s="27"/>
      <c r="X29" s="30"/>
      <c r="Y29" s="121"/>
      <c r="Z29" s="27"/>
      <c r="AA29" s="27"/>
      <c r="AB29" s="27"/>
      <c r="AC29" s="27"/>
      <c r="AD29" s="27"/>
      <c r="AE29" s="27"/>
      <c r="AF29" s="27"/>
      <c r="AG29" s="27"/>
      <c r="AH29" s="27"/>
      <c r="AI29" s="27"/>
      <c r="AJ29" s="27"/>
      <c r="AK29" s="27"/>
      <c r="AL29" s="27"/>
      <c r="AM29" s="27"/>
      <c r="AN29" s="27"/>
    </row>
    <row r="30" spans="1:40" ht="15" customHeight="1">
      <c r="A30" s="733" t="s">
        <v>859</v>
      </c>
      <c r="B30" s="905" t="s">
        <v>920</v>
      </c>
      <c r="C30" s="27"/>
      <c r="D30" s="731"/>
      <c r="E30" s="732"/>
      <c r="F30" s="27"/>
      <c r="G30" s="876" t="s">
        <v>519</v>
      </c>
      <c r="H30" s="911">
        <v>99.99999650215382</v>
      </c>
      <c r="I30" s="27"/>
      <c r="J30" s="27"/>
      <c r="K30" s="27"/>
      <c r="L30" s="27"/>
      <c r="M30" s="27"/>
      <c r="N30" s="27"/>
      <c r="O30" s="27"/>
      <c r="P30" s="27"/>
      <c r="Q30" s="27"/>
      <c r="R30" s="27"/>
      <c r="S30" s="27"/>
      <c r="T30" s="27"/>
      <c r="U30" s="27"/>
      <c r="V30" s="27"/>
      <c r="W30" s="27"/>
      <c r="X30" s="30"/>
      <c r="Y30" s="121"/>
      <c r="Z30" s="27"/>
      <c r="AA30" s="27"/>
      <c r="AB30" s="27"/>
      <c r="AC30" s="27"/>
      <c r="AD30" s="27"/>
      <c r="AE30" s="27"/>
      <c r="AF30" s="27"/>
      <c r="AG30" s="27"/>
      <c r="AH30" s="27"/>
      <c r="AI30" s="27"/>
      <c r="AJ30" s="27"/>
      <c r="AK30" s="27"/>
      <c r="AL30" s="27"/>
      <c r="AM30" s="27"/>
      <c r="AN30" s="27"/>
    </row>
    <row r="31" spans="1:40" ht="18" customHeight="1">
      <c r="A31" s="738" t="s">
        <v>851</v>
      </c>
      <c r="B31" s="953">
        <f>B29+1</f>
        <v>8.6999999999999993</v>
      </c>
      <c r="C31" s="27"/>
      <c r="D31" s="735">
        <v>12.21319927694276</v>
      </c>
      <c r="E31" s="736">
        <f>$D$31</f>
        <v>12.21319927694276</v>
      </c>
      <c r="F31" s="27"/>
      <c r="G31" s="876" t="s">
        <v>520</v>
      </c>
      <c r="H31" s="911">
        <v>3.4978461854644776E-6</v>
      </c>
      <c r="I31" s="100"/>
      <c r="J31" s="27"/>
      <c r="K31" s="27"/>
      <c r="L31" s="27"/>
      <c r="M31" s="27"/>
      <c r="N31" s="27"/>
      <c r="O31" s="27"/>
      <c r="P31" s="27"/>
      <c r="Q31" s="27"/>
      <c r="R31" s="2"/>
      <c r="S31" s="2"/>
      <c r="T31" s="2"/>
      <c r="U31" s="2"/>
      <c r="V31" s="27"/>
      <c r="W31" s="27"/>
      <c r="X31" s="30"/>
      <c r="Y31" s="121"/>
      <c r="Z31" s="27"/>
      <c r="AA31" s="27"/>
      <c r="AB31" s="27"/>
      <c r="AC31" s="27"/>
      <c r="AD31" s="27"/>
      <c r="AE31" s="27"/>
      <c r="AF31" s="27"/>
      <c r="AG31" s="27"/>
      <c r="AH31" s="27"/>
      <c r="AI31" s="27"/>
      <c r="AJ31" s="27"/>
      <c r="AK31" s="27"/>
      <c r="AL31" s="27"/>
      <c r="AM31" s="27"/>
      <c r="AN31" s="27"/>
    </row>
    <row r="32" spans="1:40" ht="18" customHeight="1">
      <c r="A32" s="737" t="s">
        <v>850</v>
      </c>
      <c r="B32" s="906">
        <f>B29</f>
        <v>7.7</v>
      </c>
      <c r="C32" s="27"/>
      <c r="D32" s="735">
        <f>$D$31</f>
        <v>12.21319927694276</v>
      </c>
      <c r="E32" s="736">
        <f>$D$31</f>
        <v>12.21319927694276</v>
      </c>
      <c r="F32" s="27"/>
      <c r="G32" s="876" t="s">
        <v>905</v>
      </c>
      <c r="H32" s="911"/>
      <c r="I32" s="27"/>
      <c r="J32" s="27"/>
      <c r="K32" s="27"/>
      <c r="L32" s="27"/>
      <c r="M32" s="27"/>
      <c r="N32" s="27"/>
      <c r="O32" s="27"/>
      <c r="P32" s="27"/>
      <c r="Q32" s="27"/>
      <c r="R32" s="2"/>
      <c r="S32" s="2"/>
      <c r="T32" s="2"/>
      <c r="U32" s="2"/>
      <c r="V32" s="27"/>
      <c r="W32" s="27"/>
      <c r="X32" s="30"/>
      <c r="Y32" s="121"/>
      <c r="Z32" s="27"/>
      <c r="AA32" s="27"/>
      <c r="AB32" s="27"/>
      <c r="AC32" s="27"/>
      <c r="AD32" s="27"/>
      <c r="AE32" s="27"/>
      <c r="AF32" s="27"/>
      <c r="AG32" s="27"/>
      <c r="AH32" s="27"/>
      <c r="AI32" s="27"/>
      <c r="AJ32" s="27"/>
      <c r="AK32" s="27"/>
      <c r="AL32" s="27"/>
      <c r="AM32" s="27"/>
      <c r="AN32" s="27"/>
    </row>
    <row r="33" spans="1:40" ht="18" customHeight="1" thickBot="1">
      <c r="A33" s="734" t="s">
        <v>849</v>
      </c>
      <c r="B33" s="954">
        <f>B29-1</f>
        <v>6.7</v>
      </c>
      <c r="C33" s="27"/>
      <c r="D33" s="735">
        <f>$D$31</f>
        <v>12.21319927694276</v>
      </c>
      <c r="E33" s="736">
        <f>$D$31</f>
        <v>12.21319927694276</v>
      </c>
      <c r="F33" s="27"/>
      <c r="G33" s="876" t="s">
        <v>906</v>
      </c>
      <c r="H33" s="911"/>
      <c r="I33" s="27"/>
      <c r="J33" s="27"/>
      <c r="K33" s="27"/>
      <c r="L33" s="27"/>
      <c r="M33" s="27"/>
      <c r="N33" s="27"/>
      <c r="O33" s="27"/>
      <c r="P33" s="27"/>
      <c r="Q33" s="27"/>
      <c r="R33" s="2"/>
      <c r="S33" s="2"/>
      <c r="T33" s="2"/>
      <c r="U33" s="2"/>
      <c r="V33" s="27"/>
      <c r="W33" s="27"/>
      <c r="X33" s="30"/>
      <c r="Y33" s="121"/>
      <c r="Z33" s="27"/>
      <c r="AA33" s="27"/>
      <c r="AB33" s="27"/>
      <c r="AC33" s="27"/>
      <c r="AD33" s="27"/>
      <c r="AE33" s="27"/>
      <c r="AF33" s="27"/>
      <c r="AG33" s="27"/>
      <c r="AH33" s="27"/>
      <c r="AI33" s="27"/>
      <c r="AJ33" s="27"/>
      <c r="AK33" s="27"/>
      <c r="AL33" s="27"/>
      <c r="AM33" s="27"/>
      <c r="AN33" s="27"/>
    </row>
    <row r="34" spans="1:40" ht="18" customHeight="1">
      <c r="A34" s="739" t="s">
        <v>860</v>
      </c>
      <c r="B34" s="907"/>
      <c r="C34" s="27"/>
      <c r="D34" s="735">
        <f>$D$31</f>
        <v>12.21319927694276</v>
      </c>
      <c r="E34" s="736">
        <f>$D$31</f>
        <v>12.21319927694276</v>
      </c>
      <c r="F34" s="27"/>
      <c r="G34" s="876" t="s">
        <v>907</v>
      </c>
      <c r="H34" s="911"/>
      <c r="I34" s="27"/>
      <c r="J34" s="27"/>
      <c r="K34" s="27"/>
      <c r="L34" s="27"/>
      <c r="M34" s="27"/>
      <c r="N34" s="27"/>
      <c r="O34" s="27"/>
      <c r="P34" s="27"/>
      <c r="Q34" s="27"/>
      <c r="R34" s="753" t="s">
        <v>619</v>
      </c>
      <c r="S34" s="754"/>
      <c r="T34" s="2"/>
      <c r="U34" s="2"/>
      <c r="V34" s="27"/>
      <c r="W34" s="27"/>
      <c r="X34" s="30"/>
      <c r="Y34" s="121"/>
      <c r="Z34" s="27"/>
      <c r="AA34" s="27"/>
      <c r="AB34" s="27"/>
      <c r="AC34" s="27"/>
      <c r="AD34" s="27"/>
      <c r="AE34" s="27"/>
      <c r="AF34" s="27"/>
      <c r="AG34" s="27"/>
      <c r="AH34" s="27"/>
      <c r="AI34" s="27"/>
      <c r="AJ34" s="27"/>
      <c r="AK34" s="27"/>
      <c r="AL34" s="27"/>
      <c r="AM34" s="27"/>
      <c r="AN34" s="27"/>
    </row>
    <row r="35" spans="1:40" ht="18" customHeight="1" thickBot="1">
      <c r="A35" s="31" t="s">
        <v>855</v>
      </c>
      <c r="B35" s="908" t="s">
        <v>862</v>
      </c>
      <c r="C35" s="27"/>
      <c r="D35" s="735">
        <f>$D$31</f>
        <v>12.21319927694276</v>
      </c>
      <c r="E35" s="736">
        <f>$D$31</f>
        <v>12.21319927694276</v>
      </c>
      <c r="F35" s="27"/>
      <c r="G35" s="876" t="s">
        <v>908</v>
      </c>
      <c r="H35" s="911"/>
      <c r="I35" s="27"/>
      <c r="J35" s="27"/>
      <c r="K35" s="27"/>
      <c r="L35" s="27"/>
      <c r="M35" s="27"/>
      <c r="N35" s="27"/>
      <c r="O35" s="27"/>
      <c r="P35" s="27"/>
      <c r="Q35" s="27"/>
      <c r="R35" s="753" t="s">
        <v>620</v>
      </c>
      <c r="S35" s="755"/>
      <c r="T35" s="2"/>
      <c r="U35" s="2"/>
      <c r="V35" s="27"/>
      <c r="W35" s="27"/>
      <c r="X35" s="30"/>
      <c r="Y35" s="121"/>
      <c r="Z35" s="27"/>
      <c r="AA35" s="27"/>
      <c r="AB35" s="27"/>
      <c r="AC35" s="27"/>
      <c r="AD35" s="27"/>
      <c r="AE35" s="27"/>
      <c r="AF35" s="27"/>
      <c r="AG35" s="27"/>
      <c r="AH35" s="27"/>
      <c r="AI35" s="27"/>
      <c r="AJ35" s="27"/>
      <c r="AK35" s="27"/>
      <c r="AL35" s="27"/>
      <c r="AM35" s="27"/>
      <c r="AN35" s="27"/>
    </row>
    <row r="36" spans="1:40" ht="18" customHeight="1" thickTop="1" thickBot="1">
      <c r="A36" s="716" t="s">
        <v>852</v>
      </c>
      <c r="B36" s="909">
        <v>99.996932480015474</v>
      </c>
      <c r="C36" s="27"/>
      <c r="D36" s="974" t="s">
        <v>856</v>
      </c>
      <c r="E36" s="740"/>
      <c r="F36" s="27"/>
      <c r="G36" s="877" t="s">
        <v>909</v>
      </c>
      <c r="H36" s="912"/>
      <c r="I36" s="27"/>
      <c r="J36" s="27"/>
      <c r="K36" s="27"/>
      <c r="L36" s="27"/>
      <c r="M36" s="27"/>
      <c r="N36" s="27"/>
      <c r="O36" s="27"/>
      <c r="P36" s="27"/>
      <c r="Q36" s="27"/>
      <c r="R36" s="756" t="s">
        <v>621</v>
      </c>
      <c r="S36" s="757"/>
      <c r="T36" s="2"/>
      <c r="U36" s="2"/>
      <c r="V36" s="27"/>
      <c r="W36" s="27"/>
      <c r="X36" s="30"/>
      <c r="Y36" s="121"/>
      <c r="Z36" s="27"/>
      <c r="AA36" s="27"/>
      <c r="AB36" s="27"/>
      <c r="AC36" s="27"/>
      <c r="AD36" s="27"/>
      <c r="AE36" s="27"/>
      <c r="AF36" s="27"/>
      <c r="AG36" s="27"/>
      <c r="AH36" s="27"/>
      <c r="AI36" s="27"/>
      <c r="AJ36" s="27"/>
      <c r="AK36" s="27"/>
      <c r="AL36" s="27"/>
      <c r="AM36" s="27"/>
      <c r="AN36" s="27"/>
    </row>
    <row r="37" spans="1:40" ht="18" customHeight="1" thickTop="1" thickBot="1">
      <c r="A37" s="741" t="s">
        <v>853</v>
      </c>
      <c r="B37" s="910">
        <v>3.0675199845231482E-3</v>
      </c>
      <c r="C37" s="27"/>
      <c r="D37" s="924"/>
      <c r="E37" s="923"/>
      <c r="F37" s="27"/>
      <c r="G37" s="27"/>
      <c r="H37" s="27"/>
      <c r="I37" s="27"/>
      <c r="J37" s="27"/>
      <c r="K37" s="27"/>
      <c r="L37" s="27"/>
      <c r="M37" s="27"/>
      <c r="N37" s="27"/>
      <c r="O37" s="27"/>
      <c r="P37" s="27"/>
      <c r="Q37" s="27"/>
      <c r="R37" s="753" t="s">
        <v>622</v>
      </c>
      <c r="S37" s="754"/>
      <c r="T37" s="2"/>
      <c r="U37" s="2"/>
      <c r="V37" s="27"/>
      <c r="W37" s="27"/>
      <c r="X37" s="30"/>
      <c r="Y37" s="121"/>
      <c r="Z37" s="27"/>
      <c r="AA37" s="27"/>
      <c r="AB37" s="27"/>
      <c r="AC37" s="27"/>
      <c r="AD37" s="27"/>
      <c r="AE37" s="27"/>
      <c r="AF37" s="27"/>
      <c r="AG37" s="27"/>
      <c r="AH37" s="27"/>
      <c r="AI37" s="27"/>
      <c r="AJ37" s="27"/>
      <c r="AK37" s="27"/>
      <c r="AL37" s="27"/>
      <c r="AM37" s="27"/>
      <c r="AN37" s="27"/>
    </row>
    <row r="38" spans="1:40" ht="18" customHeight="1" thickTop="1">
      <c r="A38" s="27"/>
      <c r="B38" s="27"/>
      <c r="C38" s="27"/>
      <c r="D38" s="27"/>
      <c r="E38" s="27"/>
      <c r="F38" s="27"/>
      <c r="G38" s="27"/>
      <c r="H38" s="27"/>
      <c r="I38" s="27"/>
      <c r="J38" s="27"/>
      <c r="K38" s="27"/>
      <c r="L38" s="27"/>
      <c r="M38" s="27"/>
      <c r="N38" s="27"/>
      <c r="O38" s="27"/>
      <c r="P38" s="27"/>
      <c r="Q38" s="27"/>
      <c r="R38" s="753" t="s">
        <v>623</v>
      </c>
      <c r="S38" s="754"/>
      <c r="T38" s="2"/>
      <c r="U38" s="2"/>
      <c r="V38" s="2"/>
      <c r="W38" s="2"/>
      <c r="X38" s="2"/>
      <c r="Y38" s="2"/>
      <c r="Z38" s="2"/>
      <c r="AA38" s="2"/>
      <c r="AB38" s="2"/>
      <c r="AC38" s="2"/>
      <c r="AD38" s="2"/>
      <c r="AE38" s="2"/>
      <c r="AF38" s="2"/>
      <c r="AG38" s="2"/>
      <c r="AH38" s="2"/>
      <c r="AI38" s="2"/>
      <c r="AJ38" s="2"/>
      <c r="AK38" s="2"/>
      <c r="AL38" s="2"/>
      <c r="AM38" s="2"/>
      <c r="AN38" s="2"/>
    </row>
    <row r="39" spans="1:40">
      <c r="A39" s="132" t="s">
        <v>624</v>
      </c>
      <c r="B39" s="132" t="s">
        <v>35</v>
      </c>
      <c r="C39" s="132" t="s">
        <v>624</v>
      </c>
      <c r="D39" s="132" t="s">
        <v>35</v>
      </c>
      <c r="E39" s="132" t="s">
        <v>581</v>
      </c>
      <c r="F39" s="132" t="s">
        <v>34</v>
      </c>
      <c r="G39" s="132" t="s">
        <v>792</v>
      </c>
      <c r="H39" s="132" t="s">
        <v>793</v>
      </c>
      <c r="I39" s="132" t="s">
        <v>340</v>
      </c>
      <c r="J39" s="132" t="s">
        <v>341</v>
      </c>
      <c r="K39" s="132" t="s">
        <v>342</v>
      </c>
      <c r="L39" s="132" t="s">
        <v>343</v>
      </c>
      <c r="M39" s="132" t="s">
        <v>344</v>
      </c>
      <c r="N39" s="132" t="s">
        <v>345</v>
      </c>
      <c r="O39" s="132" t="s">
        <v>347</v>
      </c>
      <c r="P39" s="132" t="s">
        <v>630</v>
      </c>
      <c r="Q39" s="132" t="s">
        <v>631</v>
      </c>
      <c r="R39" s="132" t="s">
        <v>632</v>
      </c>
      <c r="S39" s="132"/>
      <c r="T39" s="132"/>
      <c r="U39" s="132"/>
      <c r="V39" s="132"/>
      <c r="W39" s="132"/>
      <c r="X39" s="132"/>
      <c r="Y39" s="132"/>
      <c r="Z39" s="132"/>
      <c r="AA39" s="132"/>
      <c r="AB39" s="132"/>
      <c r="AC39" s="132"/>
      <c r="AD39" s="132"/>
      <c r="AE39" s="132"/>
      <c r="AF39" s="132"/>
      <c r="AG39" s="132"/>
      <c r="AH39" s="132"/>
      <c r="AI39" s="132"/>
      <c r="AJ39" s="132"/>
      <c r="AK39" s="132"/>
      <c r="AL39" s="132"/>
      <c r="AM39" s="132"/>
      <c r="AN39" s="132"/>
    </row>
    <row r="40" spans="1:40" ht="25.5">
      <c r="A40" s="334" t="s">
        <v>582</v>
      </c>
      <c r="B40" s="335" t="s">
        <v>625</v>
      </c>
      <c r="C40" s="743" t="s">
        <v>865</v>
      </c>
      <c r="D40" s="743" t="s">
        <v>865</v>
      </c>
      <c r="E40" s="336"/>
      <c r="F40" s="336" t="s">
        <v>349</v>
      </c>
      <c r="G40" s="336" t="s">
        <v>843</v>
      </c>
      <c r="H40" s="336" t="s">
        <v>844</v>
      </c>
      <c r="I40" s="245" t="str">
        <f t="shared" ref="I40:R40" si="10">K3</f>
        <v>HCl</v>
      </c>
      <c r="J40" s="245" t="str">
        <f t="shared" si="10"/>
        <v>Carbonic acid</v>
      </c>
      <c r="K40" s="245" t="str">
        <f t="shared" si="10"/>
        <v>Acetic acid</v>
      </c>
      <c r="L40" s="245" t="str">
        <f t="shared" si="10"/>
        <v>Phenol Red (pKa 7.7)</v>
      </c>
      <c r="M40" s="245" t="str">
        <f t="shared" si="10"/>
        <v>Ammonia</v>
      </c>
      <c r="N40" s="245" t="str">
        <f t="shared" si="10"/>
        <v>Hydroxide ion</v>
      </c>
      <c r="O40" s="245" t="str">
        <f t="shared" si="10"/>
        <v>Glycine</v>
      </c>
      <c r="P40" s="255" t="str">
        <f t="shared" si="10"/>
        <v>Strong ACID</v>
      </c>
      <c r="Q40" s="255" t="str">
        <f t="shared" si="10"/>
        <v>Strong BASE</v>
      </c>
      <c r="R40" s="255" t="str">
        <f t="shared" si="10"/>
        <v>Carbonic ac.</v>
      </c>
      <c r="S40" s="149"/>
      <c r="T40" s="149"/>
      <c r="U40" s="149"/>
      <c r="V40" s="149"/>
      <c r="W40" s="149"/>
      <c r="X40" s="149"/>
      <c r="Y40" s="149"/>
      <c r="Z40" s="149"/>
      <c r="AA40" s="149"/>
      <c r="AB40" s="149"/>
      <c r="AC40" s="149"/>
      <c r="AD40" s="149"/>
      <c r="AE40" s="149"/>
      <c r="AF40" s="149"/>
      <c r="AG40" s="149"/>
      <c r="AH40" s="149"/>
      <c r="AI40" s="149"/>
      <c r="AJ40" s="149"/>
      <c r="AK40" s="149"/>
      <c r="AL40" s="149"/>
      <c r="AM40" s="149"/>
      <c r="AN40" s="149"/>
    </row>
    <row r="41" spans="1:40">
      <c r="A41" s="19">
        <v>0</v>
      </c>
      <c r="B41" s="19">
        <v>2.8732302361167967</v>
      </c>
      <c r="C41" s="918">
        <v>0</v>
      </c>
      <c r="D41" s="19">
        <v>2.8732302361167967</v>
      </c>
      <c r="E41" s="134">
        <v>1.3389666617932572E-3</v>
      </c>
      <c r="F41" s="134">
        <v>0.10009999999813043</v>
      </c>
      <c r="G41" s="134">
        <v>1</v>
      </c>
      <c r="H41" s="134">
        <v>0</v>
      </c>
      <c r="I41" s="136"/>
      <c r="J41" s="136"/>
      <c r="K41" s="136">
        <v>0.9870999507950482</v>
      </c>
      <c r="L41" s="136">
        <v>1.020765315764889</v>
      </c>
      <c r="M41" s="136"/>
      <c r="N41" s="136"/>
      <c r="O41" s="136"/>
      <c r="P41" s="136"/>
      <c r="Q41" s="136">
        <v>0.99999999999986566</v>
      </c>
      <c r="R41" s="136"/>
      <c r="S41" s="136"/>
      <c r="T41" s="136"/>
      <c r="U41" s="136"/>
      <c r="V41" s="136"/>
      <c r="W41" s="17"/>
      <c r="X41" s="17"/>
      <c r="Y41" s="17"/>
      <c r="Z41" s="17"/>
      <c r="AA41" s="17"/>
      <c r="AB41" s="17"/>
      <c r="AC41" s="17"/>
      <c r="AD41" s="17"/>
      <c r="AE41" s="17"/>
      <c r="AF41" s="17"/>
      <c r="AG41" s="17"/>
      <c r="AH41" s="17"/>
      <c r="AI41" s="17"/>
      <c r="AJ41" s="17"/>
      <c r="AK41" s="17"/>
      <c r="AL41" s="17"/>
      <c r="AM41" s="17"/>
      <c r="AN41" s="17"/>
    </row>
    <row r="42" spans="1:40">
      <c r="A42" s="19">
        <v>2</v>
      </c>
      <c r="B42" s="19">
        <v>3.8085675346665084</v>
      </c>
      <c r="C42" s="918">
        <v>2</v>
      </c>
      <c r="D42" s="19">
        <v>3.8085675346665084</v>
      </c>
      <c r="E42" s="134">
        <v>1.5539336285957283E-4</v>
      </c>
      <c r="F42" s="134">
        <v>9.1000000009423987E-2</v>
      </c>
      <c r="G42" s="134">
        <v>0.90909090909090906</v>
      </c>
      <c r="H42" s="134">
        <v>9.0909090909090912E-2</v>
      </c>
      <c r="I42" s="136"/>
      <c r="J42" s="136"/>
      <c r="K42" s="136">
        <v>0.8987895096309122</v>
      </c>
      <c r="L42" s="136">
        <v>1.0023283847338127</v>
      </c>
      <c r="M42" s="136"/>
      <c r="N42" s="136"/>
      <c r="O42" s="136"/>
      <c r="P42" s="136"/>
      <c r="Q42" s="136">
        <v>0.99999999999884237</v>
      </c>
      <c r="R42" s="136"/>
      <c r="S42" s="136"/>
      <c r="T42" s="136"/>
      <c r="U42" s="136"/>
      <c r="V42" s="136"/>
      <c r="W42" s="17"/>
      <c r="X42" s="17"/>
      <c r="Y42" s="17"/>
      <c r="Z42" s="17"/>
      <c r="AA42" s="17"/>
      <c r="AB42" s="17"/>
      <c r="AC42" s="17"/>
      <c r="AD42" s="17"/>
      <c r="AE42" s="17"/>
      <c r="AF42" s="17"/>
      <c r="AG42" s="17"/>
      <c r="AH42" s="17"/>
      <c r="AI42" s="17"/>
      <c r="AJ42" s="17"/>
      <c r="AK42" s="17"/>
      <c r="AL42" s="17"/>
      <c r="AM42" s="17"/>
      <c r="AN42" s="17"/>
    </row>
    <row r="43" spans="1:40">
      <c r="A43" s="19">
        <v>4</v>
      </c>
      <c r="B43" s="19">
        <v>4.1558583942241967</v>
      </c>
      <c r="C43" s="918">
        <v>4</v>
      </c>
      <c r="D43" s="19">
        <v>4.1558583942241967</v>
      </c>
      <c r="E43" s="134">
        <v>6.9846010640012724E-5</v>
      </c>
      <c r="F43" s="134">
        <v>8.341666665964223E-2</v>
      </c>
      <c r="G43" s="134">
        <v>0.83333333333333337</v>
      </c>
      <c r="H43" s="134">
        <v>0.16666666666666666</v>
      </c>
      <c r="I43" s="136"/>
      <c r="J43" s="136"/>
      <c r="K43" s="136">
        <v>0.79966143943113877</v>
      </c>
      <c r="L43" s="136">
        <v>1.0008201765518951</v>
      </c>
      <c r="M43" s="136"/>
      <c r="N43" s="136"/>
      <c r="O43" s="136"/>
      <c r="P43" s="136"/>
      <c r="Q43" s="136">
        <v>0.9999999999974245</v>
      </c>
      <c r="R43" s="136"/>
      <c r="S43" s="136"/>
      <c r="T43" s="136"/>
      <c r="U43" s="136"/>
      <c r="V43" s="136"/>
      <c r="W43" s="17"/>
      <c r="X43" s="17"/>
      <c r="Y43" s="17"/>
      <c r="Z43" s="17"/>
      <c r="AA43" s="17"/>
      <c r="AB43" s="17"/>
      <c r="AC43" s="17"/>
      <c r="AD43" s="17"/>
      <c r="AE43" s="17"/>
      <c r="AF43" s="17"/>
      <c r="AG43" s="17"/>
      <c r="AH43" s="17"/>
      <c r="AI43" s="17"/>
      <c r="AJ43" s="17"/>
      <c r="AK43" s="17"/>
      <c r="AL43" s="17"/>
      <c r="AM43" s="17"/>
      <c r="AN43" s="17"/>
    </row>
    <row r="44" spans="1:40">
      <c r="A44" s="19">
        <v>6</v>
      </c>
      <c r="B44" s="19">
        <v>4.3890868783928454</v>
      </c>
      <c r="C44" s="918">
        <v>6</v>
      </c>
      <c r="D44" s="19">
        <v>4.3890868783928454</v>
      </c>
      <c r="E44" s="134">
        <v>4.0823771229455128E-5</v>
      </c>
      <c r="F44" s="134">
        <v>7.6999999969965732E-2</v>
      </c>
      <c r="G44" s="134">
        <v>0.76923076923076927</v>
      </c>
      <c r="H44" s="134">
        <v>0.23076923076923078</v>
      </c>
      <c r="I44" s="136"/>
      <c r="J44" s="136"/>
      <c r="K44" s="136">
        <v>0.69996921475020357</v>
      </c>
      <c r="L44" s="136">
        <v>1.0001580835029342</v>
      </c>
      <c r="M44" s="136"/>
      <c r="N44" s="136"/>
      <c r="O44" s="136"/>
      <c r="P44" s="136"/>
      <c r="Q44" s="136">
        <v>0.99999999999559352</v>
      </c>
      <c r="R44" s="136"/>
      <c r="S44" s="136"/>
      <c r="T44" s="136"/>
      <c r="U44" s="136"/>
      <c r="V44" s="136"/>
      <c r="W44" s="17"/>
      <c r="X44" s="17"/>
      <c r="Y44" s="17"/>
      <c r="Z44" s="17"/>
      <c r="AA44" s="17"/>
      <c r="AB44" s="17"/>
      <c r="AC44" s="17"/>
      <c r="AD44" s="17"/>
      <c r="AE44" s="17"/>
      <c r="AF44" s="17"/>
      <c r="AG44" s="17"/>
      <c r="AH44" s="17"/>
      <c r="AI44" s="17"/>
      <c r="AJ44" s="17"/>
      <c r="AK44" s="17"/>
      <c r="AL44" s="17"/>
      <c r="AM44" s="17"/>
      <c r="AN44" s="17"/>
    </row>
    <row r="45" spans="1:40">
      <c r="A45" s="19">
        <v>8</v>
      </c>
      <c r="B45" s="19">
        <v>4.5806689499877393</v>
      </c>
      <c r="C45" s="918">
        <v>8</v>
      </c>
      <c r="D45" s="19">
        <v>4.5806689499877393</v>
      </c>
      <c r="E45" s="134">
        <v>2.6262196712177228E-5</v>
      </c>
      <c r="F45" s="134">
        <v>7.1500000010245868E-2</v>
      </c>
      <c r="G45" s="134">
        <v>0.7142857142857143</v>
      </c>
      <c r="H45" s="134">
        <v>0.2857142857142857</v>
      </c>
      <c r="I45" s="136"/>
      <c r="J45" s="136"/>
      <c r="K45" s="136">
        <v>0.60013250631745496</v>
      </c>
      <c r="L45" s="136">
        <v>0.99965688434123023</v>
      </c>
      <c r="M45" s="136"/>
      <c r="N45" s="136"/>
      <c r="O45" s="136"/>
      <c r="P45" s="136"/>
      <c r="Q45" s="136">
        <v>0.99999999999315037</v>
      </c>
      <c r="R45" s="136"/>
      <c r="S45" s="136"/>
      <c r="T45" s="136"/>
      <c r="U45" s="136"/>
      <c r="V45" s="136"/>
      <c r="W45" s="17"/>
      <c r="X45" s="17"/>
      <c r="Y45" s="17"/>
      <c r="Z45" s="17"/>
      <c r="AA45" s="17"/>
      <c r="AB45" s="17"/>
      <c r="AC45" s="17"/>
      <c r="AD45" s="17"/>
      <c r="AE45" s="17"/>
      <c r="AF45" s="17"/>
      <c r="AG45" s="17"/>
      <c r="AH45" s="17"/>
      <c r="AI45" s="17"/>
      <c r="AJ45" s="17"/>
      <c r="AK45" s="17"/>
      <c r="AL45" s="17"/>
      <c r="AM45" s="17"/>
      <c r="AN45" s="17"/>
    </row>
    <row r="46" spans="1:40">
      <c r="A46" s="19">
        <v>10</v>
      </c>
      <c r="B46" s="19">
        <v>4.756587051320821</v>
      </c>
      <c r="C46" s="918">
        <v>10</v>
      </c>
      <c r="D46" s="19">
        <v>4.756587051320821</v>
      </c>
      <c r="E46" s="134">
        <v>1.7515113207079535E-5</v>
      </c>
      <c r="F46" s="134">
        <v>6.6733333331724376E-2</v>
      </c>
      <c r="G46" s="134">
        <v>0.66666666666666663</v>
      </c>
      <c r="H46" s="134">
        <v>0.33333333333333331</v>
      </c>
      <c r="I46" s="136"/>
      <c r="J46" s="136"/>
      <c r="K46" s="136">
        <v>0.50023771208224632</v>
      </c>
      <c r="L46" s="136">
        <v>0.99913964865144611</v>
      </c>
      <c r="M46" s="136"/>
      <c r="N46" s="136"/>
      <c r="O46" s="136"/>
      <c r="P46" s="136"/>
      <c r="Q46" s="136">
        <v>0.99999999998972966</v>
      </c>
      <c r="R46" s="136"/>
      <c r="S46" s="136"/>
      <c r="T46" s="136"/>
      <c r="U46" s="136"/>
      <c r="V46" s="136"/>
      <c r="W46" s="17"/>
      <c r="X46" s="17"/>
      <c r="Y46" s="17"/>
      <c r="Z46" s="17"/>
      <c r="AA46" s="17"/>
      <c r="AB46" s="17"/>
      <c r="AC46" s="17"/>
      <c r="AD46" s="17"/>
      <c r="AE46" s="17"/>
      <c r="AF46" s="17"/>
      <c r="AG46" s="17"/>
      <c r="AH46" s="17"/>
      <c r="AI46" s="17"/>
      <c r="AJ46" s="17"/>
      <c r="AK46" s="17"/>
      <c r="AL46" s="17"/>
      <c r="AM46" s="17"/>
      <c r="AN46" s="17"/>
    </row>
    <row r="47" spans="1:40">
      <c r="A47" s="19">
        <v>12</v>
      </c>
      <c r="B47" s="19">
        <v>4.9325233497656882</v>
      </c>
      <c r="C47" s="918">
        <v>12</v>
      </c>
      <c r="D47" s="19">
        <v>4.9325233497656882</v>
      </c>
      <c r="E47" s="134">
        <v>1.1680909259718396E-5</v>
      </c>
      <c r="F47" s="134">
        <v>6.2562499980916828E-2</v>
      </c>
      <c r="G47" s="134">
        <v>0.625</v>
      </c>
      <c r="H47" s="134">
        <v>0.375</v>
      </c>
      <c r="I47" s="136"/>
      <c r="J47" s="136"/>
      <c r="K47" s="136">
        <v>0.40031387901426657</v>
      </c>
      <c r="L47" s="136">
        <v>0.99847986839702274</v>
      </c>
      <c r="M47" s="136"/>
      <c r="N47" s="136"/>
      <c r="O47" s="136"/>
      <c r="P47" s="136"/>
      <c r="Q47" s="136">
        <v>0.99999999998459987</v>
      </c>
      <c r="R47" s="136"/>
      <c r="S47" s="136"/>
      <c r="T47" s="136"/>
      <c r="U47" s="136"/>
      <c r="V47" s="136"/>
      <c r="W47" s="17"/>
      <c r="X47" s="17"/>
      <c r="Y47" s="17"/>
      <c r="Z47" s="17"/>
      <c r="AA47" s="17"/>
      <c r="AB47" s="17"/>
      <c r="AC47" s="17"/>
      <c r="AD47" s="17"/>
      <c r="AE47" s="17"/>
      <c r="AF47" s="17"/>
      <c r="AG47" s="17"/>
      <c r="AH47" s="17"/>
      <c r="AI47" s="17"/>
      <c r="AJ47" s="17"/>
      <c r="AK47" s="17"/>
      <c r="AL47" s="17"/>
      <c r="AM47" s="17"/>
      <c r="AN47" s="17"/>
    </row>
    <row r="48" spans="1:40">
      <c r="A48" s="19">
        <v>13</v>
      </c>
      <c r="B48" s="19">
        <v>5.0251862998120487</v>
      </c>
      <c r="C48" s="918">
        <v>13</v>
      </c>
      <c r="D48" s="19">
        <v>5.0251862998120487</v>
      </c>
      <c r="E48" s="134">
        <v>9.4365598823608279E-6</v>
      </c>
      <c r="F48" s="134">
        <v>6.0666666669311482E-2</v>
      </c>
      <c r="G48" s="134">
        <v>0.60606060606060608</v>
      </c>
      <c r="H48" s="134">
        <v>0.39393939393939392</v>
      </c>
      <c r="I48" s="136"/>
      <c r="J48" s="136"/>
      <c r="K48" s="136">
        <v>0.35034529462329556</v>
      </c>
      <c r="L48" s="136">
        <v>0.99803960179123974</v>
      </c>
      <c r="M48" s="136"/>
      <c r="N48" s="136"/>
      <c r="O48" s="136"/>
      <c r="P48" s="136"/>
      <c r="Q48" s="136">
        <v>0.99999999998093725</v>
      </c>
      <c r="R48" s="136"/>
      <c r="S48" s="136"/>
      <c r="T48" s="136"/>
      <c r="U48" s="136"/>
      <c r="V48" s="136"/>
      <c r="W48" s="17"/>
      <c r="X48" s="17"/>
      <c r="Y48" s="17"/>
      <c r="Z48" s="17"/>
      <c r="AA48" s="17"/>
      <c r="AB48" s="17"/>
      <c r="AC48" s="17"/>
      <c r="AD48" s="17"/>
      <c r="AE48" s="17"/>
      <c r="AF48" s="17"/>
      <c r="AG48" s="17"/>
      <c r="AH48" s="17"/>
      <c r="AI48" s="17"/>
      <c r="AJ48" s="17"/>
      <c r="AK48" s="17"/>
      <c r="AL48" s="17"/>
      <c r="AM48" s="17"/>
      <c r="AN48" s="17"/>
    </row>
    <row r="49" spans="1:40">
      <c r="A49" s="19">
        <v>14</v>
      </c>
      <c r="B49" s="19">
        <v>5.1242044870741665</v>
      </c>
      <c r="C49" s="918">
        <v>14</v>
      </c>
      <c r="D49" s="19">
        <v>5.1242044870741665</v>
      </c>
      <c r="E49" s="134">
        <v>7.5126907651767135E-6</v>
      </c>
      <c r="F49" s="134">
        <v>5.8882352934952836E-2</v>
      </c>
      <c r="G49" s="134">
        <v>0.58823529411764708</v>
      </c>
      <c r="H49" s="134">
        <v>0.41176470588235292</v>
      </c>
      <c r="I49" s="136"/>
      <c r="J49" s="136"/>
      <c r="K49" s="136">
        <v>0.30037357183718771</v>
      </c>
      <c r="L49" s="136">
        <v>0.99747023226013765</v>
      </c>
      <c r="M49" s="136"/>
      <c r="N49" s="136"/>
      <c r="O49" s="136"/>
      <c r="P49" s="136"/>
      <c r="Q49" s="136">
        <v>0.9999999999760556</v>
      </c>
      <c r="R49" s="136"/>
      <c r="S49" s="136"/>
      <c r="T49" s="136"/>
      <c r="U49" s="136"/>
      <c r="V49" s="136"/>
      <c r="W49" s="17"/>
      <c r="X49" s="17"/>
      <c r="Y49" s="17"/>
      <c r="Z49" s="17"/>
      <c r="AA49" s="17"/>
      <c r="AB49" s="17"/>
      <c r="AC49" s="17"/>
      <c r="AD49" s="17"/>
      <c r="AE49" s="17"/>
      <c r="AF49" s="17"/>
      <c r="AG49" s="17"/>
      <c r="AH49" s="17"/>
      <c r="AI49" s="17"/>
      <c r="AJ49" s="17"/>
      <c r="AK49" s="17"/>
      <c r="AL49" s="17"/>
      <c r="AM49" s="17"/>
      <c r="AN49" s="17"/>
    </row>
    <row r="50" spans="1:40">
      <c r="A50" s="19">
        <v>15</v>
      </c>
      <c r="B50" s="19">
        <v>5.2331966585479677</v>
      </c>
      <c r="C50" s="918">
        <v>15</v>
      </c>
      <c r="D50" s="19">
        <v>5.2331966585479677</v>
      </c>
      <c r="E50" s="134">
        <v>5.8452533766643153E-6</v>
      </c>
      <c r="F50" s="134">
        <v>5.72000000015997E-2</v>
      </c>
      <c r="G50" s="134">
        <v>0.5714285714285714</v>
      </c>
      <c r="H50" s="134">
        <v>0.42857142857142855</v>
      </c>
      <c r="I50" s="136"/>
      <c r="J50" s="136"/>
      <c r="K50" s="136">
        <v>0.25039939287866958</v>
      </c>
      <c r="L50" s="136">
        <v>0.99669076910609433</v>
      </c>
      <c r="M50" s="136"/>
      <c r="N50" s="136"/>
      <c r="O50" s="136"/>
      <c r="P50" s="136"/>
      <c r="Q50" s="136">
        <v>0.99999999996922506</v>
      </c>
      <c r="R50" s="136"/>
      <c r="S50" s="136"/>
      <c r="T50" s="136"/>
      <c r="U50" s="136"/>
      <c r="V50" s="136"/>
      <c r="W50" s="17"/>
      <c r="X50" s="17"/>
      <c r="Y50" s="17"/>
      <c r="Z50" s="17"/>
      <c r="AA50" s="17"/>
      <c r="AB50" s="17"/>
      <c r="AC50" s="17"/>
      <c r="AD50" s="17"/>
      <c r="AE50" s="17"/>
      <c r="AF50" s="17"/>
      <c r="AG50" s="17"/>
      <c r="AH50" s="17"/>
      <c r="AI50" s="17"/>
      <c r="AJ50" s="17"/>
      <c r="AK50" s="17"/>
      <c r="AL50" s="17"/>
      <c r="AM50" s="17"/>
      <c r="AN50" s="17"/>
    </row>
    <row r="51" spans="1:40">
      <c r="A51" s="19">
        <v>16</v>
      </c>
      <c r="B51" s="19">
        <v>5.357911869417876</v>
      </c>
      <c r="C51" s="918">
        <v>16</v>
      </c>
      <c r="D51" s="19">
        <v>5.357911869417876</v>
      </c>
      <c r="E51" s="134">
        <v>4.3861969703454432E-6</v>
      </c>
      <c r="F51" s="134">
        <v>5.5611111120401228E-2</v>
      </c>
      <c r="G51" s="134">
        <v>0.55555555555555558</v>
      </c>
      <c r="H51" s="134">
        <v>0.44444444444444442</v>
      </c>
      <c r="I51" s="136"/>
      <c r="J51" s="136"/>
      <c r="K51" s="136">
        <v>0.20042331940066108</v>
      </c>
      <c r="L51" s="136">
        <v>0.99554115221811934</v>
      </c>
      <c r="M51" s="136"/>
      <c r="N51" s="136"/>
      <c r="O51" s="136"/>
      <c r="P51" s="136"/>
      <c r="Q51" s="136">
        <v>0.99999999995898792</v>
      </c>
      <c r="R51" s="136"/>
      <c r="S51" s="136"/>
      <c r="T51" s="136"/>
      <c r="U51" s="136"/>
      <c r="V51" s="136"/>
      <c r="W51" s="17"/>
      <c r="X51" s="17"/>
      <c r="Y51" s="17"/>
      <c r="Z51" s="17"/>
      <c r="AA51" s="17"/>
      <c r="AB51" s="17"/>
      <c r="AC51" s="17"/>
      <c r="AD51" s="17"/>
      <c r="AE51" s="17"/>
      <c r="AF51" s="17"/>
      <c r="AG51" s="17"/>
      <c r="AH51" s="17"/>
      <c r="AI51" s="17"/>
      <c r="AJ51" s="17"/>
      <c r="AK51" s="17"/>
      <c r="AL51" s="17"/>
      <c r="AM51" s="17"/>
      <c r="AN51" s="17"/>
    </row>
    <row r="52" spans="1:40">
      <c r="A52" s="19">
        <v>16.5</v>
      </c>
      <c r="B52" s="19">
        <v>5.4291094332002103</v>
      </c>
      <c r="C52" s="918">
        <v>16.5</v>
      </c>
      <c r="D52" s="19">
        <v>5.4291094332002103</v>
      </c>
      <c r="E52" s="134">
        <v>3.7229788309092037E-6</v>
      </c>
      <c r="F52" s="134">
        <v>5.4849315076457864E-2</v>
      </c>
      <c r="G52" s="134">
        <v>0.54794520547945202</v>
      </c>
      <c r="H52" s="134">
        <v>0.45205479452054792</v>
      </c>
      <c r="I52" s="136"/>
      <c r="J52" s="136"/>
      <c r="K52" s="136">
        <v>0.17543474105494344</v>
      </c>
      <c r="L52" s="136">
        <v>0.994728252428419</v>
      </c>
      <c r="M52" s="136"/>
      <c r="N52" s="136"/>
      <c r="O52" s="136"/>
      <c r="P52" s="136"/>
      <c r="Q52" s="136">
        <v>0.99999999995168198</v>
      </c>
      <c r="R52" s="136"/>
      <c r="S52" s="136"/>
      <c r="T52" s="136"/>
      <c r="U52" s="136"/>
      <c r="V52" s="136"/>
      <c r="W52" s="17"/>
      <c r="X52" s="17"/>
      <c r="Y52" s="17"/>
      <c r="Z52" s="17"/>
      <c r="AA52" s="17"/>
      <c r="AB52" s="17"/>
      <c r="AC52" s="17"/>
      <c r="AD52" s="17"/>
      <c r="AE52" s="17"/>
      <c r="AF52" s="17"/>
      <c r="AG52" s="17"/>
      <c r="AH52" s="17"/>
      <c r="AI52" s="17"/>
      <c r="AJ52" s="17"/>
      <c r="AK52" s="17"/>
      <c r="AL52" s="17"/>
      <c r="AM52" s="17"/>
      <c r="AN52" s="17"/>
    </row>
    <row r="53" spans="1:40">
      <c r="A53" s="19">
        <v>17</v>
      </c>
      <c r="B53" s="19">
        <v>5.508810659404844</v>
      </c>
      <c r="C53" s="918">
        <v>17</v>
      </c>
      <c r="D53" s="19">
        <v>5.508810659404844</v>
      </c>
      <c r="E53" s="134">
        <v>3.0987699842896601E-6</v>
      </c>
      <c r="F53" s="134">
        <v>5.4108108108327897E-2</v>
      </c>
      <c r="G53" s="134">
        <v>0.54054054054054057</v>
      </c>
      <c r="H53" s="134">
        <v>0.45945945945945948</v>
      </c>
      <c r="I53" s="136"/>
      <c r="J53" s="136"/>
      <c r="K53" s="136">
        <v>0.1504459072151117</v>
      </c>
      <c r="L53" s="136">
        <v>0.99365141692549186</v>
      </c>
      <c r="M53" s="136"/>
      <c r="N53" s="136"/>
      <c r="O53" s="136"/>
      <c r="P53" s="136"/>
      <c r="Q53" s="136">
        <v>0.99999999994194888</v>
      </c>
      <c r="R53" s="136"/>
      <c r="S53" s="136"/>
      <c r="T53" s="136"/>
      <c r="U53" s="136"/>
      <c r="V53" s="136"/>
      <c r="W53" s="17"/>
      <c r="X53" s="17"/>
      <c r="Y53" s="17"/>
      <c r="Z53" s="17"/>
      <c r="AA53" s="17"/>
      <c r="AB53" s="17"/>
      <c r="AC53" s="17"/>
      <c r="AD53" s="17"/>
      <c r="AE53" s="17"/>
      <c r="AF53" s="17"/>
      <c r="AG53" s="17"/>
      <c r="AH53" s="17"/>
      <c r="AI53" s="17"/>
      <c r="AJ53" s="17"/>
      <c r="AK53" s="17"/>
      <c r="AL53" s="17"/>
      <c r="AM53" s="17"/>
      <c r="AN53" s="17"/>
    </row>
    <row r="54" spans="1:40">
      <c r="A54" s="19">
        <v>17.5</v>
      </c>
      <c r="B54" s="19">
        <v>5.6002865410409868</v>
      </c>
      <c r="C54" s="918">
        <v>17.5</v>
      </c>
      <c r="D54" s="19">
        <v>5.6002865410409868</v>
      </c>
      <c r="E54" s="134">
        <v>2.5102296728075381E-6</v>
      </c>
      <c r="F54" s="134">
        <v>5.3386666670779313E-2</v>
      </c>
      <c r="G54" s="134">
        <v>0.53333333333333333</v>
      </c>
      <c r="H54" s="134">
        <v>0.46666666666666667</v>
      </c>
      <c r="I54" s="136"/>
      <c r="J54" s="136"/>
      <c r="K54" s="136">
        <v>0.1254569315773594</v>
      </c>
      <c r="L54" s="136">
        <v>0.99215393631582682</v>
      </c>
      <c r="M54" s="136"/>
      <c r="N54" s="136"/>
      <c r="O54" s="136"/>
      <c r="P54" s="136"/>
      <c r="Q54" s="136">
        <v>0.99999999992833843</v>
      </c>
      <c r="R54" s="136"/>
      <c r="S54" s="136"/>
      <c r="T54" s="136"/>
      <c r="U54" s="136"/>
      <c r="V54" s="136"/>
      <c r="W54" s="17"/>
      <c r="X54" s="17"/>
      <c r="Y54" s="17"/>
      <c r="Z54" s="17"/>
      <c r="AA54" s="17"/>
      <c r="AB54" s="17"/>
      <c r="AC54" s="17"/>
      <c r="AD54" s="17"/>
      <c r="AE54" s="17"/>
      <c r="AF54" s="17"/>
      <c r="AG54" s="17"/>
      <c r="AH54" s="17"/>
      <c r="AI54" s="17"/>
      <c r="AJ54" s="17"/>
      <c r="AK54" s="17"/>
      <c r="AL54" s="17"/>
      <c r="AM54" s="17"/>
      <c r="AN54" s="17"/>
    </row>
    <row r="55" spans="1:40">
      <c r="A55" s="19">
        <v>18</v>
      </c>
      <c r="B55" s="19">
        <v>5.7089888504706323</v>
      </c>
      <c r="C55" s="918">
        <v>18</v>
      </c>
      <c r="D55" s="19">
        <v>5.7089888504706323</v>
      </c>
      <c r="E55" s="134">
        <v>1.9543896296683889E-6</v>
      </c>
      <c r="F55" s="134">
        <v>5.2684210534268701E-2</v>
      </c>
      <c r="G55" s="134">
        <v>0.52631578947368418</v>
      </c>
      <c r="H55" s="134">
        <v>0.47368421052631576</v>
      </c>
      <c r="I55" s="136"/>
      <c r="J55" s="136"/>
      <c r="K55" s="136">
        <v>0.1004680022162532</v>
      </c>
      <c r="L55" s="136">
        <v>0.98992501123208043</v>
      </c>
      <c r="M55" s="136"/>
      <c r="N55" s="136"/>
      <c r="O55" s="136"/>
      <c r="P55" s="136"/>
      <c r="Q55" s="136">
        <v>0.9999999999079574</v>
      </c>
      <c r="R55" s="136"/>
      <c r="S55" s="136"/>
      <c r="T55" s="136"/>
      <c r="U55" s="136"/>
      <c r="V55" s="136"/>
      <c r="W55" s="17"/>
      <c r="X55" s="17"/>
      <c r="Y55" s="17"/>
      <c r="Z55" s="17"/>
      <c r="AA55" s="17"/>
      <c r="AB55" s="17"/>
      <c r="AC55" s="17"/>
      <c r="AD55" s="17"/>
      <c r="AE55" s="17"/>
      <c r="AF55" s="17"/>
      <c r="AG55" s="17"/>
      <c r="AH55" s="17"/>
      <c r="AI55" s="17"/>
      <c r="AJ55" s="17"/>
      <c r="AK55" s="17"/>
      <c r="AL55" s="17"/>
      <c r="AM55" s="17"/>
      <c r="AN55" s="17"/>
    </row>
    <row r="56" spans="1:40">
      <c r="A56" s="19">
        <v>18.5</v>
      </c>
      <c r="B56" s="19">
        <v>5.8450874635018408</v>
      </c>
      <c r="C56" s="918">
        <v>18.5</v>
      </c>
      <c r="D56" s="19">
        <v>5.8450874635018408</v>
      </c>
      <c r="E56" s="134">
        <v>1.4286062194519564E-6</v>
      </c>
      <c r="F56" s="134">
        <v>5.1999999994064197E-2</v>
      </c>
      <c r="G56" s="134">
        <v>0.51948051948051943</v>
      </c>
      <c r="H56" s="134">
        <v>0.48051948051948051</v>
      </c>
      <c r="I56" s="136"/>
      <c r="J56" s="136"/>
      <c r="K56" s="136">
        <v>7.5479510754658974E-2</v>
      </c>
      <c r="L56" s="136">
        <v>0.98624851718794393</v>
      </c>
      <c r="M56" s="136"/>
      <c r="N56" s="136"/>
      <c r="O56" s="136"/>
      <c r="P56" s="136"/>
      <c r="Q56" s="136">
        <v>0.99999999987408206</v>
      </c>
      <c r="R56" s="136"/>
      <c r="S56" s="136"/>
      <c r="T56" s="136"/>
      <c r="U56" s="136"/>
      <c r="V56" s="136"/>
      <c r="W56" s="17"/>
      <c r="X56" s="17"/>
      <c r="Y56" s="17"/>
      <c r="Z56" s="17"/>
      <c r="AA56" s="17"/>
      <c r="AB56" s="17"/>
      <c r="AC56" s="17"/>
      <c r="AD56" s="17"/>
      <c r="AE56" s="17"/>
      <c r="AF56" s="17"/>
      <c r="AG56" s="17"/>
      <c r="AH56" s="17"/>
      <c r="AI56" s="17"/>
      <c r="AJ56" s="17"/>
      <c r="AK56" s="17"/>
      <c r="AL56" s="17"/>
      <c r="AM56" s="17"/>
      <c r="AN56" s="17"/>
    </row>
    <row r="57" spans="1:40">
      <c r="A57" s="19">
        <v>19</v>
      </c>
      <c r="B57" s="19">
        <v>6.0312710306607187</v>
      </c>
      <c r="C57" s="918">
        <v>19</v>
      </c>
      <c r="D57" s="19">
        <v>6.0312710306607187</v>
      </c>
      <c r="E57" s="134">
        <v>9.3052697917589026E-7</v>
      </c>
      <c r="F57" s="134">
        <v>5.1333333334999266E-2</v>
      </c>
      <c r="G57" s="134">
        <v>0.51282051282051277</v>
      </c>
      <c r="H57" s="134">
        <v>0.48717948717948717</v>
      </c>
      <c r="I57" s="136"/>
      <c r="J57" s="136"/>
      <c r="K57" s="136">
        <v>5.0492554662420003E-2</v>
      </c>
      <c r="L57" s="136">
        <v>0.97902257773817947</v>
      </c>
      <c r="M57" s="136"/>
      <c r="N57" s="136"/>
      <c r="O57" s="136"/>
      <c r="P57" s="136"/>
      <c r="Q57" s="136">
        <v>0.99999999980668253</v>
      </c>
      <c r="R57" s="136"/>
      <c r="S57" s="136"/>
      <c r="T57" s="136"/>
      <c r="U57" s="136"/>
      <c r="V57" s="136"/>
      <c r="W57" s="17"/>
      <c r="X57" s="17"/>
      <c r="Y57" s="17"/>
      <c r="Z57" s="17"/>
      <c r="AA57" s="17"/>
      <c r="AB57" s="17"/>
      <c r="AC57" s="17"/>
      <c r="AD57" s="17"/>
      <c r="AE57" s="17"/>
      <c r="AF57" s="17"/>
      <c r="AG57" s="17"/>
      <c r="AH57" s="17"/>
      <c r="AI57" s="17"/>
      <c r="AJ57" s="17"/>
      <c r="AK57" s="17"/>
      <c r="AL57" s="17"/>
      <c r="AM57" s="17"/>
      <c r="AN57" s="17"/>
    </row>
    <row r="58" spans="1:40">
      <c r="A58" s="19">
        <v>19.5</v>
      </c>
      <c r="B58" s="19">
        <v>6.3390276008285582</v>
      </c>
      <c r="C58" s="918">
        <v>19.5</v>
      </c>
      <c r="D58" s="19">
        <v>6.3390276008285582</v>
      </c>
      <c r="E58" s="134">
        <v>4.5811277123094471E-7</v>
      </c>
      <c r="F58" s="134">
        <v>5.0683544302003461E-2</v>
      </c>
      <c r="G58" s="134">
        <v>0.50632911392405067</v>
      </c>
      <c r="H58" s="134">
        <v>0.49367088607594939</v>
      </c>
      <c r="I58" s="136"/>
      <c r="J58" s="136"/>
      <c r="K58" s="136">
        <v>2.5512251190972689E-2</v>
      </c>
      <c r="L58" s="136">
        <v>0.95827106827994435</v>
      </c>
      <c r="M58" s="136"/>
      <c r="N58" s="136"/>
      <c r="O58" s="136"/>
      <c r="P58" s="136"/>
      <c r="Q58" s="136">
        <v>0.9999999996073301</v>
      </c>
      <c r="R58" s="136"/>
      <c r="S58" s="136"/>
      <c r="T58" s="136"/>
      <c r="U58" s="136"/>
      <c r="V58" s="136"/>
      <c r="W58" s="17"/>
      <c r="X58" s="17"/>
      <c r="Y58" s="17"/>
      <c r="Z58" s="17"/>
      <c r="AA58" s="17"/>
      <c r="AB58" s="17"/>
      <c r="AC58" s="17"/>
      <c r="AD58" s="17"/>
      <c r="AE58" s="17"/>
      <c r="AF58" s="17"/>
      <c r="AG58" s="17"/>
      <c r="AH58" s="17"/>
      <c r="AI58" s="17"/>
      <c r="AJ58" s="17"/>
      <c r="AK58" s="17"/>
      <c r="AL58" s="17"/>
      <c r="AM58" s="17"/>
      <c r="AN58" s="17"/>
    </row>
    <row r="59" spans="1:40">
      <c r="A59" s="19">
        <v>19.7</v>
      </c>
      <c r="B59" s="19">
        <v>6.5590608413331211</v>
      </c>
      <c r="C59" s="918">
        <v>19.7</v>
      </c>
      <c r="D59" s="19">
        <v>6.5590608413331211</v>
      </c>
      <c r="E59" s="134">
        <v>2.7601911474783683E-7</v>
      </c>
      <c r="F59" s="134">
        <v>5.0428211587032333E-2</v>
      </c>
      <c r="G59" s="134">
        <v>0.50377833753148615</v>
      </c>
      <c r="H59" s="134">
        <v>0.49622166246851379</v>
      </c>
      <c r="I59" s="136"/>
      <c r="J59" s="136"/>
      <c r="K59" s="136">
        <v>1.5528950599401495E-2</v>
      </c>
      <c r="L59" s="136">
        <v>0.93259040744713784</v>
      </c>
      <c r="M59" s="136"/>
      <c r="N59" s="136"/>
      <c r="O59" s="136"/>
      <c r="P59" s="136"/>
      <c r="Q59" s="136">
        <v>0.99999999934828032</v>
      </c>
      <c r="R59" s="136"/>
      <c r="S59" s="136"/>
      <c r="T59" s="136"/>
      <c r="U59" s="136"/>
      <c r="V59" s="136"/>
      <c r="W59" s="17"/>
      <c r="X59" s="17"/>
      <c r="Y59" s="17"/>
      <c r="Z59" s="17"/>
      <c r="AA59" s="17"/>
      <c r="AB59" s="17"/>
      <c r="AC59" s="17"/>
      <c r="AD59" s="17"/>
      <c r="AE59" s="17"/>
      <c r="AF59" s="17"/>
      <c r="AG59" s="17"/>
      <c r="AH59" s="17"/>
      <c r="AI59" s="17"/>
      <c r="AJ59" s="17"/>
      <c r="AK59" s="17"/>
      <c r="AL59" s="17"/>
      <c r="AM59" s="17"/>
      <c r="AN59" s="17"/>
    </row>
    <row r="60" spans="1:40">
      <c r="A60" s="19">
        <v>19.8</v>
      </c>
      <c r="B60" s="19">
        <v>6.729320949409157</v>
      </c>
      <c r="C60" s="918">
        <v>19.8</v>
      </c>
      <c r="D60" s="19">
        <v>6.729320949409157</v>
      </c>
      <c r="E60" s="134">
        <v>1.8650009209008174E-7</v>
      </c>
      <c r="F60" s="134">
        <v>5.0301507537237937E-2</v>
      </c>
      <c r="G60" s="134">
        <v>0.50251256281407042</v>
      </c>
      <c r="H60" s="134">
        <v>0.49748743718592969</v>
      </c>
      <c r="I60" s="136"/>
      <c r="J60" s="136"/>
      <c r="K60" s="136">
        <v>1.0545685051076175E-2</v>
      </c>
      <c r="L60" s="136">
        <v>0.90335792576678775</v>
      </c>
      <c r="M60" s="136"/>
      <c r="N60" s="136"/>
      <c r="O60" s="136"/>
      <c r="P60" s="136"/>
      <c r="Q60" s="136">
        <v>0.99999999903545844</v>
      </c>
      <c r="R60" s="136"/>
      <c r="S60" s="136"/>
      <c r="T60" s="136"/>
      <c r="U60" s="136"/>
      <c r="V60" s="136"/>
      <c r="W60" s="17"/>
      <c r="X60" s="17"/>
      <c r="Y60" s="17"/>
      <c r="Z60" s="17"/>
      <c r="AA60" s="17"/>
      <c r="AB60" s="17"/>
      <c r="AC60" s="17"/>
      <c r="AD60" s="17"/>
      <c r="AE60" s="17"/>
      <c r="AF60" s="17"/>
      <c r="AG60" s="17"/>
      <c r="AH60" s="17"/>
      <c r="AI60" s="17"/>
      <c r="AJ60" s="17"/>
      <c r="AK60" s="17"/>
      <c r="AL60" s="17"/>
      <c r="AM60" s="17"/>
      <c r="AN60" s="17"/>
    </row>
    <row r="61" spans="1:40">
      <c r="A61" s="19">
        <v>19.900000000000002</v>
      </c>
      <c r="B61" s="19">
        <v>7.0075858007185161</v>
      </c>
      <c r="C61" s="918">
        <v>19.900000000000002</v>
      </c>
      <c r="D61" s="19">
        <v>7.0075858007185161</v>
      </c>
      <c r="E61" s="134">
        <v>9.8268471123388591E-8</v>
      </c>
      <c r="F61" s="134">
        <v>5.0175438596577096E-2</v>
      </c>
      <c r="G61" s="134">
        <v>0.50125313283208017</v>
      </c>
      <c r="H61" s="134">
        <v>0.49874686716791977</v>
      </c>
      <c r="I61" s="136"/>
      <c r="J61" s="136"/>
      <c r="K61" s="136">
        <v>5.5844717348101048E-3</v>
      </c>
      <c r="L61" s="136">
        <v>0.83122771468133938</v>
      </c>
      <c r="M61" s="136"/>
      <c r="N61" s="136"/>
      <c r="O61" s="136"/>
      <c r="P61" s="136"/>
      <c r="Q61" s="136">
        <v>0.9999999981694323</v>
      </c>
      <c r="R61" s="136"/>
      <c r="S61" s="136"/>
      <c r="T61" s="136"/>
      <c r="U61" s="136"/>
      <c r="V61" s="136"/>
      <c r="W61" s="17"/>
      <c r="X61" s="17"/>
      <c r="Y61" s="17"/>
      <c r="Z61" s="17"/>
      <c r="AA61" s="17"/>
      <c r="AB61" s="17"/>
      <c r="AC61" s="17"/>
      <c r="AD61" s="17"/>
      <c r="AE61" s="17"/>
      <c r="AF61" s="17"/>
      <c r="AG61" s="17"/>
      <c r="AH61" s="17"/>
      <c r="AI61" s="17"/>
      <c r="AJ61" s="17"/>
      <c r="AK61" s="17"/>
      <c r="AL61" s="17"/>
      <c r="AM61" s="17"/>
      <c r="AN61" s="17"/>
    </row>
    <row r="62" spans="1:40">
      <c r="A62" s="19">
        <v>19.950000000000003</v>
      </c>
      <c r="B62" s="19">
        <v>7.2593171945773065</v>
      </c>
      <c r="C62" s="918">
        <v>19.950000000000003</v>
      </c>
      <c r="D62" s="19">
        <v>7.2593171945773065</v>
      </c>
      <c r="E62" s="134">
        <v>5.5040555123704652E-8</v>
      </c>
      <c r="F62" s="134">
        <v>5.0112640801244064E-2</v>
      </c>
      <c r="G62" s="134">
        <v>0.50062578222778464</v>
      </c>
      <c r="H62" s="134">
        <v>0.4993742177722153</v>
      </c>
      <c r="I62" s="136"/>
      <c r="J62" s="136"/>
      <c r="K62" s="136">
        <v>3.1355873101927977E-3</v>
      </c>
      <c r="L62" s="136">
        <v>0.73394163569063808</v>
      </c>
      <c r="M62" s="136"/>
      <c r="N62" s="136"/>
      <c r="O62" s="136"/>
      <c r="P62" s="136"/>
      <c r="Q62" s="136">
        <v>0.99999999673173556</v>
      </c>
      <c r="R62" s="136"/>
      <c r="S62" s="136"/>
      <c r="T62" s="136"/>
      <c r="U62" s="136"/>
      <c r="V62" s="136"/>
      <c r="W62" s="17"/>
      <c r="X62" s="17"/>
      <c r="Y62" s="17"/>
      <c r="Z62" s="17"/>
      <c r="AA62" s="17"/>
      <c r="AB62" s="17"/>
      <c r="AC62" s="17"/>
      <c r="AD62" s="17"/>
      <c r="AE62" s="17"/>
      <c r="AF62" s="17"/>
      <c r="AG62" s="17"/>
      <c r="AH62" s="17"/>
      <c r="AI62" s="17"/>
      <c r="AJ62" s="17"/>
      <c r="AK62" s="17"/>
      <c r="AL62" s="17"/>
      <c r="AM62" s="17"/>
      <c r="AN62" s="17"/>
    </row>
    <row r="63" spans="1:40">
      <c r="A63" s="19">
        <v>19.970000000000002</v>
      </c>
      <c r="B63" s="19">
        <v>7.4183593583293259</v>
      </c>
      <c r="C63" s="918">
        <v>19.970000000000002</v>
      </c>
      <c r="D63" s="19">
        <v>7.4183593583293259</v>
      </c>
      <c r="E63" s="134">
        <v>3.8162836057532731E-8</v>
      </c>
      <c r="F63" s="134">
        <v>5.0087565674162345E-2</v>
      </c>
      <c r="G63" s="134">
        <v>0.50037528146109589</v>
      </c>
      <c r="H63" s="134">
        <v>0.49962471853890428</v>
      </c>
      <c r="I63" s="136"/>
      <c r="J63" s="136"/>
      <c r="K63" s="136">
        <v>2.1761784687832552E-3</v>
      </c>
      <c r="L63" s="136">
        <v>0.65667324273625094</v>
      </c>
      <c r="M63" s="136"/>
      <c r="N63" s="136"/>
      <c r="O63" s="136"/>
      <c r="P63" s="136"/>
      <c r="Q63" s="136">
        <v>0.99999999528632799</v>
      </c>
      <c r="R63" s="136"/>
      <c r="S63" s="136"/>
      <c r="T63" s="136"/>
      <c r="U63" s="136"/>
      <c r="V63" s="136"/>
      <c r="W63" s="17"/>
      <c r="X63" s="17"/>
      <c r="Y63" s="17"/>
      <c r="Z63" s="17"/>
      <c r="AA63" s="17"/>
      <c r="AB63" s="17"/>
      <c r="AC63" s="17"/>
      <c r="AD63" s="17"/>
      <c r="AE63" s="17"/>
      <c r="AF63" s="17"/>
      <c r="AG63" s="17"/>
      <c r="AH63" s="17"/>
      <c r="AI63" s="17"/>
      <c r="AJ63" s="17"/>
      <c r="AK63" s="17"/>
      <c r="AL63" s="17"/>
      <c r="AM63" s="17"/>
      <c r="AN63" s="17"/>
    </row>
    <row r="64" spans="1:40">
      <c r="A64" s="19">
        <v>19.980000000000004</v>
      </c>
      <c r="B64" s="19">
        <v>7.524222097825259</v>
      </c>
      <c r="C64" s="918">
        <v>19.980000000000004</v>
      </c>
      <c r="D64" s="19">
        <v>7.524222097825259</v>
      </c>
      <c r="E64" s="134">
        <v>2.9907347862569245E-8</v>
      </c>
      <c r="F64" s="134">
        <v>5.0075037518871948E-2</v>
      </c>
      <c r="G64" s="134">
        <v>0.50025012506253119</v>
      </c>
      <c r="H64" s="134">
        <v>0.49974987493746881</v>
      </c>
      <c r="I64" s="136"/>
      <c r="J64" s="136"/>
      <c r="K64" s="136">
        <v>1.7062248611958595E-3</v>
      </c>
      <c r="L64" s="136">
        <v>0.5998272184513388</v>
      </c>
      <c r="M64" s="136"/>
      <c r="N64" s="136"/>
      <c r="O64" s="136"/>
      <c r="P64" s="136"/>
      <c r="Q64" s="136">
        <v>0.99999999398518746</v>
      </c>
      <c r="R64" s="136"/>
      <c r="S64" s="136"/>
      <c r="T64" s="136"/>
      <c r="U64" s="136"/>
      <c r="V64" s="136"/>
      <c r="W64" s="17"/>
      <c r="X64" s="17"/>
      <c r="Y64" s="17"/>
      <c r="Z64" s="17"/>
      <c r="AA64" s="17"/>
      <c r="AB64" s="17"/>
      <c r="AC64" s="17"/>
      <c r="AD64" s="17"/>
      <c r="AE64" s="17"/>
      <c r="AF64" s="17"/>
      <c r="AG64" s="17"/>
      <c r="AH64" s="17"/>
      <c r="AI64" s="17"/>
      <c r="AJ64" s="17"/>
      <c r="AK64" s="17"/>
      <c r="AL64" s="17"/>
      <c r="AM64" s="17"/>
      <c r="AN64" s="17"/>
    </row>
    <row r="65" spans="1:40">
      <c r="A65" s="19">
        <v>19.990000000000006</v>
      </c>
      <c r="B65" s="19">
        <v>7.6604494755156338</v>
      </c>
      <c r="C65" s="918">
        <v>19.990000000000006</v>
      </c>
      <c r="D65" s="19">
        <v>7.6604494755156338</v>
      </c>
      <c r="E65" s="134">
        <v>2.1854985590452048E-8</v>
      </c>
      <c r="F65" s="134">
        <v>5.0062515628844777E-2</v>
      </c>
      <c r="G65" s="134">
        <v>0.50012503125781438</v>
      </c>
      <c r="H65" s="134">
        <v>0.49987496874218557</v>
      </c>
      <c r="I65" s="136"/>
      <c r="J65" s="136"/>
      <c r="K65" s="136">
        <v>1.2474077660741239E-3</v>
      </c>
      <c r="L65" s="136">
        <v>0.52275165743186436</v>
      </c>
      <c r="M65" s="136"/>
      <c r="N65" s="136"/>
      <c r="O65" s="136"/>
      <c r="P65" s="136"/>
      <c r="Q65" s="136">
        <v>0.99999999176905929</v>
      </c>
      <c r="R65" s="136"/>
      <c r="S65" s="136"/>
      <c r="T65" s="136"/>
      <c r="U65" s="136"/>
      <c r="V65" s="136"/>
      <c r="W65" s="17"/>
      <c r="X65" s="17"/>
      <c r="Y65" s="17"/>
      <c r="Z65" s="17"/>
      <c r="AA65" s="17"/>
      <c r="AB65" s="17"/>
      <c r="AC65" s="17"/>
      <c r="AD65" s="17"/>
      <c r="AE65" s="17"/>
      <c r="AF65" s="17"/>
      <c r="AG65" s="17"/>
      <c r="AH65" s="17"/>
      <c r="AI65" s="17"/>
      <c r="AJ65" s="17"/>
      <c r="AK65" s="17"/>
      <c r="AL65" s="17"/>
      <c r="AM65" s="17"/>
      <c r="AN65" s="17"/>
    </row>
    <row r="66" spans="1:40">
      <c r="A66" s="19">
        <v>20.000000000000007</v>
      </c>
      <c r="B66" s="19">
        <v>7.8499296265654266</v>
      </c>
      <c r="C66" s="918">
        <v>20.000000000000007</v>
      </c>
      <c r="D66" s="19">
        <v>7.8499296265654266</v>
      </c>
      <c r="E66" s="134">
        <v>1.4127664519123931E-8</v>
      </c>
      <c r="F66" s="134">
        <v>5.0050000000012106E-2</v>
      </c>
      <c r="G66" s="134">
        <v>0.49999999999999989</v>
      </c>
      <c r="H66" s="134">
        <v>0.50000000000000011</v>
      </c>
      <c r="I66" s="136"/>
      <c r="J66" s="136"/>
      <c r="K66" s="136">
        <v>8.0671453297832742E-4</v>
      </c>
      <c r="L66" s="136">
        <v>0.41454079497715701</v>
      </c>
      <c r="M66" s="136"/>
      <c r="N66" s="136"/>
      <c r="O66" s="136"/>
      <c r="P66" s="136"/>
      <c r="Q66" s="136">
        <v>0.99999998726703276</v>
      </c>
      <c r="R66" s="136"/>
      <c r="S66" s="136"/>
      <c r="T66" s="136"/>
      <c r="U66" s="136"/>
      <c r="V66" s="136"/>
      <c r="W66" s="17"/>
      <c r="X66" s="17"/>
      <c r="Y66" s="17"/>
      <c r="Z66" s="17"/>
      <c r="AA66" s="17"/>
      <c r="AB66" s="17"/>
      <c r="AC66" s="17"/>
      <c r="AD66" s="17"/>
      <c r="AE66" s="17"/>
      <c r="AF66" s="17"/>
      <c r="AG66" s="17"/>
      <c r="AH66" s="17"/>
      <c r="AI66" s="17"/>
      <c r="AJ66" s="17"/>
      <c r="AK66" s="17"/>
      <c r="AL66" s="17"/>
      <c r="AM66" s="17"/>
      <c r="AN66" s="17"/>
    </row>
    <row r="67" spans="1:40">
      <c r="A67" s="19">
        <v>20.010000000000009</v>
      </c>
      <c r="B67" s="19">
        <v>8.1557883764617145</v>
      </c>
      <c r="C67" s="918">
        <v>20.010000000000009</v>
      </c>
      <c r="D67" s="19">
        <v>8.1557883764617145</v>
      </c>
      <c r="E67" s="134">
        <v>6.9857272251276364E-9</v>
      </c>
      <c r="F67" s="134">
        <v>5.0037490627351786E-2</v>
      </c>
      <c r="G67" s="134">
        <v>0.4998750312421894</v>
      </c>
      <c r="H67" s="134">
        <v>0.50012496875781065</v>
      </c>
      <c r="I67" s="136"/>
      <c r="J67" s="136"/>
      <c r="K67" s="136">
        <v>3.9906007498708736E-4</v>
      </c>
      <c r="L67" s="136">
        <v>0.25932280484053238</v>
      </c>
      <c r="M67" s="136"/>
      <c r="N67" s="136"/>
      <c r="O67" s="136"/>
      <c r="P67" s="136"/>
      <c r="Q67" s="136">
        <v>0.99999997424933995</v>
      </c>
      <c r="R67" s="136"/>
      <c r="S67" s="136"/>
      <c r="T67" s="136"/>
      <c r="U67" s="136"/>
      <c r="V67" s="136"/>
      <c r="W67" s="17"/>
      <c r="X67" s="17"/>
      <c r="Y67" s="17"/>
      <c r="Z67" s="17"/>
      <c r="AA67" s="17"/>
      <c r="AB67" s="17"/>
      <c r="AC67" s="17"/>
      <c r="AD67" s="17"/>
      <c r="AE67" s="17"/>
      <c r="AF67" s="17"/>
      <c r="AG67" s="17"/>
      <c r="AH67" s="17"/>
      <c r="AI67" s="17"/>
      <c r="AJ67" s="17"/>
      <c r="AK67" s="17"/>
      <c r="AL67" s="17"/>
      <c r="AM67" s="17"/>
      <c r="AN67" s="17"/>
    </row>
    <row r="68" spans="1:40">
      <c r="A68" s="19">
        <v>20.02000000000001</v>
      </c>
      <c r="B68" s="19">
        <v>8.8002537922002375</v>
      </c>
      <c r="C68" s="918">
        <v>20.02000000000001</v>
      </c>
      <c r="D68" s="19">
        <v>8.8002537922002375</v>
      </c>
      <c r="E68" s="134">
        <v>1.5839672860960506E-9</v>
      </c>
      <c r="F68" s="134">
        <v>5.0024987506237809E-2</v>
      </c>
      <c r="G68" s="134">
        <v>0.49975012493753113</v>
      </c>
      <c r="H68" s="134">
        <v>0.50024987506246887</v>
      </c>
      <c r="I68" s="136"/>
      <c r="J68" s="136"/>
      <c r="K68" s="136">
        <v>9.0512153230576858E-5</v>
      </c>
      <c r="L68" s="136">
        <v>7.3547731050991369E-2</v>
      </c>
      <c r="M68" s="136"/>
      <c r="N68" s="136"/>
      <c r="O68" s="136"/>
      <c r="P68" s="136"/>
      <c r="Q68" s="136">
        <v>0.99999988643258431</v>
      </c>
      <c r="R68" s="136"/>
      <c r="S68" s="136"/>
      <c r="T68" s="136"/>
      <c r="U68" s="136"/>
      <c r="V68" s="136"/>
      <c r="W68" s="17"/>
      <c r="X68" s="17"/>
      <c r="Y68" s="17"/>
      <c r="Z68" s="17"/>
      <c r="AA68" s="17"/>
      <c r="AB68" s="17"/>
      <c r="AC68" s="17"/>
      <c r="AD68" s="17"/>
      <c r="AE68" s="17"/>
      <c r="AF68" s="17"/>
      <c r="AG68" s="17"/>
      <c r="AH68" s="17"/>
      <c r="AI68" s="17"/>
      <c r="AJ68" s="17"/>
      <c r="AK68" s="17"/>
      <c r="AL68" s="17"/>
      <c r="AM68" s="17"/>
      <c r="AN68" s="17"/>
    </row>
    <row r="69" spans="1:40">
      <c r="A69" s="19">
        <v>20.030000000000012</v>
      </c>
      <c r="B69" s="19">
        <v>9.420395974535495</v>
      </c>
      <c r="C69" s="918">
        <v>20.030000000000012</v>
      </c>
      <c r="D69" s="19">
        <v>9.420395974535495</v>
      </c>
      <c r="E69" s="134">
        <v>3.7984291089246862E-10</v>
      </c>
      <c r="F69" s="134">
        <v>5.0012490631989065E-2</v>
      </c>
      <c r="G69" s="134">
        <v>0.49962528103922038</v>
      </c>
      <c r="H69" s="134">
        <v>0.50037471896077956</v>
      </c>
      <c r="I69" s="136"/>
      <c r="J69" s="136"/>
      <c r="K69" s="136">
        <v>2.1706739670579962E-5</v>
      </c>
      <c r="L69" s="136">
        <v>1.868159592111035E-2</v>
      </c>
      <c r="M69" s="136"/>
      <c r="N69" s="136"/>
      <c r="O69" s="136"/>
      <c r="P69" s="136"/>
      <c r="Q69" s="136">
        <v>0.99999952641736534</v>
      </c>
      <c r="R69" s="136"/>
      <c r="S69" s="136"/>
      <c r="T69" s="136"/>
      <c r="U69" s="136"/>
      <c r="V69" s="136"/>
      <c r="W69" s="17"/>
      <c r="X69" s="17"/>
      <c r="Y69" s="17"/>
      <c r="Z69" s="17"/>
      <c r="AA69" s="17"/>
      <c r="AB69" s="17"/>
      <c r="AC69" s="17"/>
      <c r="AD69" s="17"/>
      <c r="AE69" s="17"/>
      <c r="AF69" s="17"/>
      <c r="AG69" s="17"/>
      <c r="AH69" s="17"/>
      <c r="AI69" s="17"/>
      <c r="AJ69" s="17"/>
      <c r="AK69" s="17"/>
      <c r="AL69" s="17"/>
      <c r="AM69" s="17"/>
      <c r="AN69" s="17"/>
    </row>
    <row r="70" spans="1:40">
      <c r="A70" s="19">
        <v>20.040000000000013</v>
      </c>
      <c r="B70" s="19">
        <v>9.7021594396792352</v>
      </c>
      <c r="C70" s="918">
        <v>20.040000000000013</v>
      </c>
      <c r="D70" s="19">
        <v>9.7021594396792352</v>
      </c>
      <c r="E70" s="134">
        <v>1.9853659092078828E-10</v>
      </c>
      <c r="F70" s="134">
        <v>5.0000000000021971E-2</v>
      </c>
      <c r="G70" s="134">
        <v>0.49950049950049935</v>
      </c>
      <c r="H70" s="134">
        <v>0.50049950049950065</v>
      </c>
      <c r="I70" s="136"/>
      <c r="J70" s="136"/>
      <c r="K70" s="136">
        <v>1.1345813314114336E-5</v>
      </c>
      <c r="L70" s="136">
        <v>9.8523655675628093E-3</v>
      </c>
      <c r="M70" s="136"/>
      <c r="N70" s="136"/>
      <c r="O70" s="136"/>
      <c r="P70" s="136"/>
      <c r="Q70" s="136">
        <v>0.99999909393564435</v>
      </c>
      <c r="R70" s="136"/>
      <c r="S70" s="136"/>
      <c r="T70" s="136"/>
      <c r="U70" s="136"/>
      <c r="V70" s="136"/>
      <c r="W70" s="17"/>
      <c r="X70" s="17"/>
      <c r="Y70" s="17"/>
      <c r="Z70" s="17"/>
      <c r="AA70" s="17"/>
      <c r="AB70" s="17"/>
      <c r="AC70" s="17"/>
      <c r="AD70" s="17"/>
      <c r="AE70" s="17"/>
      <c r="AF70" s="17"/>
      <c r="AG70" s="17"/>
      <c r="AH70" s="17"/>
      <c r="AI70" s="17"/>
      <c r="AJ70" s="17"/>
      <c r="AK70" s="17"/>
      <c r="AL70" s="17"/>
      <c r="AM70" s="17"/>
      <c r="AN70" s="17"/>
    </row>
    <row r="71" spans="1:40">
      <c r="A71" s="19">
        <v>20.060000000000013</v>
      </c>
      <c r="B71" s="19">
        <v>9.9977490934543312</v>
      </c>
      <c r="C71" s="918">
        <v>20.060000000000013</v>
      </c>
      <c r="D71" s="19">
        <v>9.9977490934543312</v>
      </c>
      <c r="E71" s="134">
        <v>1.0051963583383628E-10</v>
      </c>
      <c r="F71" s="134">
        <v>4.9975037443854273E-2</v>
      </c>
      <c r="G71" s="134">
        <v>0.49925112331502725</v>
      </c>
      <c r="H71" s="134">
        <v>0.5007488766849727</v>
      </c>
      <c r="I71" s="136"/>
      <c r="J71" s="136"/>
      <c r="K71" s="136">
        <v>5.7444494517776452E-6</v>
      </c>
      <c r="L71" s="136">
        <v>5.0126624706988403E-3</v>
      </c>
      <c r="M71" s="136"/>
      <c r="N71" s="136"/>
      <c r="O71" s="136"/>
      <c r="P71" s="136"/>
      <c r="Q71" s="136">
        <v>0.99999821043154502</v>
      </c>
      <c r="R71" s="136"/>
      <c r="S71" s="136"/>
      <c r="T71" s="136"/>
      <c r="U71" s="136"/>
      <c r="V71" s="136"/>
      <c r="W71" s="17"/>
      <c r="X71" s="17"/>
      <c r="Y71" s="17"/>
      <c r="Z71" s="17"/>
      <c r="AA71" s="17"/>
      <c r="AB71" s="17"/>
      <c r="AC71" s="17"/>
      <c r="AD71" s="17"/>
      <c r="AE71" s="17"/>
      <c r="AF71" s="17"/>
      <c r="AG71" s="17"/>
      <c r="AH71" s="17"/>
      <c r="AI71" s="17"/>
      <c r="AJ71" s="17"/>
      <c r="AK71" s="17"/>
      <c r="AL71" s="17"/>
      <c r="AM71" s="17"/>
      <c r="AN71" s="17"/>
    </row>
    <row r="72" spans="1:40">
      <c r="A72" s="19">
        <v>20.110000000000014</v>
      </c>
      <c r="B72" s="19">
        <v>10.347956786397845</v>
      </c>
      <c r="C72" s="918">
        <v>20.110000000000014</v>
      </c>
      <c r="D72" s="19">
        <v>10.347956786397845</v>
      </c>
      <c r="E72" s="134">
        <v>4.4879004366548672E-11</v>
      </c>
      <c r="F72" s="134">
        <v>4.9912739965046103E-2</v>
      </c>
      <c r="G72" s="134">
        <v>0.49862877088007962</v>
      </c>
      <c r="H72" s="134">
        <v>0.50137122911992038</v>
      </c>
      <c r="I72" s="136"/>
      <c r="J72" s="136"/>
      <c r="K72" s="136">
        <v>2.5647326424382271E-6</v>
      </c>
      <c r="L72" s="136">
        <v>2.2442305062188497E-3</v>
      </c>
      <c r="M72" s="136"/>
      <c r="N72" s="136"/>
      <c r="O72" s="136"/>
      <c r="P72" s="136"/>
      <c r="Q72" s="136">
        <v>0.99999599174774012</v>
      </c>
      <c r="R72" s="136"/>
      <c r="S72" s="136"/>
      <c r="T72" s="136"/>
      <c r="U72" s="136"/>
      <c r="V72" s="136"/>
      <c r="W72" s="17"/>
      <c r="X72" s="17"/>
      <c r="Y72" s="17"/>
      <c r="Z72" s="17"/>
      <c r="AA72" s="17"/>
      <c r="AB72" s="17"/>
      <c r="AC72" s="17"/>
      <c r="AD72" s="17"/>
      <c r="AE72" s="17"/>
      <c r="AF72" s="17"/>
      <c r="AG72" s="17"/>
      <c r="AH72" s="17"/>
      <c r="AI72" s="17"/>
      <c r="AJ72" s="17"/>
      <c r="AK72" s="17"/>
      <c r="AL72" s="17"/>
      <c r="AM72" s="17"/>
      <c r="AN72" s="17"/>
    </row>
    <row r="73" spans="1:40">
      <c r="A73" s="19">
        <v>20.210000000000015</v>
      </c>
      <c r="B73" s="19">
        <v>10.671109877061099</v>
      </c>
      <c r="C73" s="918">
        <v>20.210000000000015</v>
      </c>
      <c r="D73" s="19">
        <v>10.671109877061099</v>
      </c>
      <c r="E73" s="134">
        <v>2.1325053183089358E-11</v>
      </c>
      <c r="F73" s="134">
        <v>4.9788609799468239E-2</v>
      </c>
      <c r="G73" s="134">
        <v>0.49738870927629925</v>
      </c>
      <c r="H73" s="134">
        <v>0.50261129072370081</v>
      </c>
      <c r="I73" s="136"/>
      <c r="J73" s="136"/>
      <c r="K73" s="136">
        <v>1.218679748127259E-6</v>
      </c>
      <c r="L73" s="136">
        <v>1.0676433624310303E-3</v>
      </c>
      <c r="M73" s="136"/>
      <c r="N73" s="136"/>
      <c r="O73" s="136"/>
      <c r="P73" s="136"/>
      <c r="Q73" s="136">
        <v>0.99999156458967042</v>
      </c>
      <c r="R73" s="136"/>
      <c r="S73" s="136"/>
      <c r="T73" s="136"/>
      <c r="U73" s="136"/>
      <c r="V73" s="136"/>
      <c r="W73" s="17"/>
      <c r="X73" s="17"/>
      <c r="Y73" s="17"/>
      <c r="Z73" s="17"/>
      <c r="AA73" s="17"/>
      <c r="AB73" s="17"/>
      <c r="AC73" s="17"/>
      <c r="AD73" s="17"/>
      <c r="AE73" s="17"/>
      <c r="AF73" s="17"/>
      <c r="AG73" s="17"/>
      <c r="AH73" s="17"/>
      <c r="AI73" s="17"/>
      <c r="AJ73" s="17"/>
      <c r="AK73" s="17"/>
      <c r="AL73" s="17"/>
      <c r="AM73" s="17"/>
      <c r="AN73" s="17"/>
    </row>
    <row r="74" spans="1:40">
      <c r="A74" s="19">
        <v>20.410000000000014</v>
      </c>
      <c r="B74" s="19">
        <v>10.981203193310648</v>
      </c>
      <c r="C74" s="918">
        <v>20.410000000000014</v>
      </c>
      <c r="D74" s="19">
        <v>10.981203193310648</v>
      </c>
      <c r="E74" s="134">
        <v>1.044231540416706E-11</v>
      </c>
      <c r="F74" s="134">
        <v>4.954219252500619E-2</v>
      </c>
      <c r="G74" s="134">
        <v>0.49492699826775538</v>
      </c>
      <c r="H74" s="134">
        <v>0.50507300173224468</v>
      </c>
      <c r="I74" s="136"/>
      <c r="J74" s="136"/>
      <c r="K74" s="136">
        <v>5.9675566032971587E-7</v>
      </c>
      <c r="L74" s="136">
        <v>5.2308175889575429E-4</v>
      </c>
      <c r="M74" s="136"/>
      <c r="N74" s="136"/>
      <c r="O74" s="136"/>
      <c r="P74" s="136"/>
      <c r="Q74" s="136">
        <v>0.99998277355299781</v>
      </c>
      <c r="R74" s="136"/>
      <c r="S74" s="136"/>
      <c r="T74" s="136"/>
      <c r="U74" s="136"/>
      <c r="V74" s="136"/>
      <c r="W74" s="17"/>
      <c r="X74" s="17"/>
      <c r="Y74" s="17"/>
      <c r="Z74" s="17"/>
      <c r="AA74" s="17"/>
      <c r="AB74" s="17"/>
      <c r="AC74" s="17"/>
      <c r="AD74" s="17"/>
      <c r="AE74" s="17"/>
      <c r="AF74" s="17"/>
      <c r="AG74" s="17"/>
      <c r="AH74" s="17"/>
      <c r="AI74" s="17"/>
      <c r="AJ74" s="17"/>
      <c r="AK74" s="17"/>
      <c r="AL74" s="17"/>
      <c r="AM74" s="17"/>
      <c r="AN74" s="17"/>
    </row>
    <row r="75" spans="1:40">
      <c r="A75" s="19">
        <v>20.910000000000014</v>
      </c>
      <c r="B75" s="19">
        <v>11.334167880471796</v>
      </c>
      <c r="C75" s="918">
        <v>20.910000000000014</v>
      </c>
      <c r="D75" s="19">
        <v>11.334167880471796</v>
      </c>
      <c r="E75" s="134">
        <v>4.6326780474667635E-12</v>
      </c>
      <c r="F75" s="134">
        <v>4.89366903004059E-2</v>
      </c>
      <c r="G75" s="134">
        <v>0.48887802493277915</v>
      </c>
      <c r="H75" s="134">
        <v>0.5111219750672209</v>
      </c>
      <c r="I75" s="136"/>
      <c r="J75" s="136"/>
      <c r="K75" s="136">
        <v>2.6474758366316677E-7</v>
      </c>
      <c r="L75" s="136">
        <v>2.3213001291864384E-4</v>
      </c>
      <c r="M75" s="136"/>
      <c r="N75" s="136"/>
      <c r="O75" s="136"/>
      <c r="P75" s="136"/>
      <c r="Q75" s="136">
        <v>0.99996117146395136</v>
      </c>
      <c r="R75" s="136"/>
      <c r="S75" s="136"/>
      <c r="T75" s="136"/>
      <c r="U75" s="136"/>
      <c r="V75" s="136"/>
      <c r="W75" s="17"/>
      <c r="X75" s="17"/>
      <c r="Y75" s="17"/>
      <c r="Z75" s="17"/>
      <c r="AA75" s="17"/>
      <c r="AB75" s="17"/>
      <c r="AC75" s="17"/>
      <c r="AD75" s="17"/>
      <c r="AE75" s="17"/>
      <c r="AF75" s="17"/>
      <c r="AG75" s="17"/>
      <c r="AH75" s="17"/>
      <c r="AI75" s="17"/>
      <c r="AJ75" s="17"/>
      <c r="AK75" s="17"/>
      <c r="AL75" s="17"/>
      <c r="AM75" s="17"/>
      <c r="AN75" s="17"/>
    </row>
    <row r="76" spans="1:40">
      <c r="A76" s="19">
        <v>21.410000000000014</v>
      </c>
      <c r="B76" s="19">
        <v>11.522510181646794</v>
      </c>
      <c r="C76" s="918">
        <v>21.410000000000014</v>
      </c>
      <c r="D76" s="19">
        <v>11.522510181646794</v>
      </c>
      <c r="E76" s="134">
        <v>3.0025470279989311E-12</v>
      </c>
      <c r="F76" s="134">
        <v>4.8345810195814916E-2</v>
      </c>
      <c r="G76" s="134">
        <v>0.48297512678097065</v>
      </c>
      <c r="H76" s="134">
        <v>0.51702487321902946</v>
      </c>
      <c r="I76" s="136"/>
      <c r="J76" s="136"/>
      <c r="K76" s="136">
        <v>1.7158911895155093E-7</v>
      </c>
      <c r="L76" s="136">
        <v>1.5046118208148166E-4</v>
      </c>
      <c r="M76" s="136"/>
      <c r="N76" s="136"/>
      <c r="O76" s="136"/>
      <c r="P76" s="136"/>
      <c r="Q76" s="136">
        <v>0.99994009209082058</v>
      </c>
      <c r="R76" s="136"/>
      <c r="S76" s="136"/>
      <c r="T76" s="136"/>
      <c r="U76" s="136"/>
      <c r="V76" s="136"/>
      <c r="W76" s="17"/>
      <c r="X76" s="17"/>
      <c r="Y76" s="17"/>
      <c r="Z76" s="17"/>
      <c r="AA76" s="17"/>
      <c r="AB76" s="17"/>
      <c r="AC76" s="17"/>
      <c r="AD76" s="17"/>
      <c r="AE76" s="17"/>
      <c r="AF76" s="17"/>
      <c r="AG76" s="17"/>
      <c r="AH76" s="17"/>
      <c r="AI76" s="17"/>
      <c r="AJ76" s="17"/>
      <c r="AK76" s="17"/>
      <c r="AL76" s="17"/>
      <c r="AM76" s="17"/>
      <c r="AN76" s="17"/>
    </row>
    <row r="77" spans="1:40">
      <c r="A77" s="19">
        <v>21.910000000000014</v>
      </c>
      <c r="B77" s="19">
        <v>11.65073959948495</v>
      </c>
      <c r="C77" s="918">
        <v>21.910000000000014</v>
      </c>
      <c r="D77" s="19">
        <v>11.65073959948495</v>
      </c>
      <c r="E77" s="134">
        <v>2.2349118616824213E-12</v>
      </c>
      <c r="F77" s="134">
        <v>4.7769028866014605E-2</v>
      </c>
      <c r="G77" s="134">
        <v>0.47721307563827237</v>
      </c>
      <c r="H77" s="134">
        <v>0.52278692436172769</v>
      </c>
      <c r="I77" s="136"/>
      <c r="J77" s="136"/>
      <c r="K77" s="136">
        <v>1.2772042193015224E-7</v>
      </c>
      <c r="L77" s="136">
        <v>1.1199838418049014E-4</v>
      </c>
      <c r="M77" s="136"/>
      <c r="N77" s="136"/>
      <c r="O77" s="136"/>
      <c r="P77" s="136"/>
      <c r="Q77" s="136">
        <v>0.9999195169094045</v>
      </c>
      <c r="R77" s="136"/>
      <c r="S77" s="136"/>
      <c r="T77" s="136"/>
      <c r="U77" s="136"/>
      <c r="V77" s="136"/>
      <c r="W77" s="17"/>
      <c r="X77" s="17"/>
      <c r="Y77" s="17"/>
      <c r="Z77" s="17"/>
      <c r="AA77" s="17"/>
      <c r="AB77" s="17"/>
      <c r="AC77" s="17"/>
      <c r="AD77" s="17"/>
      <c r="AE77" s="17"/>
      <c r="AF77" s="17"/>
      <c r="AG77" s="17"/>
      <c r="AH77" s="17"/>
      <c r="AI77" s="17"/>
      <c r="AJ77" s="17"/>
      <c r="AK77" s="17"/>
      <c r="AL77" s="17"/>
      <c r="AM77" s="17"/>
      <c r="AN77" s="17"/>
    </row>
    <row r="78" spans="1:40">
      <c r="A78" s="19">
        <v>22.910000000000014</v>
      </c>
      <c r="B78" s="19">
        <v>11.824925706256181</v>
      </c>
      <c r="C78" s="918">
        <v>22.910000000000014</v>
      </c>
      <c r="D78" s="19">
        <v>11.824925706256181</v>
      </c>
      <c r="E78" s="134">
        <v>1.4964916355317124E-12</v>
      </c>
      <c r="F78" s="134">
        <v>4.6655791184622215E-2</v>
      </c>
      <c r="G78" s="134">
        <v>0.46609182008855732</v>
      </c>
      <c r="H78" s="134">
        <v>0.53390817991144279</v>
      </c>
      <c r="I78" s="136"/>
      <c r="J78" s="136"/>
      <c r="K78" s="136">
        <v>8.5521292560861439E-8</v>
      </c>
      <c r="L78" s="136">
        <v>7.4996625303331275E-5</v>
      </c>
      <c r="M78" s="136"/>
      <c r="N78" s="136"/>
      <c r="O78" s="136"/>
      <c r="P78" s="136"/>
      <c r="Q78" s="136">
        <v>0.99987980856922398</v>
      </c>
      <c r="R78" s="136"/>
      <c r="S78" s="136"/>
      <c r="T78" s="136"/>
      <c r="U78" s="136"/>
      <c r="V78" s="136"/>
      <c r="W78" s="17"/>
      <c r="X78" s="17"/>
      <c r="Y78" s="17"/>
      <c r="Z78" s="17"/>
      <c r="AA78" s="17"/>
      <c r="AB78" s="17"/>
      <c r="AC78" s="17"/>
      <c r="AD78" s="17"/>
      <c r="AE78" s="17"/>
      <c r="AF78" s="17"/>
      <c r="AG78" s="17"/>
      <c r="AH78" s="17"/>
      <c r="AI78" s="17"/>
      <c r="AJ78" s="17"/>
      <c r="AK78" s="17"/>
      <c r="AL78" s="17"/>
      <c r="AM78" s="17"/>
      <c r="AN78" s="17"/>
    </row>
    <row r="79" spans="1:40">
      <c r="A79" s="19">
        <v>23.910000000000014</v>
      </c>
      <c r="B79" s="19">
        <v>11.943964170757681</v>
      </c>
      <c r="C79" s="918">
        <v>23.910000000000014</v>
      </c>
      <c r="D79" s="19">
        <v>11.943964170757681</v>
      </c>
      <c r="E79" s="134">
        <v>1.1377211438087334E-12</v>
      </c>
      <c r="F79" s="134">
        <v>4.5593258928847268E-2</v>
      </c>
      <c r="G79" s="134">
        <v>0.45547711227510806</v>
      </c>
      <c r="H79" s="134">
        <v>0.54452288772489199</v>
      </c>
      <c r="I79" s="136"/>
      <c r="J79" s="136"/>
      <c r="K79" s="136">
        <v>6.5018328520559654E-8</v>
      </c>
      <c r="L79" s="136">
        <v>5.701787998737637E-5</v>
      </c>
      <c r="M79" s="136"/>
      <c r="N79" s="136"/>
      <c r="O79" s="136"/>
      <c r="P79" s="136"/>
      <c r="Q79" s="136">
        <v>0.9998419132360189</v>
      </c>
      <c r="R79" s="136"/>
      <c r="S79" s="136"/>
      <c r="T79" s="136"/>
      <c r="U79" s="136"/>
      <c r="V79" s="136"/>
      <c r="W79" s="17"/>
      <c r="X79" s="17"/>
      <c r="Y79" s="17"/>
      <c r="Z79" s="17"/>
      <c r="AA79" s="17"/>
      <c r="AB79" s="17"/>
      <c r="AC79" s="17"/>
      <c r="AD79" s="17"/>
      <c r="AE79" s="17"/>
      <c r="AF79" s="17"/>
      <c r="AG79" s="17"/>
      <c r="AH79" s="17"/>
      <c r="AI79" s="17"/>
      <c r="AJ79" s="17"/>
      <c r="AK79" s="17"/>
      <c r="AL79" s="17"/>
      <c r="AM79" s="17"/>
      <c r="AN79" s="17"/>
    </row>
    <row r="80" spans="1:40">
      <c r="A80" s="19">
        <v>25.910000000000014</v>
      </c>
      <c r="B80" s="19">
        <v>12.104770549107343</v>
      </c>
      <c r="C80" s="918">
        <v>25.910000000000014</v>
      </c>
      <c r="D80" s="19">
        <v>12.104770549107343</v>
      </c>
      <c r="E80" s="134">
        <v>7.8565060792569933E-13</v>
      </c>
      <c r="F80" s="134">
        <v>4.3607057262516118E-2</v>
      </c>
      <c r="G80" s="134">
        <v>0.43563493792202124</v>
      </c>
      <c r="H80" s="134">
        <v>0.56436506207797887</v>
      </c>
      <c r="I80" s="136"/>
      <c r="J80" s="136"/>
      <c r="K80" s="136">
        <v>4.4898251767786113E-8</v>
      </c>
      <c r="L80" s="136">
        <v>3.9374255044141682E-5</v>
      </c>
      <c r="M80" s="136"/>
      <c r="N80" s="136"/>
      <c r="O80" s="136"/>
      <c r="P80" s="136"/>
      <c r="Q80" s="136">
        <v>0.99977108664928849</v>
      </c>
      <c r="R80" s="136"/>
      <c r="S80" s="136"/>
      <c r="T80" s="136"/>
      <c r="U80" s="136"/>
      <c r="V80" s="136"/>
      <c r="W80" s="17"/>
      <c r="X80" s="17"/>
      <c r="Y80" s="17"/>
      <c r="Z80" s="17"/>
      <c r="AA80" s="17"/>
      <c r="AB80" s="17"/>
      <c r="AC80" s="17"/>
      <c r="AD80" s="17"/>
      <c r="AE80" s="17"/>
      <c r="AF80" s="17"/>
      <c r="AG80" s="17"/>
      <c r="AH80" s="17"/>
      <c r="AI80" s="17"/>
      <c r="AJ80" s="17"/>
      <c r="AK80" s="17"/>
      <c r="AL80" s="17"/>
      <c r="AM80" s="17"/>
      <c r="AN80" s="17"/>
    </row>
    <row r="81" spans="1:40">
      <c r="A81" s="19">
        <v>27.910000000000014</v>
      </c>
      <c r="B81" s="19">
        <v>12.21319927694276</v>
      </c>
      <c r="C81" s="918">
        <v>27.910000000000014</v>
      </c>
      <c r="D81" s="19">
        <v>12.21319927694276</v>
      </c>
      <c r="E81" s="134">
        <v>6.1206947790458902E-13</v>
      </c>
      <c r="F81" s="134">
        <v>4.1786683339230156E-2</v>
      </c>
      <c r="G81" s="134">
        <v>0.41744938426215811</v>
      </c>
      <c r="H81" s="134">
        <v>0.58255061573784195</v>
      </c>
      <c r="I81" s="136"/>
      <c r="J81" s="136"/>
      <c r="K81" s="136">
        <v>3.4978461817140012E-8</v>
      </c>
      <c r="L81" s="136">
        <v>3.0675199812823656E-5</v>
      </c>
      <c r="M81" s="136"/>
      <c r="N81" s="136"/>
      <c r="O81" s="136"/>
      <c r="P81" s="136"/>
      <c r="Q81" s="136">
        <v>0.99970618656059063</v>
      </c>
      <c r="R81" s="136"/>
      <c r="S81" s="136"/>
      <c r="T81" s="136"/>
      <c r="U81" s="136"/>
      <c r="V81" s="136"/>
      <c r="W81" s="17"/>
      <c r="X81" s="17"/>
      <c r="Y81" s="17"/>
      <c r="Z81" s="17"/>
      <c r="AA81" s="17"/>
      <c r="AB81" s="17"/>
      <c r="AC81" s="17"/>
      <c r="AD81" s="17"/>
      <c r="AE81" s="17"/>
      <c r="AF81" s="17"/>
      <c r="AG81" s="17"/>
      <c r="AH81" s="17"/>
      <c r="AI81" s="17"/>
      <c r="AJ81" s="17"/>
      <c r="AK81" s="17"/>
      <c r="AL81" s="17"/>
      <c r="AM81" s="17"/>
      <c r="AN81" s="17"/>
    </row>
    <row r="82" spans="1:40">
      <c r="A82" s="19"/>
      <c r="B82" s="19"/>
      <c r="C82" s="918"/>
      <c r="D82" s="19"/>
      <c r="E82" s="134"/>
      <c r="F82" s="134"/>
      <c r="G82" s="134"/>
      <c r="H82" s="134"/>
      <c r="I82" s="136"/>
      <c r="J82" s="136"/>
      <c r="K82" s="136"/>
      <c r="L82" s="136"/>
      <c r="M82" s="136"/>
      <c r="N82" s="136"/>
      <c r="O82" s="136"/>
      <c r="P82" s="136"/>
      <c r="Q82" s="136"/>
      <c r="R82" s="136"/>
      <c r="S82" s="136"/>
      <c r="T82" s="136"/>
      <c r="U82" s="136"/>
      <c r="V82" s="136"/>
      <c r="W82" s="17"/>
      <c r="X82" s="17"/>
      <c r="Y82" s="17"/>
      <c r="Z82" s="17"/>
      <c r="AA82" s="17"/>
      <c r="AB82" s="17"/>
      <c r="AC82" s="17"/>
      <c r="AD82" s="17"/>
      <c r="AE82" s="17"/>
      <c r="AF82" s="17"/>
      <c r="AG82" s="17"/>
      <c r="AH82" s="17"/>
      <c r="AI82" s="17"/>
      <c r="AJ82" s="17"/>
      <c r="AK82" s="17"/>
      <c r="AL82" s="17"/>
      <c r="AM82" s="17"/>
      <c r="AN82" s="17"/>
    </row>
    <row r="83" spans="1:40">
      <c r="A83" s="19"/>
      <c r="B83" s="19"/>
      <c r="C83" s="918"/>
      <c r="D83" s="19"/>
      <c r="E83" s="134"/>
      <c r="F83" s="134"/>
      <c r="G83" s="134"/>
      <c r="H83" s="134"/>
      <c r="I83" s="136"/>
      <c r="J83" s="136"/>
      <c r="K83" s="136"/>
      <c r="L83" s="136"/>
      <c r="M83" s="136"/>
      <c r="N83" s="136"/>
      <c r="O83" s="136"/>
      <c r="P83" s="136"/>
      <c r="Q83" s="136"/>
      <c r="R83" s="136"/>
      <c r="S83" s="136"/>
      <c r="T83" s="136"/>
      <c r="U83" s="136"/>
      <c r="V83" s="136"/>
      <c r="W83" s="17"/>
      <c r="X83" s="17"/>
      <c r="Y83" s="17"/>
      <c r="Z83" s="17"/>
      <c r="AA83" s="17"/>
      <c r="AB83" s="17"/>
      <c r="AC83" s="17"/>
      <c r="AD83" s="17"/>
      <c r="AE83" s="17"/>
      <c r="AF83" s="17"/>
      <c r="AG83" s="17"/>
      <c r="AH83" s="17"/>
      <c r="AI83" s="17"/>
      <c r="AJ83" s="17"/>
      <c r="AK83" s="17"/>
      <c r="AL83" s="17"/>
      <c r="AM83" s="17"/>
      <c r="AN83" s="17"/>
    </row>
    <row r="84" spans="1:40">
      <c r="A84" s="19"/>
      <c r="B84" s="19"/>
      <c r="C84" s="918"/>
      <c r="D84" s="19"/>
      <c r="E84" s="134"/>
      <c r="F84" s="134"/>
      <c r="G84" s="134"/>
      <c r="H84" s="134"/>
      <c r="I84" s="136"/>
      <c r="J84" s="136"/>
      <c r="K84" s="136"/>
      <c r="L84" s="136"/>
      <c r="M84" s="136"/>
      <c r="N84" s="136"/>
      <c r="O84" s="136"/>
      <c r="P84" s="136"/>
      <c r="Q84" s="136"/>
      <c r="R84" s="136"/>
      <c r="S84" s="136"/>
      <c r="T84" s="136"/>
      <c r="U84" s="136"/>
      <c r="V84" s="136"/>
      <c r="W84" s="17"/>
      <c r="X84" s="17"/>
      <c r="Y84" s="17"/>
      <c r="Z84" s="17"/>
      <c r="AA84" s="17"/>
      <c r="AB84" s="17"/>
      <c r="AC84" s="17"/>
      <c r="AD84" s="17"/>
      <c r="AE84" s="17"/>
      <c r="AF84" s="17"/>
      <c r="AG84" s="17"/>
      <c r="AH84" s="17"/>
      <c r="AI84" s="17"/>
      <c r="AJ84" s="17"/>
      <c r="AK84" s="17"/>
      <c r="AL84" s="17"/>
      <c r="AM84" s="17"/>
      <c r="AN84" s="17"/>
    </row>
    <row r="85" spans="1:40">
      <c r="A85" s="19"/>
      <c r="B85" s="19"/>
      <c r="C85" s="918"/>
      <c r="D85" s="19"/>
      <c r="E85" s="134"/>
      <c r="F85" s="134"/>
      <c r="G85" s="134"/>
      <c r="H85" s="134"/>
      <c r="I85" s="136"/>
      <c r="J85" s="136"/>
      <c r="K85" s="136"/>
      <c r="L85" s="136"/>
      <c r="M85" s="136"/>
      <c r="N85" s="136"/>
      <c r="O85" s="136"/>
      <c r="P85" s="136"/>
      <c r="Q85" s="136"/>
      <c r="R85" s="136"/>
      <c r="S85" s="136"/>
      <c r="T85" s="136"/>
      <c r="U85" s="136"/>
      <c r="V85" s="136"/>
      <c r="W85" s="17"/>
      <c r="X85" s="17"/>
      <c r="Y85" s="17"/>
      <c r="Z85" s="17"/>
      <c r="AA85" s="17"/>
      <c r="AB85" s="17"/>
      <c r="AC85" s="17"/>
      <c r="AD85" s="17"/>
      <c r="AE85" s="17"/>
      <c r="AF85" s="17"/>
      <c r="AG85" s="17"/>
      <c r="AH85" s="17"/>
      <c r="AI85" s="17"/>
      <c r="AJ85" s="17"/>
      <c r="AK85" s="17"/>
      <c r="AL85" s="17"/>
      <c r="AM85" s="17"/>
      <c r="AN85" s="17"/>
    </row>
    <row r="86" spans="1:40">
      <c r="A86" s="19"/>
      <c r="B86" s="19"/>
      <c r="C86" s="918"/>
      <c r="D86" s="19"/>
      <c r="E86" s="134"/>
      <c r="F86" s="134"/>
      <c r="G86" s="134"/>
      <c r="H86" s="134"/>
      <c r="I86" s="136"/>
      <c r="J86" s="136"/>
      <c r="K86" s="136"/>
      <c r="L86" s="136"/>
      <c r="M86" s="136"/>
      <c r="N86" s="136"/>
      <c r="O86" s="136"/>
      <c r="P86" s="136"/>
      <c r="Q86" s="136"/>
      <c r="R86" s="136"/>
      <c r="S86" s="136"/>
      <c r="T86" s="136"/>
      <c r="U86" s="136"/>
      <c r="V86" s="136"/>
      <c r="W86" s="17"/>
      <c r="X86" s="17"/>
      <c r="Y86" s="17"/>
      <c r="Z86" s="17"/>
      <c r="AA86" s="17"/>
      <c r="AB86" s="17"/>
      <c r="AC86" s="17"/>
      <c r="AD86" s="17"/>
      <c r="AE86" s="17"/>
      <c r="AF86" s="17"/>
      <c r="AG86" s="17"/>
      <c r="AH86" s="17"/>
      <c r="AI86" s="17"/>
      <c r="AJ86" s="17"/>
      <c r="AK86" s="17"/>
      <c r="AL86" s="17"/>
      <c r="AM86" s="17"/>
      <c r="AN86" s="17"/>
    </row>
    <row r="87" spans="1:40">
      <c r="A87" s="19"/>
      <c r="B87" s="19"/>
      <c r="C87" s="918"/>
      <c r="D87" s="19"/>
      <c r="E87" s="134"/>
      <c r="F87" s="134"/>
      <c r="G87" s="134"/>
      <c r="H87" s="134"/>
      <c r="I87" s="136"/>
      <c r="J87" s="136"/>
      <c r="K87" s="136"/>
      <c r="L87" s="136"/>
      <c r="M87" s="136"/>
      <c r="N87" s="136"/>
      <c r="O87" s="136"/>
      <c r="P87" s="136"/>
      <c r="Q87" s="136"/>
      <c r="R87" s="136"/>
      <c r="S87" s="136"/>
      <c r="T87" s="136"/>
      <c r="U87" s="136"/>
      <c r="V87" s="136"/>
      <c r="W87" s="17"/>
      <c r="X87" s="17"/>
      <c r="Y87" s="17"/>
      <c r="Z87" s="17"/>
      <c r="AA87" s="17"/>
      <c r="AB87" s="17"/>
      <c r="AC87" s="17"/>
      <c r="AD87" s="17"/>
      <c r="AE87" s="17"/>
      <c r="AF87" s="17"/>
      <c r="AG87" s="17"/>
      <c r="AH87" s="17"/>
      <c r="AI87" s="17"/>
      <c r="AJ87" s="17"/>
      <c r="AK87" s="17"/>
      <c r="AL87" s="17"/>
      <c r="AM87" s="17"/>
      <c r="AN87" s="17"/>
    </row>
    <row r="88" spans="1:40">
      <c r="A88" s="19"/>
      <c r="B88" s="19"/>
      <c r="C88" s="918"/>
      <c r="D88" s="19"/>
      <c r="E88" s="134"/>
      <c r="F88" s="134"/>
      <c r="G88" s="134"/>
      <c r="H88" s="134"/>
      <c r="I88" s="136"/>
      <c r="J88" s="136"/>
      <c r="K88" s="136"/>
      <c r="L88" s="136"/>
      <c r="M88" s="136"/>
      <c r="N88" s="136"/>
      <c r="O88" s="136"/>
      <c r="P88" s="136"/>
      <c r="Q88" s="136"/>
      <c r="R88" s="136"/>
      <c r="S88" s="136"/>
      <c r="T88" s="136"/>
      <c r="U88" s="136"/>
      <c r="V88" s="136"/>
      <c r="W88" s="17"/>
      <c r="X88" s="17"/>
      <c r="Y88" s="17"/>
      <c r="Z88" s="17"/>
      <c r="AA88" s="17"/>
      <c r="AB88" s="17"/>
      <c r="AC88" s="17"/>
      <c r="AD88" s="17"/>
      <c r="AE88" s="17"/>
      <c r="AF88" s="17"/>
      <c r="AG88" s="17"/>
      <c r="AH88" s="17"/>
      <c r="AI88" s="17"/>
      <c r="AJ88" s="17"/>
      <c r="AK88" s="17"/>
      <c r="AL88" s="17"/>
      <c r="AM88" s="17"/>
      <c r="AN88" s="17"/>
    </row>
    <row r="89" spans="1:40">
      <c r="A89" s="19"/>
      <c r="B89" s="19"/>
      <c r="C89" s="918"/>
      <c r="D89" s="19"/>
      <c r="E89" s="134"/>
      <c r="F89" s="134"/>
      <c r="G89" s="134"/>
      <c r="H89" s="134"/>
      <c r="I89" s="136"/>
      <c r="J89" s="136"/>
      <c r="K89" s="136"/>
      <c r="L89" s="136"/>
      <c r="M89" s="136"/>
      <c r="N89" s="136"/>
      <c r="O89" s="136"/>
      <c r="P89" s="136"/>
      <c r="Q89" s="136"/>
      <c r="R89" s="136"/>
      <c r="S89" s="136"/>
      <c r="T89" s="136"/>
      <c r="U89" s="136"/>
      <c r="V89" s="136"/>
      <c r="W89" s="17"/>
      <c r="X89" s="17"/>
      <c r="Y89" s="17"/>
      <c r="Z89" s="17"/>
      <c r="AA89" s="17"/>
      <c r="AB89" s="17"/>
      <c r="AC89" s="17"/>
      <c r="AD89" s="17"/>
      <c r="AE89" s="17"/>
      <c r="AF89" s="17"/>
      <c r="AG89" s="17"/>
      <c r="AH89" s="17"/>
      <c r="AI89" s="17"/>
      <c r="AJ89" s="17"/>
      <c r="AK89" s="17"/>
      <c r="AL89" s="17"/>
      <c r="AM89" s="17"/>
      <c r="AN89" s="17"/>
    </row>
    <row r="90" spans="1:40">
      <c r="A90" s="19"/>
      <c r="B90" s="19"/>
      <c r="C90" s="918"/>
      <c r="D90" s="19"/>
      <c r="E90" s="134"/>
      <c r="F90" s="134"/>
      <c r="G90" s="134"/>
      <c r="H90" s="134"/>
      <c r="I90" s="136"/>
      <c r="J90" s="136"/>
      <c r="K90" s="136"/>
      <c r="L90" s="136"/>
      <c r="M90" s="136"/>
      <c r="N90" s="136"/>
      <c r="O90" s="136"/>
      <c r="P90" s="136"/>
      <c r="Q90" s="136"/>
      <c r="R90" s="136"/>
      <c r="S90" s="136"/>
      <c r="T90" s="136"/>
      <c r="U90" s="136"/>
      <c r="V90" s="136"/>
      <c r="W90" s="17"/>
      <c r="X90" s="17"/>
      <c r="Y90" s="17"/>
      <c r="Z90" s="17"/>
      <c r="AA90" s="17"/>
      <c r="AB90" s="17"/>
      <c r="AC90" s="17"/>
      <c r="AD90" s="17"/>
      <c r="AE90" s="17"/>
      <c r="AF90" s="17"/>
      <c r="AG90" s="17"/>
      <c r="AH90" s="17"/>
      <c r="AI90" s="17"/>
      <c r="AJ90" s="17"/>
      <c r="AK90" s="17"/>
      <c r="AL90" s="17"/>
      <c r="AM90" s="17"/>
      <c r="AN90" s="17"/>
    </row>
    <row r="91" spans="1:40">
      <c r="A91" s="19"/>
      <c r="B91" s="19"/>
      <c r="C91" s="918"/>
      <c r="D91" s="19"/>
      <c r="E91" s="134"/>
      <c r="F91" s="134"/>
      <c r="G91" s="134"/>
      <c r="H91" s="134"/>
      <c r="I91" s="136"/>
      <c r="J91" s="136"/>
      <c r="K91" s="136"/>
      <c r="L91" s="136"/>
      <c r="M91" s="136"/>
      <c r="N91" s="136"/>
      <c r="O91" s="136"/>
      <c r="P91" s="136"/>
      <c r="Q91" s="136"/>
      <c r="R91" s="136"/>
      <c r="S91" s="136"/>
      <c r="T91" s="136"/>
      <c r="U91" s="136"/>
      <c r="V91" s="136"/>
      <c r="W91" s="17"/>
      <c r="X91" s="17"/>
      <c r="Y91" s="17"/>
      <c r="Z91" s="17"/>
      <c r="AA91" s="17"/>
      <c r="AB91" s="17"/>
      <c r="AC91" s="17"/>
      <c r="AD91" s="17"/>
      <c r="AE91" s="17"/>
      <c r="AF91" s="17"/>
      <c r="AG91" s="17"/>
      <c r="AH91" s="17"/>
      <c r="AI91" s="17"/>
      <c r="AJ91" s="17"/>
      <c r="AK91" s="17"/>
      <c r="AL91" s="17"/>
      <c r="AM91" s="17"/>
      <c r="AN91" s="17"/>
    </row>
    <row r="92" spans="1:40">
      <c r="A92" s="19"/>
      <c r="B92" s="19"/>
      <c r="C92" s="918"/>
      <c r="D92" s="19"/>
      <c r="E92" s="134"/>
      <c r="F92" s="134"/>
      <c r="G92" s="134"/>
      <c r="H92" s="134"/>
      <c r="I92" s="136"/>
      <c r="J92" s="136"/>
      <c r="K92" s="136"/>
      <c r="L92" s="136"/>
      <c r="M92" s="136"/>
      <c r="N92" s="136"/>
      <c r="O92" s="136"/>
      <c r="P92" s="136"/>
      <c r="Q92" s="136"/>
      <c r="R92" s="136"/>
      <c r="S92" s="136"/>
      <c r="T92" s="136"/>
      <c r="U92" s="136"/>
      <c r="V92" s="136"/>
      <c r="W92" s="17"/>
      <c r="X92" s="17"/>
      <c r="Y92" s="17"/>
      <c r="Z92" s="17"/>
      <c r="AA92" s="17"/>
      <c r="AB92" s="17"/>
      <c r="AC92" s="17"/>
      <c r="AD92" s="17"/>
      <c r="AE92" s="17"/>
      <c r="AF92" s="17"/>
      <c r="AG92" s="17"/>
      <c r="AH92" s="17"/>
      <c r="AI92" s="17"/>
      <c r="AJ92" s="17"/>
      <c r="AK92" s="17"/>
      <c r="AL92" s="17"/>
      <c r="AM92" s="17"/>
      <c r="AN92" s="17"/>
    </row>
    <row r="93" spans="1:40">
      <c r="A93" s="19"/>
      <c r="B93" s="19"/>
      <c r="C93" s="918"/>
      <c r="D93" s="19"/>
      <c r="E93" s="134"/>
      <c r="F93" s="134"/>
      <c r="G93" s="134"/>
      <c r="H93" s="134"/>
      <c r="I93" s="136"/>
      <c r="J93" s="136"/>
      <c r="K93" s="136"/>
      <c r="L93" s="136"/>
      <c r="M93" s="136"/>
      <c r="N93" s="136"/>
      <c r="O93" s="136"/>
      <c r="P93" s="136"/>
      <c r="Q93" s="136"/>
      <c r="R93" s="136"/>
      <c r="S93" s="136"/>
      <c r="T93" s="136"/>
      <c r="U93" s="136"/>
      <c r="V93" s="136"/>
      <c r="W93" s="17"/>
      <c r="X93" s="17"/>
      <c r="Y93" s="17"/>
      <c r="Z93" s="17"/>
      <c r="AA93" s="17"/>
      <c r="AB93" s="17"/>
      <c r="AC93" s="17"/>
      <c r="AD93" s="17"/>
      <c r="AE93" s="17"/>
      <c r="AF93" s="17"/>
      <c r="AG93" s="17"/>
      <c r="AH93" s="17"/>
      <c r="AI93" s="17"/>
      <c r="AJ93" s="17"/>
      <c r="AK93" s="17"/>
      <c r="AL93" s="17"/>
      <c r="AM93" s="17"/>
      <c r="AN93" s="17"/>
    </row>
    <row r="94" spans="1:40">
      <c r="A94" s="19"/>
      <c r="B94" s="19"/>
      <c r="C94" s="918"/>
      <c r="D94" s="19"/>
      <c r="E94" s="134"/>
      <c r="F94" s="134"/>
      <c r="G94" s="134"/>
      <c r="H94" s="134"/>
      <c r="I94" s="136"/>
      <c r="J94" s="136"/>
      <c r="K94" s="136"/>
      <c r="L94" s="136"/>
      <c r="M94" s="136"/>
      <c r="N94" s="136"/>
      <c r="O94" s="136"/>
      <c r="P94" s="136"/>
      <c r="Q94" s="136"/>
      <c r="R94" s="136"/>
      <c r="S94" s="136"/>
      <c r="T94" s="136"/>
      <c r="U94" s="136"/>
      <c r="V94" s="136"/>
      <c r="W94" s="17"/>
      <c r="X94" s="17"/>
      <c r="Y94" s="17"/>
      <c r="Z94" s="17"/>
      <c r="AA94" s="17"/>
      <c r="AB94" s="17"/>
      <c r="AC94" s="17"/>
      <c r="AD94" s="17"/>
      <c r="AE94" s="17"/>
      <c r="AF94" s="17"/>
      <c r="AG94" s="17"/>
      <c r="AH94" s="17"/>
      <c r="AI94" s="17"/>
      <c r="AJ94" s="17"/>
      <c r="AK94" s="17"/>
      <c r="AL94" s="17"/>
      <c r="AM94" s="17"/>
      <c r="AN94" s="17"/>
    </row>
    <row r="95" spans="1:40">
      <c r="A95" s="19"/>
      <c r="B95" s="19"/>
      <c r="C95" s="918"/>
      <c r="D95" s="19"/>
      <c r="E95" s="134"/>
      <c r="F95" s="134"/>
      <c r="G95" s="134"/>
      <c r="H95" s="134"/>
      <c r="I95" s="136"/>
      <c r="J95" s="136"/>
      <c r="K95" s="136"/>
      <c r="L95" s="136"/>
      <c r="M95" s="136"/>
      <c r="N95" s="136"/>
      <c r="O95" s="136"/>
      <c r="P95" s="136"/>
      <c r="Q95" s="136"/>
      <c r="R95" s="136"/>
      <c r="S95" s="136"/>
      <c r="T95" s="136"/>
      <c r="U95" s="136"/>
      <c r="V95" s="136"/>
      <c r="W95" s="17"/>
      <c r="X95" s="17"/>
      <c r="Y95" s="17"/>
      <c r="Z95" s="17"/>
      <c r="AA95" s="17"/>
      <c r="AB95" s="17"/>
      <c r="AC95" s="17"/>
      <c r="AD95" s="17"/>
      <c r="AE95" s="17"/>
      <c r="AF95" s="17"/>
      <c r="AG95" s="17"/>
      <c r="AH95" s="17"/>
      <c r="AI95" s="17"/>
      <c r="AJ95" s="17"/>
      <c r="AK95" s="17"/>
      <c r="AL95" s="17"/>
      <c r="AM95" s="17"/>
      <c r="AN95" s="17"/>
    </row>
    <row r="96" spans="1:40">
      <c r="A96" s="19"/>
      <c r="B96" s="19"/>
      <c r="C96" s="918"/>
      <c r="D96" s="19"/>
      <c r="E96" s="134"/>
      <c r="F96" s="134"/>
      <c r="G96" s="134"/>
      <c r="H96" s="134"/>
      <c r="I96" s="136"/>
      <c r="J96" s="136"/>
      <c r="K96" s="136"/>
      <c r="L96" s="136"/>
      <c r="M96" s="136"/>
      <c r="N96" s="136"/>
      <c r="O96" s="136"/>
      <c r="P96" s="136"/>
      <c r="Q96" s="136"/>
      <c r="R96" s="136"/>
      <c r="S96" s="136"/>
      <c r="T96" s="136"/>
      <c r="U96" s="136"/>
      <c r="V96" s="136"/>
      <c r="W96" s="17"/>
      <c r="X96" s="17"/>
      <c r="Y96" s="17"/>
      <c r="Z96" s="17"/>
      <c r="AA96" s="17"/>
      <c r="AB96" s="17"/>
      <c r="AC96" s="17"/>
      <c r="AD96" s="17"/>
      <c r="AE96" s="17"/>
      <c r="AF96" s="17"/>
      <c r="AG96" s="17"/>
      <c r="AH96" s="17"/>
      <c r="AI96" s="17"/>
      <c r="AJ96" s="17"/>
      <c r="AK96" s="17"/>
      <c r="AL96" s="17"/>
      <c r="AM96" s="17"/>
      <c r="AN96" s="17"/>
    </row>
    <row r="97" spans="1:40">
      <c r="A97" s="19"/>
      <c r="B97" s="19"/>
      <c r="C97" s="918"/>
      <c r="D97" s="19"/>
      <c r="E97" s="134"/>
      <c r="F97" s="134"/>
      <c r="G97" s="134"/>
      <c r="H97" s="134"/>
      <c r="I97" s="136"/>
      <c r="J97" s="136"/>
      <c r="K97" s="136"/>
      <c r="L97" s="136"/>
      <c r="M97" s="136"/>
      <c r="N97" s="136"/>
      <c r="O97" s="136"/>
      <c r="P97" s="136"/>
      <c r="Q97" s="136"/>
      <c r="R97" s="136"/>
      <c r="S97" s="136"/>
      <c r="T97" s="136"/>
      <c r="U97" s="136"/>
      <c r="V97" s="136"/>
      <c r="W97" s="17"/>
      <c r="X97" s="17"/>
      <c r="Y97" s="17"/>
      <c r="Z97" s="17"/>
      <c r="AA97" s="17"/>
      <c r="AB97" s="17"/>
      <c r="AC97" s="17"/>
      <c r="AD97" s="17"/>
      <c r="AE97" s="17"/>
      <c r="AF97" s="17"/>
      <c r="AG97" s="17"/>
      <c r="AH97" s="17"/>
      <c r="AI97" s="17"/>
      <c r="AJ97" s="17"/>
      <c r="AK97" s="17"/>
      <c r="AL97" s="17"/>
      <c r="AM97" s="17"/>
      <c r="AN97" s="17"/>
    </row>
    <row r="98" spans="1:40">
      <c r="A98" s="19"/>
      <c r="B98" s="19"/>
      <c r="C98" s="918"/>
      <c r="D98" s="19"/>
      <c r="E98" s="134"/>
      <c r="F98" s="134"/>
      <c r="G98" s="134"/>
      <c r="H98" s="134"/>
      <c r="I98" s="136"/>
      <c r="J98" s="136"/>
      <c r="K98" s="136"/>
      <c r="L98" s="136"/>
      <c r="M98" s="136"/>
      <c r="N98" s="136"/>
      <c r="O98" s="136"/>
      <c r="P98" s="136"/>
      <c r="Q98" s="136"/>
      <c r="R98" s="136"/>
      <c r="S98" s="136"/>
      <c r="T98" s="136"/>
      <c r="U98" s="136"/>
      <c r="V98" s="136"/>
      <c r="W98" s="17"/>
      <c r="X98" s="17"/>
      <c r="Y98" s="17"/>
      <c r="Z98" s="17"/>
      <c r="AA98" s="17"/>
      <c r="AB98" s="17"/>
      <c r="AC98" s="17"/>
      <c r="AD98" s="17"/>
      <c r="AE98" s="17"/>
      <c r="AF98" s="17"/>
      <c r="AG98" s="17"/>
      <c r="AH98" s="17"/>
      <c r="AI98" s="17"/>
      <c r="AJ98" s="17"/>
      <c r="AK98" s="17"/>
      <c r="AL98" s="17"/>
      <c r="AM98" s="17"/>
      <c r="AN98" s="17"/>
    </row>
    <row r="99" spans="1:40">
      <c r="A99" s="19"/>
      <c r="B99" s="19"/>
      <c r="C99" s="918"/>
      <c r="D99" s="19"/>
      <c r="E99" s="134"/>
      <c r="F99" s="134"/>
      <c r="G99" s="134"/>
      <c r="H99" s="134"/>
      <c r="I99" s="136"/>
      <c r="J99" s="136"/>
      <c r="K99" s="136"/>
      <c r="L99" s="136"/>
      <c r="M99" s="136"/>
      <c r="N99" s="136"/>
      <c r="O99" s="136"/>
      <c r="P99" s="136"/>
      <c r="Q99" s="136"/>
      <c r="R99" s="136"/>
      <c r="S99" s="136"/>
      <c r="T99" s="136"/>
      <c r="U99" s="136"/>
      <c r="V99" s="136"/>
      <c r="W99" s="17"/>
      <c r="X99" s="17"/>
      <c r="Y99" s="17"/>
      <c r="Z99" s="17"/>
      <c r="AA99" s="17"/>
      <c r="AB99" s="17"/>
      <c r="AC99" s="17"/>
      <c r="AD99" s="17"/>
      <c r="AE99" s="17"/>
      <c r="AF99" s="17"/>
      <c r="AG99" s="17"/>
      <c r="AH99" s="17"/>
      <c r="AI99" s="17"/>
      <c r="AJ99" s="17"/>
      <c r="AK99" s="17"/>
      <c r="AL99" s="17"/>
      <c r="AM99" s="17"/>
      <c r="AN99" s="17"/>
    </row>
    <row r="100" spans="1:40">
      <c r="A100" s="19"/>
      <c r="B100" s="19"/>
      <c r="C100" s="918"/>
      <c r="D100" s="19"/>
      <c r="E100" s="134"/>
      <c r="F100" s="134"/>
      <c r="G100" s="134"/>
      <c r="H100" s="134"/>
      <c r="I100" s="136"/>
      <c r="J100" s="136"/>
      <c r="K100" s="136"/>
      <c r="L100" s="136"/>
      <c r="M100" s="136"/>
      <c r="N100" s="136"/>
      <c r="O100" s="136"/>
      <c r="P100" s="136"/>
      <c r="Q100" s="136"/>
      <c r="R100" s="136"/>
      <c r="S100" s="136"/>
      <c r="T100" s="136"/>
      <c r="U100" s="136"/>
      <c r="V100" s="136"/>
      <c r="W100" s="17"/>
      <c r="X100" s="17"/>
      <c r="Y100" s="17"/>
      <c r="Z100" s="17"/>
      <c r="AA100" s="17"/>
      <c r="AB100" s="17"/>
      <c r="AC100" s="17"/>
      <c r="AD100" s="17"/>
      <c r="AE100" s="17"/>
      <c r="AF100" s="17"/>
      <c r="AG100" s="17"/>
      <c r="AH100" s="17"/>
      <c r="AI100" s="17"/>
      <c r="AJ100" s="17"/>
      <c r="AK100" s="17"/>
      <c r="AL100" s="17"/>
      <c r="AM100" s="17"/>
      <c r="AN100" s="17"/>
    </row>
    <row r="101" spans="1:40">
      <c r="A101" s="19"/>
      <c r="B101" s="19"/>
      <c r="C101" s="918"/>
      <c r="D101" s="19"/>
      <c r="E101" s="134"/>
      <c r="F101" s="134"/>
      <c r="G101" s="134"/>
      <c r="H101" s="134"/>
      <c r="I101" s="136"/>
      <c r="J101" s="136"/>
      <c r="K101" s="136"/>
      <c r="L101" s="136"/>
      <c r="M101" s="136"/>
      <c r="N101" s="136"/>
      <c r="O101" s="136"/>
      <c r="P101" s="136"/>
      <c r="Q101" s="136"/>
      <c r="R101" s="136"/>
      <c r="S101" s="136"/>
      <c r="T101" s="136"/>
      <c r="U101" s="136"/>
      <c r="V101" s="136"/>
      <c r="W101" s="17"/>
      <c r="X101" s="17"/>
      <c r="Y101" s="17"/>
      <c r="Z101" s="17"/>
      <c r="AA101" s="17"/>
      <c r="AB101" s="17"/>
      <c r="AC101" s="17"/>
      <c r="AD101" s="17"/>
      <c r="AE101" s="17"/>
      <c r="AF101" s="17"/>
      <c r="AG101" s="17"/>
      <c r="AH101" s="17"/>
      <c r="AI101" s="17"/>
      <c r="AJ101" s="17"/>
      <c r="AK101" s="17"/>
      <c r="AL101" s="17"/>
      <c r="AM101" s="17"/>
      <c r="AN101" s="17"/>
    </row>
    <row r="102" spans="1:40">
      <c r="A102" s="19"/>
      <c r="B102" s="19"/>
      <c r="C102" s="918"/>
      <c r="D102" s="19"/>
      <c r="E102" s="134"/>
      <c r="F102" s="134"/>
      <c r="G102" s="134"/>
      <c r="H102" s="134"/>
      <c r="I102" s="136"/>
      <c r="J102" s="136"/>
      <c r="K102" s="136"/>
      <c r="L102" s="136"/>
      <c r="M102" s="136"/>
      <c r="N102" s="136"/>
      <c r="O102" s="136"/>
      <c r="P102" s="136"/>
      <c r="Q102" s="136"/>
      <c r="R102" s="136"/>
      <c r="S102" s="136"/>
      <c r="T102" s="136"/>
      <c r="U102" s="136"/>
      <c r="V102" s="136"/>
      <c r="W102" s="17"/>
      <c r="X102" s="17"/>
      <c r="Y102" s="17"/>
      <c r="Z102" s="17"/>
      <c r="AA102" s="17"/>
      <c r="AB102" s="17"/>
      <c r="AC102" s="17"/>
      <c r="AD102" s="17"/>
      <c r="AE102" s="17"/>
      <c r="AF102" s="17"/>
      <c r="AG102" s="17"/>
      <c r="AH102" s="17"/>
      <c r="AI102" s="17"/>
      <c r="AJ102" s="17"/>
      <c r="AK102" s="17"/>
      <c r="AL102" s="17"/>
      <c r="AM102" s="17"/>
      <c r="AN102" s="17"/>
    </row>
    <row r="103" spans="1:40">
      <c r="A103" s="19"/>
      <c r="B103" s="19"/>
      <c r="C103" s="918"/>
      <c r="D103" s="19"/>
      <c r="E103" s="134"/>
      <c r="F103" s="134"/>
      <c r="G103" s="134"/>
      <c r="H103" s="134"/>
      <c r="I103" s="136"/>
      <c r="J103" s="136"/>
      <c r="K103" s="136"/>
      <c r="L103" s="136"/>
      <c r="M103" s="136"/>
      <c r="N103" s="136"/>
      <c r="O103" s="136"/>
      <c r="P103" s="136"/>
      <c r="Q103" s="136"/>
      <c r="R103" s="136"/>
      <c r="S103" s="136"/>
      <c r="T103" s="136"/>
      <c r="U103" s="136"/>
      <c r="V103" s="136"/>
      <c r="W103" s="17"/>
      <c r="X103" s="17"/>
      <c r="Y103" s="17"/>
      <c r="Z103" s="17"/>
      <c r="AA103" s="17"/>
      <c r="AB103" s="17"/>
      <c r="AC103" s="17"/>
      <c r="AD103" s="17"/>
      <c r="AE103" s="17"/>
      <c r="AF103" s="17"/>
      <c r="AG103" s="17"/>
      <c r="AH103" s="17"/>
      <c r="AI103" s="17"/>
      <c r="AJ103" s="17"/>
      <c r="AK103" s="17"/>
      <c r="AL103" s="17"/>
      <c r="AM103" s="17"/>
      <c r="AN103" s="17"/>
    </row>
    <row r="104" spans="1:40">
      <c r="A104" s="19"/>
      <c r="B104" s="19"/>
      <c r="C104" s="918"/>
      <c r="D104" s="19"/>
      <c r="E104" s="134"/>
      <c r="F104" s="134"/>
      <c r="G104" s="134"/>
      <c r="H104" s="134"/>
      <c r="I104" s="136"/>
      <c r="J104" s="136"/>
      <c r="K104" s="136"/>
      <c r="L104" s="136"/>
      <c r="M104" s="136"/>
      <c r="N104" s="136"/>
      <c r="O104" s="136"/>
      <c r="P104" s="136"/>
      <c r="Q104" s="136"/>
      <c r="R104" s="136"/>
      <c r="S104" s="136"/>
      <c r="T104" s="136"/>
      <c r="U104" s="136"/>
      <c r="V104" s="136"/>
      <c r="W104" s="17"/>
      <c r="X104" s="17"/>
      <c r="Y104" s="17"/>
      <c r="Z104" s="17"/>
      <c r="AA104" s="17"/>
      <c r="AB104" s="17"/>
      <c r="AC104" s="17"/>
      <c r="AD104" s="17"/>
      <c r="AE104" s="17"/>
      <c r="AF104" s="17"/>
      <c r="AG104" s="17"/>
      <c r="AH104" s="17"/>
      <c r="AI104" s="17"/>
      <c r="AJ104" s="17"/>
      <c r="AK104" s="17"/>
      <c r="AL104" s="17"/>
      <c r="AM104" s="17"/>
      <c r="AN104" s="17"/>
    </row>
    <row r="105" spans="1:40">
      <c r="A105" s="19"/>
      <c r="B105" s="19"/>
      <c r="C105" s="918"/>
      <c r="D105" s="19"/>
      <c r="E105" s="134"/>
      <c r="F105" s="134"/>
      <c r="G105" s="134"/>
      <c r="H105" s="134"/>
      <c r="I105" s="136"/>
      <c r="J105" s="136"/>
      <c r="K105" s="136"/>
      <c r="L105" s="136"/>
      <c r="M105" s="136"/>
      <c r="N105" s="136"/>
      <c r="O105" s="136"/>
      <c r="P105" s="136"/>
      <c r="Q105" s="136"/>
      <c r="R105" s="136"/>
      <c r="S105" s="136"/>
      <c r="T105" s="136"/>
      <c r="U105" s="136"/>
      <c r="V105" s="136"/>
      <c r="W105" s="17"/>
      <c r="X105" s="17"/>
      <c r="Y105" s="17"/>
      <c r="Z105" s="17"/>
      <c r="AA105" s="17"/>
      <c r="AB105" s="17"/>
      <c r="AC105" s="17"/>
      <c r="AD105" s="17"/>
      <c r="AE105" s="17"/>
      <c r="AF105" s="17"/>
      <c r="AG105" s="17"/>
      <c r="AH105" s="17"/>
      <c r="AI105" s="17"/>
      <c r="AJ105" s="17"/>
      <c r="AK105" s="17"/>
      <c r="AL105" s="17"/>
      <c r="AM105" s="17"/>
      <c r="AN105" s="17"/>
    </row>
    <row r="106" spans="1:40">
      <c r="A106" s="19"/>
      <c r="B106" s="19"/>
      <c r="C106" s="918"/>
      <c r="D106" s="19"/>
      <c r="E106" s="134"/>
      <c r="F106" s="134"/>
      <c r="G106" s="134"/>
      <c r="H106" s="134"/>
      <c r="I106" s="136"/>
      <c r="J106" s="136"/>
      <c r="K106" s="136"/>
      <c r="L106" s="136"/>
      <c r="M106" s="136"/>
      <c r="N106" s="136"/>
      <c r="O106" s="136"/>
      <c r="P106" s="136"/>
      <c r="Q106" s="136"/>
      <c r="R106" s="136"/>
      <c r="S106" s="136"/>
      <c r="T106" s="136"/>
      <c r="U106" s="136"/>
      <c r="V106" s="136"/>
      <c r="W106" s="17"/>
      <c r="X106" s="17"/>
      <c r="Y106" s="17"/>
      <c r="Z106" s="17"/>
      <c r="AA106" s="17"/>
      <c r="AB106" s="17"/>
      <c r="AC106" s="17"/>
      <c r="AD106" s="17"/>
      <c r="AE106" s="17"/>
      <c r="AF106" s="17"/>
      <c r="AG106" s="17"/>
      <c r="AH106" s="17"/>
      <c r="AI106" s="17"/>
      <c r="AJ106" s="17"/>
      <c r="AK106" s="17"/>
      <c r="AL106" s="17"/>
      <c r="AM106" s="17"/>
      <c r="AN106" s="17"/>
    </row>
    <row r="107" spans="1:40">
      <c r="A107" s="19"/>
      <c r="B107" s="19"/>
      <c r="C107" s="918"/>
      <c r="D107" s="19"/>
      <c r="E107" s="134"/>
      <c r="F107" s="134"/>
      <c r="G107" s="134"/>
      <c r="H107" s="134"/>
      <c r="I107" s="136"/>
      <c r="J107" s="136"/>
      <c r="K107" s="136"/>
      <c r="L107" s="136"/>
      <c r="M107" s="136"/>
      <c r="N107" s="136"/>
      <c r="O107" s="136"/>
      <c r="P107" s="136"/>
      <c r="Q107" s="136"/>
      <c r="R107" s="136"/>
      <c r="S107" s="136"/>
      <c r="T107" s="136"/>
      <c r="U107" s="136"/>
      <c r="V107" s="136"/>
      <c r="W107" s="17"/>
      <c r="X107" s="17"/>
      <c r="Y107" s="17"/>
      <c r="Z107" s="17"/>
      <c r="AA107" s="17"/>
      <c r="AB107" s="17"/>
      <c r="AC107" s="17"/>
      <c r="AD107" s="17"/>
      <c r="AE107" s="17"/>
      <c r="AF107" s="17"/>
      <c r="AG107" s="17"/>
      <c r="AH107" s="17"/>
      <c r="AI107" s="17"/>
      <c r="AJ107" s="17"/>
      <c r="AK107" s="17"/>
      <c r="AL107" s="17"/>
      <c r="AM107" s="17"/>
      <c r="AN107" s="17"/>
    </row>
    <row r="108" spans="1:40">
      <c r="A108" s="19"/>
      <c r="B108" s="19"/>
      <c r="C108" s="918"/>
      <c r="D108" s="19"/>
      <c r="E108" s="134"/>
      <c r="F108" s="134"/>
      <c r="G108" s="134"/>
      <c r="H108" s="134"/>
      <c r="I108" s="136"/>
      <c r="J108" s="136"/>
      <c r="K108" s="136"/>
      <c r="L108" s="136"/>
      <c r="M108" s="136"/>
      <c r="N108" s="136"/>
      <c r="O108" s="136"/>
      <c r="P108" s="136"/>
      <c r="Q108" s="136"/>
      <c r="R108" s="136"/>
      <c r="S108" s="136"/>
      <c r="T108" s="136"/>
      <c r="U108" s="136"/>
      <c r="V108" s="136"/>
      <c r="W108" s="17"/>
      <c r="X108" s="17"/>
      <c r="Y108" s="17"/>
      <c r="Z108" s="17"/>
      <c r="AA108" s="17"/>
      <c r="AB108" s="17"/>
      <c r="AC108" s="17"/>
      <c r="AD108" s="17"/>
      <c r="AE108" s="17"/>
      <c r="AF108" s="17"/>
      <c r="AG108" s="17"/>
      <c r="AH108" s="17"/>
      <c r="AI108" s="17"/>
      <c r="AJ108" s="17"/>
      <c r="AK108" s="17"/>
      <c r="AL108" s="17"/>
      <c r="AM108" s="17"/>
      <c r="AN108" s="17"/>
    </row>
    <row r="109" spans="1:40">
      <c r="A109" s="19"/>
      <c r="B109" s="19"/>
      <c r="C109" s="918"/>
      <c r="D109" s="19"/>
      <c r="E109" s="134"/>
      <c r="F109" s="134"/>
      <c r="G109" s="134"/>
      <c r="H109" s="134"/>
      <c r="I109" s="136"/>
      <c r="J109" s="136"/>
      <c r="K109" s="136"/>
      <c r="L109" s="136"/>
      <c r="M109" s="136"/>
      <c r="N109" s="136"/>
      <c r="O109" s="136"/>
      <c r="P109" s="136"/>
      <c r="Q109" s="136"/>
      <c r="R109" s="136"/>
      <c r="S109" s="136"/>
      <c r="T109" s="136"/>
      <c r="U109" s="136"/>
      <c r="V109" s="136"/>
      <c r="W109" s="17"/>
      <c r="X109" s="17"/>
      <c r="Y109" s="17"/>
      <c r="Z109" s="17"/>
      <c r="AA109" s="17"/>
      <c r="AB109" s="17"/>
      <c r="AC109" s="17"/>
      <c r="AD109" s="17"/>
      <c r="AE109" s="17"/>
      <c r="AF109" s="17"/>
      <c r="AG109" s="17"/>
      <c r="AH109" s="17"/>
      <c r="AI109" s="17"/>
      <c r="AJ109" s="17"/>
      <c r="AK109" s="17"/>
      <c r="AL109" s="17"/>
      <c r="AM109" s="17"/>
      <c r="AN109" s="17"/>
    </row>
    <row r="110" spans="1:40">
      <c r="A110" s="19"/>
      <c r="B110" s="19"/>
      <c r="C110" s="918"/>
      <c r="D110" s="19"/>
      <c r="E110" s="134"/>
      <c r="F110" s="134"/>
      <c r="G110" s="134"/>
      <c r="H110" s="134"/>
      <c r="I110" s="136"/>
      <c r="J110" s="136"/>
      <c r="K110" s="136"/>
      <c r="L110" s="136"/>
      <c r="M110" s="136"/>
      <c r="N110" s="136"/>
      <c r="O110" s="136"/>
      <c r="P110" s="136"/>
      <c r="Q110" s="136"/>
      <c r="R110" s="136"/>
      <c r="S110" s="136"/>
      <c r="T110" s="136"/>
      <c r="U110" s="136"/>
      <c r="V110" s="136"/>
      <c r="W110" s="17"/>
      <c r="X110" s="17"/>
      <c r="Y110" s="17"/>
      <c r="Z110" s="17"/>
      <c r="AA110" s="17"/>
      <c r="AB110" s="17"/>
      <c r="AC110" s="17"/>
      <c r="AD110" s="17"/>
      <c r="AE110" s="17"/>
      <c r="AF110" s="17"/>
      <c r="AG110" s="17"/>
      <c r="AH110" s="17"/>
      <c r="AI110" s="17"/>
      <c r="AJ110" s="17"/>
      <c r="AK110" s="17"/>
      <c r="AL110" s="17"/>
      <c r="AM110" s="17"/>
      <c r="AN110" s="17"/>
    </row>
    <row r="111" spans="1:40">
      <c r="A111" s="19"/>
      <c r="B111" s="19"/>
      <c r="C111" s="918"/>
      <c r="D111" s="19"/>
      <c r="E111" s="134"/>
      <c r="F111" s="134"/>
      <c r="G111" s="134"/>
      <c r="H111" s="134"/>
      <c r="I111" s="136"/>
      <c r="J111" s="136"/>
      <c r="K111" s="136"/>
      <c r="L111" s="136"/>
      <c r="M111" s="136"/>
      <c r="N111" s="136"/>
      <c r="O111" s="136"/>
      <c r="P111" s="136"/>
      <c r="Q111" s="136"/>
      <c r="R111" s="136"/>
      <c r="S111" s="136"/>
      <c r="T111" s="136"/>
      <c r="U111" s="136"/>
      <c r="V111" s="136"/>
      <c r="W111" s="17"/>
      <c r="X111" s="17"/>
      <c r="Y111" s="17"/>
      <c r="Z111" s="17"/>
      <c r="AA111" s="17"/>
      <c r="AB111" s="17"/>
      <c r="AC111" s="17"/>
      <c r="AD111" s="17"/>
      <c r="AE111" s="17"/>
      <c r="AF111" s="17"/>
      <c r="AG111" s="17"/>
      <c r="AH111" s="17"/>
      <c r="AI111" s="17"/>
      <c r="AJ111" s="17"/>
      <c r="AK111" s="17"/>
      <c r="AL111" s="17"/>
      <c r="AM111" s="17"/>
      <c r="AN111" s="17"/>
    </row>
    <row r="112" spans="1:40">
      <c r="A112" s="19"/>
      <c r="B112" s="19"/>
      <c r="C112" s="918"/>
      <c r="D112" s="19"/>
      <c r="E112" s="134"/>
      <c r="F112" s="134"/>
      <c r="G112" s="134"/>
      <c r="H112" s="134"/>
      <c r="I112" s="136"/>
      <c r="J112" s="136"/>
      <c r="K112" s="136"/>
      <c r="L112" s="136"/>
      <c r="M112" s="136"/>
      <c r="N112" s="136"/>
      <c r="O112" s="136"/>
      <c r="P112" s="136"/>
      <c r="Q112" s="136"/>
      <c r="R112" s="136"/>
      <c r="S112" s="136"/>
      <c r="T112" s="136"/>
      <c r="U112" s="136"/>
      <c r="V112" s="136"/>
      <c r="W112" s="17"/>
      <c r="X112" s="17"/>
      <c r="Y112" s="17"/>
      <c r="Z112" s="17"/>
      <c r="AA112" s="17"/>
      <c r="AB112" s="17"/>
      <c r="AC112" s="17"/>
      <c r="AD112" s="17"/>
      <c r="AE112" s="17"/>
      <c r="AF112" s="17"/>
      <c r="AG112" s="17"/>
      <c r="AH112" s="17"/>
      <c r="AI112" s="17"/>
      <c r="AJ112" s="17"/>
      <c r="AK112" s="17"/>
      <c r="AL112" s="17"/>
      <c r="AM112" s="17"/>
      <c r="AN112" s="17"/>
    </row>
    <row r="113" spans="1:40">
      <c r="A113" s="19"/>
      <c r="B113" s="19"/>
      <c r="C113" s="918"/>
      <c r="D113" s="19"/>
      <c r="E113" s="134"/>
      <c r="F113" s="134"/>
      <c r="G113" s="134"/>
      <c r="H113" s="134"/>
      <c r="I113" s="136"/>
      <c r="J113" s="136"/>
      <c r="K113" s="136"/>
      <c r="L113" s="136"/>
      <c r="M113" s="136"/>
      <c r="N113" s="136"/>
      <c r="O113" s="136"/>
      <c r="P113" s="136"/>
      <c r="Q113" s="136"/>
      <c r="R113" s="136"/>
      <c r="S113" s="136"/>
      <c r="T113" s="136"/>
      <c r="U113" s="136"/>
      <c r="V113" s="136"/>
      <c r="W113" s="17"/>
      <c r="X113" s="17"/>
      <c r="Y113" s="17"/>
      <c r="Z113" s="17"/>
      <c r="AA113" s="17"/>
      <c r="AB113" s="17"/>
      <c r="AC113" s="17"/>
      <c r="AD113" s="17"/>
      <c r="AE113" s="17"/>
      <c r="AF113" s="17"/>
      <c r="AG113" s="17"/>
      <c r="AH113" s="17"/>
      <c r="AI113" s="17"/>
      <c r="AJ113" s="17"/>
      <c r="AK113" s="17"/>
      <c r="AL113" s="17"/>
      <c r="AM113" s="17"/>
      <c r="AN113" s="17"/>
    </row>
    <row r="114" spans="1:40">
      <c r="A114" s="19"/>
      <c r="B114" s="19"/>
      <c r="C114" s="918"/>
      <c r="D114" s="19"/>
      <c r="E114" s="134"/>
      <c r="F114" s="134"/>
      <c r="G114" s="134"/>
      <c r="H114" s="134"/>
      <c r="I114" s="136"/>
      <c r="J114" s="136"/>
      <c r="K114" s="136"/>
      <c r="L114" s="136"/>
      <c r="M114" s="136"/>
      <c r="N114" s="136"/>
      <c r="O114" s="136"/>
      <c r="P114" s="136"/>
      <c r="Q114" s="136"/>
      <c r="R114" s="136"/>
      <c r="S114" s="136"/>
      <c r="T114" s="136"/>
      <c r="U114" s="136"/>
      <c r="V114" s="136"/>
      <c r="W114" s="17"/>
      <c r="X114" s="17"/>
      <c r="Y114" s="17"/>
      <c r="Z114" s="17"/>
      <c r="AA114" s="17"/>
      <c r="AB114" s="17"/>
      <c r="AC114" s="17"/>
      <c r="AD114" s="17"/>
      <c r="AE114" s="17"/>
      <c r="AF114" s="17"/>
      <c r="AG114" s="17"/>
      <c r="AH114" s="17"/>
      <c r="AI114" s="17"/>
      <c r="AJ114" s="17"/>
      <c r="AK114" s="17"/>
      <c r="AL114" s="17"/>
      <c r="AM114" s="17"/>
      <c r="AN114" s="17"/>
    </row>
    <row r="115" spans="1:40">
      <c r="A115" s="19"/>
      <c r="B115" s="19"/>
      <c r="C115" s="918"/>
      <c r="D115" s="19"/>
      <c r="E115" s="134"/>
      <c r="F115" s="134"/>
      <c r="G115" s="134"/>
      <c r="H115" s="134"/>
      <c r="I115" s="136"/>
      <c r="J115" s="136"/>
      <c r="K115" s="136"/>
      <c r="L115" s="136"/>
      <c r="M115" s="136"/>
      <c r="N115" s="136"/>
      <c r="O115" s="136"/>
      <c r="P115" s="136"/>
      <c r="Q115" s="136"/>
      <c r="R115" s="136"/>
      <c r="S115" s="136"/>
      <c r="T115" s="136"/>
      <c r="U115" s="136"/>
      <c r="V115" s="136"/>
      <c r="W115" s="17"/>
      <c r="X115" s="17"/>
      <c r="Y115" s="17"/>
      <c r="Z115" s="17"/>
      <c r="AA115" s="17"/>
      <c r="AB115" s="17"/>
      <c r="AC115" s="17"/>
      <c r="AD115" s="17"/>
      <c r="AE115" s="17"/>
      <c r="AF115" s="17"/>
      <c r="AG115" s="17"/>
      <c r="AH115" s="17"/>
      <c r="AI115" s="17"/>
      <c r="AJ115" s="17"/>
      <c r="AK115" s="17"/>
      <c r="AL115" s="17"/>
      <c r="AM115" s="17"/>
      <c r="AN115" s="17"/>
    </row>
    <row r="116" spans="1:40">
      <c r="A116" s="19"/>
      <c r="B116" s="19"/>
      <c r="C116" s="918"/>
      <c r="D116" s="19"/>
      <c r="E116" s="134"/>
      <c r="F116" s="134"/>
      <c r="G116" s="134"/>
      <c r="H116" s="134"/>
      <c r="I116" s="136"/>
      <c r="J116" s="136"/>
      <c r="K116" s="136"/>
      <c r="L116" s="136"/>
      <c r="M116" s="136"/>
      <c r="N116" s="136"/>
      <c r="O116" s="136"/>
      <c r="P116" s="136"/>
      <c r="Q116" s="136"/>
      <c r="R116" s="136"/>
      <c r="S116" s="136"/>
      <c r="T116" s="136"/>
      <c r="U116" s="136"/>
      <c r="V116" s="136"/>
      <c r="W116" s="17"/>
      <c r="X116" s="17"/>
      <c r="Y116" s="17"/>
      <c r="Z116" s="17"/>
      <c r="AA116" s="17"/>
      <c r="AB116" s="17"/>
      <c r="AC116" s="17"/>
      <c r="AD116" s="17"/>
      <c r="AE116" s="17"/>
      <c r="AF116" s="17"/>
      <c r="AG116" s="17"/>
      <c r="AH116" s="17"/>
      <c r="AI116" s="17"/>
      <c r="AJ116" s="17"/>
      <c r="AK116" s="17"/>
      <c r="AL116" s="17"/>
      <c r="AM116" s="17"/>
      <c r="AN116" s="17"/>
    </row>
    <row r="117" spans="1:40">
      <c r="A117" s="19"/>
      <c r="B117" s="19"/>
      <c r="C117" s="918"/>
      <c r="D117" s="19"/>
      <c r="E117" s="134"/>
      <c r="F117" s="134"/>
      <c r="G117" s="134"/>
      <c r="H117" s="134"/>
      <c r="I117" s="136"/>
      <c r="J117" s="136"/>
      <c r="K117" s="136"/>
      <c r="L117" s="136"/>
      <c r="M117" s="136"/>
      <c r="N117" s="136"/>
      <c r="O117" s="136"/>
      <c r="P117" s="136"/>
      <c r="Q117" s="136"/>
      <c r="R117" s="136"/>
      <c r="S117" s="136"/>
      <c r="T117" s="136"/>
      <c r="U117" s="136"/>
      <c r="V117" s="136"/>
      <c r="W117" s="17"/>
      <c r="X117" s="17"/>
      <c r="Y117" s="17"/>
      <c r="Z117" s="17"/>
      <c r="AA117" s="17"/>
      <c r="AB117" s="17"/>
      <c r="AC117" s="17"/>
      <c r="AD117" s="17"/>
      <c r="AE117" s="17"/>
      <c r="AF117" s="17"/>
      <c r="AG117" s="17"/>
      <c r="AH117" s="17"/>
      <c r="AI117" s="17"/>
      <c r="AJ117" s="17"/>
      <c r="AK117" s="17"/>
      <c r="AL117" s="17"/>
      <c r="AM117" s="17"/>
      <c r="AN117" s="17"/>
    </row>
    <row r="118" spans="1:40">
      <c r="A118" s="19"/>
      <c r="B118" s="19"/>
      <c r="C118" s="918"/>
      <c r="D118" s="19"/>
      <c r="E118" s="134"/>
      <c r="F118" s="134"/>
      <c r="G118" s="134"/>
      <c r="H118" s="134"/>
      <c r="I118" s="136"/>
      <c r="J118" s="136"/>
      <c r="K118" s="136"/>
      <c r="L118" s="136"/>
      <c r="M118" s="136"/>
      <c r="N118" s="136"/>
      <c r="O118" s="136"/>
      <c r="P118" s="136"/>
      <c r="Q118" s="136"/>
      <c r="R118" s="136"/>
      <c r="S118" s="136"/>
      <c r="T118" s="136"/>
      <c r="U118" s="136"/>
      <c r="V118" s="136"/>
      <c r="W118" s="17"/>
      <c r="X118" s="17"/>
      <c r="Y118" s="17"/>
      <c r="Z118" s="17"/>
      <c r="AA118" s="17"/>
      <c r="AB118" s="17"/>
      <c r="AC118" s="17"/>
      <c r="AD118" s="17"/>
      <c r="AE118" s="17"/>
      <c r="AF118" s="17"/>
      <c r="AG118" s="17"/>
      <c r="AH118" s="17"/>
      <c r="AI118" s="17"/>
      <c r="AJ118" s="17"/>
      <c r="AK118" s="17"/>
      <c r="AL118" s="17"/>
      <c r="AM118" s="17"/>
      <c r="AN118" s="17"/>
    </row>
    <row r="119" spans="1:40">
      <c r="A119" s="19"/>
      <c r="B119" s="19"/>
      <c r="C119" s="918"/>
      <c r="D119" s="19"/>
      <c r="E119" s="134"/>
      <c r="F119" s="134"/>
      <c r="G119" s="134"/>
      <c r="H119" s="134"/>
      <c r="I119" s="136"/>
      <c r="J119" s="136"/>
      <c r="K119" s="136"/>
      <c r="L119" s="136"/>
      <c r="M119" s="136"/>
      <c r="N119" s="136"/>
      <c r="O119" s="136"/>
      <c r="P119" s="136"/>
      <c r="Q119" s="136"/>
      <c r="R119" s="136"/>
      <c r="S119" s="136"/>
      <c r="T119" s="136"/>
      <c r="U119" s="136"/>
      <c r="V119" s="136"/>
      <c r="W119" s="17"/>
      <c r="X119" s="17"/>
      <c r="Y119" s="17"/>
      <c r="Z119" s="17"/>
      <c r="AA119" s="17"/>
      <c r="AB119" s="17"/>
      <c r="AC119" s="17"/>
      <c r="AD119" s="17"/>
      <c r="AE119" s="17"/>
      <c r="AF119" s="17"/>
      <c r="AG119" s="17"/>
      <c r="AH119" s="17"/>
      <c r="AI119" s="17"/>
      <c r="AJ119" s="17"/>
      <c r="AK119" s="17"/>
      <c r="AL119" s="17"/>
      <c r="AM119" s="17"/>
      <c r="AN119" s="17"/>
    </row>
    <row r="120" spans="1:40">
      <c r="A120" s="19"/>
      <c r="B120" s="19"/>
      <c r="C120" s="918"/>
      <c r="D120" s="19"/>
      <c r="E120" s="134"/>
      <c r="F120" s="134"/>
      <c r="G120" s="134"/>
      <c r="H120" s="134"/>
      <c r="I120" s="136"/>
      <c r="J120" s="136"/>
      <c r="K120" s="136"/>
      <c r="L120" s="136"/>
      <c r="M120" s="136"/>
      <c r="N120" s="136"/>
      <c r="O120" s="136"/>
      <c r="P120" s="136"/>
      <c r="Q120" s="136"/>
      <c r="R120" s="136"/>
      <c r="S120" s="136"/>
      <c r="T120" s="136"/>
      <c r="U120" s="136"/>
      <c r="V120" s="136"/>
      <c r="W120" s="17"/>
      <c r="X120" s="17"/>
      <c r="Y120" s="17"/>
      <c r="Z120" s="17"/>
      <c r="AA120" s="17"/>
      <c r="AB120" s="17"/>
      <c r="AC120" s="17"/>
      <c r="AD120" s="17"/>
      <c r="AE120" s="17"/>
      <c r="AF120" s="17"/>
      <c r="AG120" s="17"/>
      <c r="AH120" s="17"/>
      <c r="AI120" s="17"/>
      <c r="AJ120" s="17"/>
      <c r="AK120" s="17"/>
      <c r="AL120" s="17"/>
      <c r="AM120" s="17"/>
      <c r="AN120" s="17"/>
    </row>
    <row r="121" spans="1:40">
      <c r="A121" s="19"/>
      <c r="B121" s="19"/>
      <c r="C121" s="918"/>
      <c r="D121" s="19"/>
      <c r="E121" s="134"/>
      <c r="F121" s="134"/>
      <c r="G121" s="134"/>
      <c r="H121" s="134"/>
      <c r="I121" s="136"/>
      <c r="J121" s="136"/>
      <c r="K121" s="136"/>
      <c r="L121" s="136"/>
      <c r="M121" s="136"/>
      <c r="N121" s="136"/>
      <c r="O121" s="136"/>
      <c r="P121" s="136"/>
      <c r="Q121" s="136"/>
      <c r="R121" s="136"/>
      <c r="S121" s="136"/>
      <c r="T121" s="136"/>
      <c r="U121" s="136"/>
      <c r="V121" s="136"/>
      <c r="W121" s="17"/>
      <c r="X121" s="17"/>
      <c r="Y121" s="17"/>
      <c r="Z121" s="17"/>
      <c r="AA121" s="17"/>
      <c r="AB121" s="17"/>
      <c r="AC121" s="17"/>
      <c r="AD121" s="17"/>
      <c r="AE121" s="17"/>
      <c r="AF121" s="17"/>
      <c r="AG121" s="17"/>
      <c r="AH121" s="17"/>
      <c r="AI121" s="17"/>
      <c r="AJ121" s="17"/>
      <c r="AK121" s="17"/>
      <c r="AL121" s="17"/>
      <c r="AM121" s="17"/>
      <c r="AN121" s="17"/>
    </row>
    <row r="122" spans="1:40">
      <c r="A122" s="19"/>
      <c r="B122" s="19"/>
      <c r="C122" s="918"/>
      <c r="D122" s="19"/>
      <c r="E122" s="134"/>
      <c r="F122" s="134"/>
      <c r="G122" s="134"/>
      <c r="H122" s="134"/>
      <c r="I122" s="136"/>
      <c r="J122" s="136"/>
      <c r="K122" s="136"/>
      <c r="L122" s="136"/>
      <c r="M122" s="136"/>
      <c r="N122" s="136"/>
      <c r="O122" s="136"/>
      <c r="P122" s="136"/>
      <c r="Q122" s="136"/>
      <c r="R122" s="136"/>
      <c r="S122" s="136"/>
      <c r="T122" s="136"/>
      <c r="U122" s="136"/>
      <c r="V122" s="136"/>
      <c r="W122" s="17"/>
      <c r="X122" s="17"/>
      <c r="Y122" s="17"/>
      <c r="Z122" s="17"/>
      <c r="AA122" s="17"/>
      <c r="AB122" s="17"/>
      <c r="AC122" s="17"/>
      <c r="AD122" s="17"/>
      <c r="AE122" s="17"/>
      <c r="AF122" s="17"/>
      <c r="AG122" s="17"/>
      <c r="AH122" s="17"/>
      <c r="AI122" s="17"/>
      <c r="AJ122" s="17"/>
      <c r="AK122" s="17"/>
      <c r="AL122" s="17"/>
      <c r="AM122" s="17"/>
      <c r="AN122" s="17"/>
    </row>
    <row r="123" spans="1:40">
      <c r="A123" s="19"/>
      <c r="B123" s="19"/>
      <c r="C123" s="918"/>
      <c r="D123" s="19"/>
      <c r="E123" s="134"/>
      <c r="F123" s="134"/>
      <c r="G123" s="134"/>
      <c r="H123" s="134"/>
      <c r="I123" s="136"/>
      <c r="J123" s="136"/>
      <c r="K123" s="136"/>
      <c r="L123" s="136"/>
      <c r="M123" s="136"/>
      <c r="N123" s="136"/>
      <c r="O123" s="136"/>
      <c r="P123" s="136"/>
      <c r="Q123" s="136"/>
      <c r="R123" s="136"/>
      <c r="S123" s="136"/>
      <c r="T123" s="136"/>
      <c r="U123" s="136"/>
      <c r="V123" s="136"/>
      <c r="W123" s="17"/>
      <c r="X123" s="17"/>
      <c r="Y123" s="17"/>
      <c r="Z123" s="17"/>
      <c r="AA123" s="17"/>
      <c r="AB123" s="17"/>
      <c r="AC123" s="17"/>
      <c r="AD123" s="17"/>
      <c r="AE123" s="17"/>
      <c r="AF123" s="17"/>
      <c r="AG123" s="17"/>
      <c r="AH123" s="17"/>
      <c r="AI123" s="17"/>
      <c r="AJ123" s="17"/>
      <c r="AK123" s="17"/>
      <c r="AL123" s="17"/>
      <c r="AM123" s="17"/>
      <c r="AN123" s="17"/>
    </row>
    <row r="124" spans="1:40">
      <c r="A124" s="19"/>
      <c r="B124" s="19"/>
      <c r="C124" s="918"/>
      <c r="D124" s="19"/>
      <c r="E124" s="134"/>
      <c r="F124" s="134"/>
      <c r="G124" s="134"/>
      <c r="H124" s="134"/>
      <c r="I124" s="136"/>
      <c r="J124" s="136"/>
      <c r="K124" s="136"/>
      <c r="L124" s="136"/>
      <c r="M124" s="136"/>
      <c r="N124" s="136"/>
      <c r="O124" s="136"/>
      <c r="P124" s="136"/>
      <c r="Q124" s="136"/>
      <c r="R124" s="136"/>
      <c r="S124" s="136"/>
      <c r="T124" s="136"/>
      <c r="U124" s="136"/>
      <c r="V124" s="136"/>
      <c r="W124" s="17"/>
      <c r="X124" s="17"/>
      <c r="Y124" s="17"/>
      <c r="Z124" s="17"/>
      <c r="AA124" s="17"/>
      <c r="AB124" s="17"/>
      <c r="AC124" s="17"/>
      <c r="AD124" s="17"/>
      <c r="AE124" s="17"/>
      <c r="AF124" s="17"/>
      <c r="AG124" s="17"/>
      <c r="AH124" s="17"/>
      <c r="AI124" s="17"/>
      <c r="AJ124" s="17"/>
      <c r="AK124" s="17"/>
      <c r="AL124" s="17"/>
      <c r="AM124" s="17"/>
      <c r="AN124" s="17"/>
    </row>
    <row r="125" spans="1:40">
      <c r="A125" s="19"/>
      <c r="B125" s="19"/>
      <c r="C125" s="918"/>
      <c r="D125" s="19"/>
      <c r="E125" s="134"/>
      <c r="F125" s="134"/>
      <c r="G125" s="134"/>
      <c r="H125" s="134"/>
      <c r="I125" s="136"/>
      <c r="J125" s="136"/>
      <c r="K125" s="136"/>
      <c r="L125" s="136"/>
      <c r="M125" s="136"/>
      <c r="N125" s="136"/>
      <c r="O125" s="136"/>
      <c r="P125" s="136"/>
      <c r="Q125" s="136"/>
      <c r="R125" s="136"/>
      <c r="S125" s="136"/>
      <c r="T125" s="136"/>
      <c r="U125" s="136"/>
      <c r="V125" s="136"/>
      <c r="W125" s="17"/>
      <c r="X125" s="17"/>
      <c r="Y125" s="17"/>
      <c r="Z125" s="17"/>
      <c r="AA125" s="17"/>
      <c r="AB125" s="17"/>
      <c r="AC125" s="17"/>
      <c r="AD125" s="17"/>
      <c r="AE125" s="17"/>
      <c r="AF125" s="17"/>
      <c r="AG125" s="17"/>
      <c r="AH125" s="17"/>
      <c r="AI125" s="17"/>
      <c r="AJ125" s="17"/>
      <c r="AK125" s="17"/>
      <c r="AL125" s="17"/>
      <c r="AM125" s="17"/>
      <c r="AN125" s="17"/>
    </row>
    <row r="126" spans="1:40">
      <c r="A126" s="19"/>
      <c r="B126" s="19"/>
      <c r="C126" s="918"/>
      <c r="D126" s="19"/>
      <c r="E126" s="134"/>
      <c r="F126" s="134"/>
      <c r="G126" s="134"/>
      <c r="H126" s="134"/>
      <c r="I126" s="136"/>
      <c r="J126" s="136"/>
      <c r="K126" s="136"/>
      <c r="L126" s="136"/>
      <c r="M126" s="136"/>
      <c r="N126" s="136"/>
      <c r="O126" s="136"/>
      <c r="P126" s="136"/>
      <c r="Q126" s="136"/>
      <c r="R126" s="136"/>
      <c r="S126" s="136"/>
      <c r="T126" s="136"/>
      <c r="U126" s="136"/>
      <c r="V126" s="136"/>
      <c r="W126" s="17"/>
      <c r="X126" s="17"/>
      <c r="Y126" s="17"/>
      <c r="Z126" s="17"/>
      <c r="AA126" s="17"/>
      <c r="AB126" s="17"/>
      <c r="AC126" s="17"/>
      <c r="AD126" s="17"/>
      <c r="AE126" s="17"/>
      <c r="AF126" s="17"/>
      <c r="AG126" s="17"/>
      <c r="AH126" s="17"/>
      <c r="AI126" s="17"/>
      <c r="AJ126" s="17"/>
      <c r="AK126" s="17"/>
      <c r="AL126" s="17"/>
      <c r="AM126" s="17"/>
      <c r="AN126" s="17"/>
    </row>
    <row r="127" spans="1:40">
      <c r="A127" s="19"/>
      <c r="B127" s="19"/>
      <c r="C127" s="918"/>
      <c r="D127" s="19"/>
      <c r="E127" s="134"/>
      <c r="F127" s="134"/>
      <c r="G127" s="134"/>
      <c r="H127" s="134"/>
      <c r="I127" s="136"/>
      <c r="J127" s="136"/>
      <c r="K127" s="136"/>
      <c r="L127" s="136"/>
      <c r="M127" s="136"/>
      <c r="N127" s="136"/>
      <c r="O127" s="136"/>
      <c r="P127" s="136"/>
      <c r="Q127" s="136"/>
      <c r="R127" s="136"/>
      <c r="S127" s="136"/>
      <c r="T127" s="136"/>
      <c r="U127" s="136"/>
      <c r="V127" s="136"/>
      <c r="W127" s="17"/>
      <c r="X127" s="17"/>
      <c r="Y127" s="17"/>
      <c r="Z127" s="17"/>
      <c r="AA127" s="17"/>
      <c r="AB127" s="17"/>
      <c r="AC127" s="17"/>
      <c r="AD127" s="17"/>
      <c r="AE127" s="17"/>
      <c r="AF127" s="17"/>
      <c r="AG127" s="17"/>
      <c r="AH127" s="17"/>
      <c r="AI127" s="17"/>
      <c r="AJ127" s="17"/>
      <c r="AK127" s="17"/>
      <c r="AL127" s="17"/>
      <c r="AM127" s="17"/>
      <c r="AN127" s="17"/>
    </row>
    <row r="128" spans="1:40">
      <c r="A128" s="19"/>
      <c r="B128" s="19"/>
      <c r="C128" s="918"/>
      <c r="D128" s="19"/>
      <c r="E128" s="134"/>
      <c r="F128" s="134"/>
      <c r="G128" s="134"/>
      <c r="H128" s="134"/>
      <c r="I128" s="136"/>
      <c r="J128" s="136"/>
      <c r="K128" s="136"/>
      <c r="L128" s="136"/>
      <c r="M128" s="136"/>
      <c r="N128" s="136"/>
      <c r="O128" s="136"/>
      <c r="P128" s="136"/>
      <c r="Q128" s="136"/>
      <c r="R128" s="136"/>
      <c r="S128" s="136"/>
      <c r="T128" s="136"/>
      <c r="U128" s="136"/>
      <c r="V128" s="136"/>
      <c r="W128" s="17"/>
      <c r="X128" s="17"/>
      <c r="Y128" s="17"/>
      <c r="Z128" s="17"/>
      <c r="AA128" s="17"/>
      <c r="AB128" s="17"/>
      <c r="AC128" s="17"/>
      <c r="AD128" s="17"/>
      <c r="AE128" s="17"/>
      <c r="AF128" s="17"/>
      <c r="AG128" s="17"/>
      <c r="AH128" s="17"/>
      <c r="AI128" s="17"/>
      <c r="AJ128" s="17"/>
      <c r="AK128" s="17"/>
      <c r="AL128" s="17"/>
      <c r="AM128" s="17"/>
      <c r="AN128" s="17"/>
    </row>
    <row r="129" spans="1:40">
      <c r="A129" s="19"/>
      <c r="B129" s="19"/>
      <c r="C129" s="918"/>
      <c r="D129" s="19"/>
      <c r="E129" s="134"/>
      <c r="F129" s="134"/>
      <c r="G129" s="134"/>
      <c r="H129" s="134"/>
      <c r="I129" s="136"/>
      <c r="J129" s="136"/>
      <c r="K129" s="136"/>
      <c r="L129" s="136"/>
      <c r="M129" s="136"/>
      <c r="N129" s="136"/>
      <c r="O129" s="136"/>
      <c r="P129" s="136"/>
      <c r="Q129" s="136"/>
      <c r="R129" s="136"/>
      <c r="S129" s="136"/>
      <c r="T129" s="136"/>
      <c r="U129" s="136"/>
      <c r="V129" s="136"/>
      <c r="W129" s="17"/>
      <c r="X129" s="17"/>
      <c r="Y129" s="17"/>
      <c r="Z129" s="17"/>
      <c r="AA129" s="17"/>
      <c r="AB129" s="17"/>
      <c r="AC129" s="17"/>
      <c r="AD129" s="17"/>
      <c r="AE129" s="17"/>
      <c r="AF129" s="17"/>
      <c r="AG129" s="17"/>
      <c r="AH129" s="17"/>
      <c r="AI129" s="17"/>
      <c r="AJ129" s="17"/>
      <c r="AK129" s="17"/>
      <c r="AL129" s="17"/>
      <c r="AM129" s="17"/>
      <c r="AN129" s="17"/>
    </row>
    <row r="130" spans="1:40">
      <c r="A130" s="19"/>
      <c r="B130" s="19"/>
      <c r="C130" s="918"/>
      <c r="D130" s="19"/>
      <c r="E130" s="134"/>
      <c r="F130" s="134"/>
      <c r="G130" s="134"/>
      <c r="H130" s="134"/>
      <c r="I130" s="136"/>
      <c r="J130" s="136"/>
      <c r="K130" s="136"/>
      <c r="L130" s="136"/>
      <c r="M130" s="136"/>
      <c r="N130" s="136"/>
      <c r="O130" s="136"/>
      <c r="P130" s="136"/>
      <c r="Q130" s="136"/>
      <c r="R130" s="136"/>
      <c r="S130" s="136"/>
      <c r="T130" s="136"/>
      <c r="U130" s="136"/>
      <c r="V130" s="136"/>
      <c r="W130" s="17"/>
      <c r="X130" s="17"/>
      <c r="Y130" s="17"/>
      <c r="Z130" s="17"/>
      <c r="AA130" s="17"/>
      <c r="AB130" s="17"/>
      <c r="AC130" s="17"/>
      <c r="AD130" s="17"/>
      <c r="AE130" s="17"/>
      <c r="AF130" s="17"/>
      <c r="AG130" s="17"/>
      <c r="AH130" s="17"/>
      <c r="AI130" s="17"/>
      <c r="AJ130" s="17"/>
      <c r="AK130" s="17"/>
      <c r="AL130" s="17"/>
      <c r="AM130" s="17"/>
      <c r="AN130" s="17"/>
    </row>
    <row r="131" spans="1:40">
      <c r="A131" s="19"/>
      <c r="B131" s="19"/>
      <c r="C131" s="918"/>
      <c r="D131" s="19"/>
      <c r="E131" s="134"/>
      <c r="F131" s="134"/>
      <c r="G131" s="134"/>
      <c r="H131" s="134"/>
      <c r="I131" s="136"/>
      <c r="J131" s="136"/>
      <c r="K131" s="136"/>
      <c r="L131" s="136"/>
      <c r="M131" s="136"/>
      <c r="N131" s="136"/>
      <c r="O131" s="136"/>
      <c r="P131" s="136"/>
      <c r="Q131" s="136"/>
      <c r="R131" s="136"/>
      <c r="S131" s="136"/>
      <c r="T131" s="136"/>
      <c r="U131" s="136"/>
      <c r="V131" s="136"/>
      <c r="W131" s="17"/>
      <c r="X131" s="17"/>
      <c r="Y131" s="17"/>
      <c r="Z131" s="17"/>
      <c r="AA131" s="17"/>
      <c r="AB131" s="17"/>
      <c r="AC131" s="17"/>
      <c r="AD131" s="17"/>
      <c r="AE131" s="17"/>
      <c r="AF131" s="17"/>
      <c r="AG131" s="17"/>
      <c r="AH131" s="17"/>
      <c r="AI131" s="17"/>
      <c r="AJ131" s="17"/>
      <c r="AK131" s="17"/>
      <c r="AL131" s="17"/>
      <c r="AM131" s="17"/>
      <c r="AN131" s="17"/>
    </row>
    <row r="132" spans="1:40">
      <c r="A132" s="19"/>
      <c r="B132" s="19"/>
      <c r="C132" s="918"/>
      <c r="D132" s="19"/>
      <c r="E132" s="134"/>
      <c r="F132" s="134"/>
      <c r="G132" s="134"/>
      <c r="H132" s="134"/>
      <c r="I132" s="136"/>
      <c r="J132" s="136"/>
      <c r="K132" s="136"/>
      <c r="L132" s="136"/>
      <c r="M132" s="136"/>
      <c r="N132" s="136"/>
      <c r="O132" s="136"/>
      <c r="P132" s="136"/>
      <c r="Q132" s="136"/>
      <c r="R132" s="136"/>
      <c r="S132" s="136"/>
      <c r="T132" s="136"/>
      <c r="U132" s="136"/>
      <c r="V132" s="136"/>
      <c r="W132" s="17"/>
      <c r="X132" s="17"/>
      <c r="Y132" s="17"/>
      <c r="Z132" s="17"/>
      <c r="AA132" s="17"/>
      <c r="AB132" s="17"/>
      <c r="AC132" s="17"/>
      <c r="AD132" s="17"/>
      <c r="AE132" s="17"/>
      <c r="AF132" s="17"/>
      <c r="AG132" s="17"/>
      <c r="AH132" s="17"/>
      <c r="AI132" s="17"/>
      <c r="AJ132" s="17"/>
      <c r="AK132" s="17"/>
      <c r="AL132" s="17"/>
      <c r="AM132" s="17"/>
      <c r="AN132" s="17"/>
    </row>
    <row r="133" spans="1:40">
      <c r="A133" s="19"/>
      <c r="B133" s="19"/>
      <c r="C133" s="918"/>
      <c r="D133" s="19"/>
      <c r="E133" s="134"/>
      <c r="F133" s="134"/>
      <c r="G133" s="134"/>
      <c r="H133" s="134"/>
      <c r="I133" s="136"/>
      <c r="J133" s="136"/>
      <c r="K133" s="136"/>
      <c r="L133" s="136"/>
      <c r="M133" s="136"/>
      <c r="N133" s="136"/>
      <c r="O133" s="136"/>
      <c r="P133" s="136"/>
      <c r="Q133" s="136"/>
      <c r="R133" s="136"/>
      <c r="S133" s="136"/>
      <c r="T133" s="136"/>
      <c r="U133" s="136"/>
      <c r="V133" s="136"/>
      <c r="W133" s="17"/>
      <c r="X133" s="17"/>
      <c r="Y133" s="17"/>
      <c r="Z133" s="17"/>
      <c r="AA133" s="17"/>
      <c r="AB133" s="17"/>
      <c r="AC133" s="17"/>
      <c r="AD133" s="17"/>
      <c r="AE133" s="17"/>
      <c r="AF133" s="17"/>
      <c r="AG133" s="17"/>
      <c r="AH133" s="17"/>
      <c r="AI133" s="17"/>
      <c r="AJ133" s="17"/>
      <c r="AK133" s="17"/>
      <c r="AL133" s="17"/>
      <c r="AM133" s="17"/>
      <c r="AN133" s="17"/>
    </row>
    <row r="134" spans="1:40">
      <c r="A134" s="19"/>
      <c r="B134" s="19"/>
      <c r="C134" s="918"/>
      <c r="D134" s="19"/>
      <c r="E134" s="134"/>
      <c r="F134" s="134"/>
      <c r="G134" s="134"/>
      <c r="H134" s="134"/>
      <c r="I134" s="136"/>
      <c r="J134" s="136"/>
      <c r="K134" s="136"/>
      <c r="L134" s="136"/>
      <c r="M134" s="136"/>
      <c r="N134" s="136"/>
      <c r="O134" s="136"/>
      <c r="P134" s="136"/>
      <c r="Q134" s="136"/>
      <c r="R134" s="136"/>
      <c r="S134" s="136"/>
      <c r="T134" s="136"/>
      <c r="U134" s="136"/>
      <c r="V134" s="136"/>
      <c r="W134" s="17"/>
      <c r="X134" s="17"/>
      <c r="Y134" s="17"/>
      <c r="Z134" s="17"/>
      <c r="AA134" s="17"/>
      <c r="AB134" s="17"/>
      <c r="AC134" s="17"/>
      <c r="AD134" s="17"/>
      <c r="AE134" s="17"/>
      <c r="AF134" s="17"/>
      <c r="AG134" s="17"/>
      <c r="AH134" s="17"/>
      <c r="AI134" s="17"/>
      <c r="AJ134" s="17"/>
      <c r="AK134" s="17"/>
      <c r="AL134" s="17"/>
      <c r="AM134" s="17"/>
      <c r="AN134" s="17"/>
    </row>
    <row r="135" spans="1:40">
      <c r="A135" s="19"/>
      <c r="B135" s="19"/>
      <c r="C135" s="918"/>
      <c r="D135" s="19"/>
      <c r="E135" s="134"/>
      <c r="F135" s="134"/>
      <c r="G135" s="134"/>
      <c r="H135" s="134"/>
      <c r="I135" s="136"/>
      <c r="J135" s="136"/>
      <c r="K135" s="136"/>
      <c r="L135" s="136"/>
      <c r="M135" s="136"/>
      <c r="N135" s="136"/>
      <c r="O135" s="136"/>
      <c r="P135" s="136"/>
      <c r="Q135" s="136"/>
      <c r="R135" s="136"/>
      <c r="S135" s="136"/>
      <c r="T135" s="136"/>
      <c r="U135" s="136"/>
      <c r="V135" s="136"/>
      <c r="W135" s="17"/>
      <c r="X135" s="17"/>
      <c r="Y135" s="17"/>
      <c r="Z135" s="17"/>
      <c r="AA135" s="17"/>
      <c r="AB135" s="17"/>
      <c r="AC135" s="17"/>
      <c r="AD135" s="17"/>
      <c r="AE135" s="17"/>
      <c r="AF135" s="17"/>
      <c r="AG135" s="17"/>
      <c r="AH135" s="17"/>
      <c r="AI135" s="17"/>
      <c r="AJ135" s="17"/>
      <c r="AK135" s="17"/>
      <c r="AL135" s="17"/>
      <c r="AM135" s="17"/>
      <c r="AN135" s="17"/>
    </row>
    <row r="136" spans="1:40">
      <c r="A136" s="19"/>
      <c r="B136" s="19"/>
      <c r="C136" s="918"/>
      <c r="D136" s="19"/>
      <c r="E136" s="134"/>
      <c r="F136" s="134"/>
      <c r="G136" s="134"/>
      <c r="H136" s="134"/>
      <c r="I136" s="136"/>
      <c r="J136" s="136"/>
      <c r="K136" s="136"/>
      <c r="L136" s="136"/>
      <c r="M136" s="136"/>
      <c r="N136" s="136"/>
      <c r="O136" s="136"/>
      <c r="P136" s="136"/>
      <c r="Q136" s="136"/>
      <c r="R136" s="136"/>
      <c r="S136" s="136"/>
      <c r="T136" s="136"/>
      <c r="U136" s="136"/>
      <c r="V136" s="136"/>
      <c r="W136" s="17"/>
      <c r="X136" s="17"/>
      <c r="Y136" s="17"/>
      <c r="Z136" s="17"/>
      <c r="AA136" s="17"/>
      <c r="AB136" s="17"/>
      <c r="AC136" s="17"/>
      <c r="AD136" s="17"/>
      <c r="AE136" s="17"/>
      <c r="AF136" s="17"/>
      <c r="AG136" s="17"/>
      <c r="AH136" s="17"/>
      <c r="AI136" s="17"/>
      <c r="AJ136" s="17"/>
      <c r="AK136" s="17"/>
      <c r="AL136" s="17"/>
      <c r="AM136" s="17"/>
      <c r="AN136" s="17"/>
    </row>
    <row r="137" spans="1:40">
      <c r="A137" s="19"/>
      <c r="B137" s="19"/>
      <c r="C137" s="918"/>
      <c r="D137" s="19"/>
      <c r="E137" s="134"/>
      <c r="F137" s="134"/>
      <c r="G137" s="134"/>
      <c r="H137" s="134"/>
      <c r="I137" s="136"/>
      <c r="J137" s="136"/>
      <c r="K137" s="136"/>
      <c r="L137" s="136"/>
      <c r="M137" s="136"/>
      <c r="N137" s="136"/>
      <c r="O137" s="136"/>
      <c r="P137" s="136"/>
      <c r="Q137" s="136"/>
      <c r="R137" s="136"/>
      <c r="S137" s="136"/>
      <c r="T137" s="136"/>
      <c r="U137" s="136"/>
      <c r="V137" s="136"/>
      <c r="W137" s="17"/>
      <c r="X137" s="17"/>
      <c r="Y137" s="17"/>
      <c r="Z137" s="17"/>
      <c r="AA137" s="17"/>
      <c r="AB137" s="17"/>
      <c r="AC137" s="17"/>
      <c r="AD137" s="17"/>
      <c r="AE137" s="17"/>
      <c r="AF137" s="17"/>
      <c r="AG137" s="17"/>
      <c r="AH137" s="17"/>
      <c r="AI137" s="17"/>
      <c r="AJ137" s="17"/>
      <c r="AK137" s="17"/>
      <c r="AL137" s="17"/>
      <c r="AM137" s="17"/>
      <c r="AN137" s="17"/>
    </row>
    <row r="138" spans="1:40">
      <c r="A138" s="19"/>
      <c r="B138" s="19"/>
      <c r="C138" s="918"/>
      <c r="D138" s="19"/>
      <c r="E138" s="134"/>
      <c r="F138" s="134"/>
      <c r="G138" s="134"/>
      <c r="H138" s="134"/>
      <c r="I138" s="136"/>
      <c r="J138" s="136"/>
      <c r="K138" s="136"/>
      <c r="L138" s="136"/>
      <c r="M138" s="136"/>
      <c r="N138" s="136"/>
      <c r="O138" s="136"/>
      <c r="P138" s="136"/>
      <c r="Q138" s="136"/>
      <c r="R138" s="136"/>
      <c r="S138" s="136"/>
      <c r="T138" s="136"/>
      <c r="U138" s="136"/>
      <c r="V138" s="136"/>
      <c r="W138" s="17"/>
      <c r="X138" s="17"/>
      <c r="Y138" s="17"/>
      <c r="Z138" s="17"/>
      <c r="AA138" s="17"/>
      <c r="AB138" s="17"/>
      <c r="AC138" s="17"/>
      <c r="AD138" s="17"/>
      <c r="AE138" s="17"/>
      <c r="AF138" s="17"/>
      <c r="AG138" s="17"/>
      <c r="AH138" s="17"/>
      <c r="AI138" s="17"/>
      <c r="AJ138" s="17"/>
      <c r="AK138" s="17"/>
      <c r="AL138" s="17"/>
      <c r="AM138" s="17"/>
      <c r="AN138" s="17"/>
    </row>
    <row r="139" spans="1:40">
      <c r="A139" s="19"/>
      <c r="B139" s="19"/>
      <c r="C139" s="918"/>
      <c r="D139" s="19"/>
      <c r="E139" s="134"/>
      <c r="F139" s="134"/>
      <c r="G139" s="134"/>
      <c r="H139" s="134"/>
      <c r="I139" s="136"/>
      <c r="J139" s="136"/>
      <c r="K139" s="136"/>
      <c r="L139" s="136"/>
      <c r="M139" s="136"/>
      <c r="N139" s="136"/>
      <c r="O139" s="136"/>
      <c r="P139" s="136"/>
      <c r="Q139" s="136"/>
      <c r="R139" s="136"/>
      <c r="S139" s="136"/>
      <c r="T139" s="136"/>
      <c r="U139" s="136"/>
      <c r="V139" s="136"/>
      <c r="W139" s="17"/>
      <c r="X139" s="17"/>
      <c r="Y139" s="17"/>
      <c r="Z139" s="17"/>
      <c r="AA139" s="17"/>
      <c r="AB139" s="17"/>
      <c r="AC139" s="17"/>
      <c r="AD139" s="17"/>
      <c r="AE139" s="17"/>
      <c r="AF139" s="17"/>
      <c r="AG139" s="17"/>
      <c r="AH139" s="17"/>
      <c r="AI139" s="17"/>
      <c r="AJ139" s="17"/>
      <c r="AK139" s="17"/>
      <c r="AL139" s="17"/>
      <c r="AM139" s="17"/>
      <c r="AN139" s="17"/>
    </row>
    <row r="140" spans="1:40">
      <c r="A140" s="19"/>
      <c r="B140" s="19"/>
      <c r="C140" s="918"/>
      <c r="D140" s="19"/>
      <c r="E140" s="134"/>
      <c r="F140" s="134"/>
      <c r="G140" s="134"/>
      <c r="H140" s="134"/>
      <c r="I140" s="136"/>
      <c r="J140" s="136"/>
      <c r="K140" s="136"/>
      <c r="L140" s="136"/>
      <c r="M140" s="136"/>
      <c r="N140" s="136"/>
      <c r="O140" s="136"/>
      <c r="P140" s="136"/>
      <c r="Q140" s="136"/>
      <c r="R140" s="136"/>
      <c r="S140" s="136"/>
      <c r="T140" s="136"/>
      <c r="U140" s="136"/>
      <c r="V140" s="136"/>
      <c r="W140" s="17"/>
      <c r="X140" s="17"/>
      <c r="Y140" s="17"/>
      <c r="Z140" s="17"/>
      <c r="AA140" s="17"/>
      <c r="AB140" s="17"/>
      <c r="AC140" s="17"/>
      <c r="AD140" s="17"/>
      <c r="AE140" s="17"/>
      <c r="AF140" s="17"/>
      <c r="AG140" s="17"/>
      <c r="AH140" s="17"/>
      <c r="AI140" s="17"/>
      <c r="AJ140" s="17"/>
      <c r="AK140" s="17"/>
      <c r="AL140" s="17"/>
      <c r="AM140" s="17"/>
      <c r="AN140" s="17"/>
    </row>
    <row r="141" spans="1:40">
      <c r="A141" s="19"/>
      <c r="B141" s="19"/>
      <c r="C141" s="918"/>
      <c r="D141" s="19"/>
      <c r="E141" s="134"/>
      <c r="F141" s="134"/>
      <c r="G141" s="134"/>
      <c r="H141" s="134"/>
      <c r="I141" s="136"/>
      <c r="J141" s="136"/>
      <c r="K141" s="136"/>
      <c r="L141" s="136"/>
      <c r="M141" s="136"/>
      <c r="N141" s="136"/>
      <c r="O141" s="136"/>
      <c r="P141" s="136"/>
      <c r="Q141" s="136"/>
      <c r="R141" s="136"/>
      <c r="S141" s="136"/>
      <c r="T141" s="136"/>
      <c r="U141" s="136"/>
      <c r="V141" s="136"/>
      <c r="W141" s="17"/>
      <c r="X141" s="17"/>
      <c r="Y141" s="17"/>
      <c r="Z141" s="17"/>
      <c r="AA141" s="17"/>
      <c r="AB141" s="17"/>
      <c r="AC141" s="17"/>
      <c r="AD141" s="17"/>
      <c r="AE141" s="17"/>
      <c r="AF141" s="17"/>
      <c r="AG141" s="17"/>
      <c r="AH141" s="17"/>
      <c r="AI141" s="17"/>
      <c r="AJ141" s="17"/>
      <c r="AK141" s="17"/>
      <c r="AL141" s="17"/>
      <c r="AM141" s="17"/>
      <c r="AN141" s="17"/>
    </row>
    <row r="142" spans="1:40">
      <c r="A142" s="19"/>
      <c r="B142" s="19"/>
      <c r="C142" s="918"/>
      <c r="D142" s="19"/>
      <c r="E142" s="134"/>
      <c r="F142" s="134"/>
      <c r="G142" s="134"/>
      <c r="H142" s="134"/>
      <c r="I142" s="136"/>
      <c r="J142" s="136"/>
      <c r="K142" s="136"/>
      <c r="L142" s="136"/>
      <c r="M142" s="136"/>
      <c r="N142" s="136"/>
      <c r="O142" s="136"/>
      <c r="P142" s="136"/>
      <c r="Q142" s="136"/>
      <c r="R142" s="136"/>
      <c r="S142" s="136"/>
      <c r="T142" s="136"/>
      <c r="U142" s="136"/>
      <c r="V142" s="136"/>
      <c r="W142" s="17"/>
      <c r="X142" s="17"/>
      <c r="Y142" s="17"/>
      <c r="Z142" s="17"/>
      <c r="AA142" s="17"/>
      <c r="AB142" s="17"/>
      <c r="AC142" s="17"/>
      <c r="AD142" s="17"/>
      <c r="AE142" s="17"/>
      <c r="AF142" s="17"/>
      <c r="AG142" s="17"/>
      <c r="AH142" s="17"/>
      <c r="AI142" s="17"/>
      <c r="AJ142" s="17"/>
      <c r="AK142" s="17"/>
      <c r="AL142" s="17"/>
      <c r="AM142" s="17"/>
      <c r="AN142" s="17"/>
    </row>
    <row r="143" spans="1:40">
      <c r="A143" s="19"/>
      <c r="B143" s="19"/>
      <c r="C143" s="918"/>
      <c r="D143" s="19"/>
      <c r="E143" s="134"/>
      <c r="F143" s="134"/>
      <c r="G143" s="134"/>
      <c r="H143" s="134"/>
      <c r="I143" s="136"/>
      <c r="J143" s="136"/>
      <c r="K143" s="136"/>
      <c r="L143" s="136"/>
      <c r="M143" s="136"/>
      <c r="N143" s="136"/>
      <c r="O143" s="136"/>
      <c r="P143" s="136"/>
      <c r="Q143" s="136"/>
      <c r="R143" s="136"/>
      <c r="S143" s="136"/>
      <c r="T143" s="136"/>
      <c r="U143" s="136"/>
      <c r="V143" s="136"/>
      <c r="W143" s="17"/>
      <c r="X143" s="17"/>
      <c r="Y143" s="17"/>
      <c r="Z143" s="17"/>
      <c r="AA143" s="17"/>
      <c r="AB143" s="17"/>
      <c r="AC143" s="17"/>
      <c r="AD143" s="17"/>
      <c r="AE143" s="17"/>
      <c r="AF143" s="17"/>
      <c r="AG143" s="17"/>
      <c r="AH143" s="17"/>
      <c r="AI143" s="17"/>
      <c r="AJ143" s="17"/>
      <c r="AK143" s="17"/>
      <c r="AL143" s="17"/>
      <c r="AM143" s="17"/>
      <c r="AN143" s="17"/>
    </row>
    <row r="144" spans="1:40">
      <c r="A144" s="19"/>
      <c r="B144" s="19"/>
      <c r="C144" s="918"/>
      <c r="D144" s="19"/>
      <c r="E144" s="134"/>
      <c r="F144" s="134"/>
      <c r="G144" s="134"/>
      <c r="H144" s="134"/>
      <c r="I144" s="136"/>
      <c r="J144" s="136"/>
      <c r="K144" s="136"/>
      <c r="L144" s="136"/>
      <c r="M144" s="136"/>
      <c r="N144" s="136"/>
      <c r="O144" s="136"/>
      <c r="P144" s="136"/>
      <c r="Q144" s="136"/>
      <c r="R144" s="136"/>
      <c r="S144" s="136"/>
      <c r="T144" s="136"/>
      <c r="U144" s="136"/>
      <c r="V144" s="136"/>
      <c r="W144" s="17"/>
      <c r="X144" s="17"/>
      <c r="Y144" s="17"/>
      <c r="Z144" s="17"/>
      <c r="AA144" s="17"/>
      <c r="AB144" s="17"/>
      <c r="AC144" s="17"/>
      <c r="AD144" s="17"/>
      <c r="AE144" s="17"/>
      <c r="AF144" s="17"/>
      <c r="AG144" s="17"/>
      <c r="AH144" s="17"/>
      <c r="AI144" s="17"/>
      <c r="AJ144" s="17"/>
      <c r="AK144" s="17"/>
      <c r="AL144" s="17"/>
      <c r="AM144" s="17"/>
      <c r="AN144" s="17"/>
    </row>
    <row r="145" spans="1:40">
      <c r="A145" s="19"/>
      <c r="B145" s="19"/>
      <c r="C145" s="918"/>
      <c r="D145" s="19"/>
      <c r="E145" s="134"/>
      <c r="F145" s="134"/>
      <c r="G145" s="134"/>
      <c r="H145" s="134"/>
      <c r="I145" s="136"/>
      <c r="J145" s="136"/>
      <c r="K145" s="136"/>
      <c r="L145" s="136"/>
      <c r="M145" s="136"/>
      <c r="N145" s="136"/>
      <c r="O145" s="136"/>
      <c r="P145" s="136"/>
      <c r="Q145" s="136"/>
      <c r="R145" s="136"/>
      <c r="S145" s="136"/>
      <c r="T145" s="136"/>
      <c r="U145" s="136"/>
      <c r="V145" s="136"/>
      <c r="W145" s="17"/>
      <c r="X145" s="17"/>
      <c r="Y145" s="17"/>
      <c r="Z145" s="17"/>
      <c r="AA145" s="17"/>
      <c r="AB145" s="17"/>
      <c r="AC145" s="17"/>
      <c r="AD145" s="17"/>
      <c r="AE145" s="17"/>
      <c r="AF145" s="17"/>
      <c r="AG145" s="17"/>
      <c r="AH145" s="17"/>
      <c r="AI145" s="17"/>
      <c r="AJ145" s="17"/>
      <c r="AK145" s="17"/>
      <c r="AL145" s="17"/>
      <c r="AM145" s="17"/>
      <c r="AN145" s="17"/>
    </row>
    <row r="146" spans="1:40">
      <c r="A146" s="19"/>
      <c r="B146" s="19"/>
      <c r="C146" s="918"/>
      <c r="D146" s="19"/>
      <c r="E146" s="134"/>
      <c r="F146" s="134"/>
      <c r="G146" s="134"/>
      <c r="H146" s="134"/>
      <c r="I146" s="136"/>
      <c r="J146" s="136"/>
      <c r="K146" s="136"/>
      <c r="L146" s="136"/>
      <c r="M146" s="136"/>
      <c r="N146" s="136"/>
      <c r="O146" s="136"/>
      <c r="P146" s="136"/>
      <c r="Q146" s="136"/>
      <c r="R146" s="136"/>
      <c r="S146" s="136"/>
      <c r="T146" s="136"/>
      <c r="U146" s="136"/>
      <c r="V146" s="136"/>
      <c r="W146" s="17"/>
      <c r="X146" s="17"/>
      <c r="Y146" s="17"/>
      <c r="Z146" s="17"/>
      <c r="AA146" s="17"/>
      <c r="AB146" s="17"/>
      <c r="AC146" s="17"/>
      <c r="AD146" s="17"/>
      <c r="AE146" s="17"/>
      <c r="AF146" s="17"/>
      <c r="AG146" s="17"/>
      <c r="AH146" s="17"/>
      <c r="AI146" s="17"/>
      <c r="AJ146" s="17"/>
      <c r="AK146" s="17"/>
      <c r="AL146" s="17"/>
      <c r="AM146" s="17"/>
      <c r="AN146" s="17"/>
    </row>
    <row r="147" spans="1:40">
      <c r="A147" s="19"/>
      <c r="B147" s="19"/>
      <c r="C147" s="918"/>
      <c r="D147" s="19"/>
      <c r="E147" s="134"/>
      <c r="F147" s="134"/>
      <c r="G147" s="134"/>
      <c r="H147" s="134"/>
      <c r="I147" s="136"/>
      <c r="J147" s="136"/>
      <c r="K147" s="136"/>
      <c r="L147" s="136"/>
      <c r="M147" s="136"/>
      <c r="N147" s="136"/>
      <c r="O147" s="136"/>
      <c r="P147" s="136"/>
      <c r="Q147" s="136"/>
      <c r="R147" s="136"/>
      <c r="S147" s="136"/>
      <c r="T147" s="136"/>
      <c r="U147" s="136"/>
      <c r="V147" s="136"/>
      <c r="W147" s="17"/>
      <c r="X147" s="17"/>
      <c r="Y147" s="17"/>
      <c r="Z147" s="17"/>
      <c r="AA147" s="17"/>
      <c r="AB147" s="17"/>
      <c r="AC147" s="17"/>
      <c r="AD147" s="17"/>
      <c r="AE147" s="17"/>
      <c r="AF147" s="17"/>
      <c r="AG147" s="17"/>
      <c r="AH147" s="17"/>
      <c r="AI147" s="17"/>
      <c r="AJ147" s="17"/>
      <c r="AK147" s="17"/>
      <c r="AL147" s="17"/>
      <c r="AM147" s="17"/>
      <c r="AN147" s="17"/>
    </row>
    <row r="148" spans="1:40">
      <c r="A148" s="19"/>
      <c r="B148" s="19"/>
      <c r="C148" s="918"/>
      <c r="D148" s="19"/>
      <c r="E148" s="134"/>
      <c r="F148" s="134"/>
      <c r="G148" s="134"/>
      <c r="H148" s="134"/>
      <c r="I148" s="136"/>
      <c r="J148" s="136"/>
      <c r="K148" s="136"/>
      <c r="L148" s="136"/>
      <c r="M148" s="136"/>
      <c r="N148" s="136"/>
      <c r="O148" s="136"/>
      <c r="P148" s="136"/>
      <c r="Q148" s="136"/>
      <c r="R148" s="136"/>
      <c r="S148" s="136"/>
      <c r="T148" s="136"/>
      <c r="U148" s="136"/>
      <c r="V148" s="136"/>
      <c r="W148" s="17"/>
      <c r="X148" s="17"/>
      <c r="Y148" s="17"/>
      <c r="Z148" s="17"/>
      <c r="AA148" s="17"/>
      <c r="AB148" s="17"/>
      <c r="AC148" s="17"/>
      <c r="AD148" s="17"/>
      <c r="AE148" s="17"/>
      <c r="AF148" s="17"/>
      <c r="AG148" s="17"/>
      <c r="AH148" s="17"/>
      <c r="AI148" s="17"/>
      <c r="AJ148" s="17"/>
      <c r="AK148" s="17"/>
      <c r="AL148" s="17"/>
      <c r="AM148" s="17"/>
      <c r="AN148" s="17"/>
    </row>
    <row r="149" spans="1:40">
      <c r="A149" s="19"/>
      <c r="B149" s="19"/>
      <c r="C149" s="918"/>
      <c r="D149" s="19"/>
      <c r="E149" s="134"/>
      <c r="F149" s="134"/>
      <c r="G149" s="134"/>
      <c r="H149" s="134"/>
      <c r="I149" s="136"/>
      <c r="J149" s="136"/>
      <c r="K149" s="136"/>
      <c r="L149" s="136"/>
      <c r="M149" s="136"/>
      <c r="N149" s="136"/>
      <c r="O149" s="136"/>
      <c r="P149" s="136"/>
      <c r="Q149" s="136"/>
      <c r="R149" s="136"/>
      <c r="S149" s="136"/>
      <c r="T149" s="136"/>
      <c r="U149" s="136"/>
      <c r="V149" s="136"/>
      <c r="W149" s="17"/>
      <c r="X149" s="17"/>
      <c r="Y149" s="17"/>
      <c r="Z149" s="17"/>
      <c r="AA149" s="17"/>
      <c r="AB149" s="17"/>
      <c r="AC149" s="17"/>
      <c r="AD149" s="17"/>
      <c r="AE149" s="17"/>
      <c r="AF149" s="17"/>
      <c r="AG149" s="17"/>
      <c r="AH149" s="17"/>
      <c r="AI149" s="17"/>
      <c r="AJ149" s="17"/>
      <c r="AK149" s="17"/>
      <c r="AL149" s="17"/>
      <c r="AM149" s="17"/>
      <c r="AN149" s="17"/>
    </row>
    <row r="150" spans="1:40">
      <c r="A150" s="19"/>
      <c r="B150" s="19"/>
      <c r="C150" s="918"/>
      <c r="D150" s="19"/>
      <c r="E150" s="134"/>
      <c r="F150" s="134"/>
      <c r="G150" s="134"/>
      <c r="H150" s="134"/>
      <c r="I150" s="136"/>
      <c r="J150" s="136"/>
      <c r="K150" s="136"/>
      <c r="L150" s="136"/>
      <c r="M150" s="136"/>
      <c r="N150" s="136"/>
      <c r="O150" s="136"/>
      <c r="P150" s="136"/>
      <c r="Q150" s="136"/>
      <c r="R150" s="136"/>
      <c r="S150" s="136"/>
      <c r="T150" s="136"/>
      <c r="U150" s="136"/>
      <c r="V150" s="136"/>
      <c r="W150" s="17"/>
      <c r="X150" s="17"/>
      <c r="Y150" s="17"/>
      <c r="Z150" s="17"/>
      <c r="AA150" s="17"/>
      <c r="AB150" s="17"/>
      <c r="AC150" s="17"/>
      <c r="AD150" s="17"/>
      <c r="AE150" s="17"/>
      <c r="AF150" s="17"/>
      <c r="AG150" s="17"/>
      <c r="AH150" s="17"/>
      <c r="AI150" s="17"/>
      <c r="AJ150" s="17"/>
      <c r="AK150" s="17"/>
      <c r="AL150" s="17"/>
      <c r="AM150" s="17"/>
      <c r="AN150" s="17"/>
    </row>
    <row r="151" spans="1:40">
      <c r="A151" s="19"/>
      <c r="B151" s="19"/>
      <c r="C151" s="918"/>
      <c r="D151" s="19"/>
      <c r="E151" s="134"/>
      <c r="F151" s="134"/>
      <c r="G151" s="134"/>
      <c r="H151" s="134"/>
      <c r="I151" s="136"/>
      <c r="J151" s="136"/>
      <c r="K151" s="136"/>
      <c r="L151" s="136"/>
      <c r="M151" s="136"/>
      <c r="N151" s="136"/>
      <c r="O151" s="136"/>
      <c r="P151" s="136"/>
      <c r="Q151" s="136"/>
      <c r="R151" s="136"/>
      <c r="S151" s="136"/>
      <c r="T151" s="136"/>
      <c r="U151" s="136"/>
      <c r="V151" s="136"/>
      <c r="W151" s="17"/>
      <c r="X151" s="17"/>
      <c r="Y151" s="17"/>
      <c r="Z151" s="17"/>
      <c r="AA151" s="17"/>
      <c r="AB151" s="17"/>
      <c r="AC151" s="17"/>
      <c r="AD151" s="17"/>
      <c r="AE151" s="17"/>
      <c r="AF151" s="17"/>
      <c r="AG151" s="17"/>
      <c r="AH151" s="17"/>
      <c r="AI151" s="17"/>
      <c r="AJ151" s="17"/>
      <c r="AK151" s="17"/>
      <c r="AL151" s="17"/>
      <c r="AM151" s="17"/>
      <c r="AN151" s="17"/>
    </row>
    <row r="152" spans="1:40">
      <c r="A152" s="19"/>
      <c r="B152" s="19"/>
      <c r="C152" s="918"/>
      <c r="D152" s="19"/>
      <c r="E152" s="134"/>
      <c r="F152" s="134"/>
      <c r="G152" s="134"/>
      <c r="H152" s="134"/>
      <c r="I152" s="136"/>
      <c r="J152" s="136"/>
      <c r="K152" s="136"/>
      <c r="L152" s="136"/>
      <c r="M152" s="136"/>
      <c r="N152" s="136"/>
      <c r="O152" s="136"/>
      <c r="P152" s="136"/>
      <c r="Q152" s="136"/>
      <c r="R152" s="136"/>
      <c r="S152" s="136"/>
      <c r="T152" s="136"/>
      <c r="U152" s="136"/>
      <c r="V152" s="136"/>
      <c r="W152" s="17"/>
      <c r="X152" s="17"/>
      <c r="Y152" s="17"/>
      <c r="Z152" s="17"/>
      <c r="AA152" s="17"/>
      <c r="AB152" s="17"/>
      <c r="AC152" s="17"/>
      <c r="AD152" s="17"/>
      <c r="AE152" s="17"/>
      <c r="AF152" s="17"/>
      <c r="AG152" s="17"/>
      <c r="AH152" s="17"/>
      <c r="AI152" s="17"/>
      <c r="AJ152" s="17"/>
      <c r="AK152" s="17"/>
      <c r="AL152" s="17"/>
      <c r="AM152" s="17"/>
      <c r="AN152" s="17"/>
    </row>
    <row r="153" spans="1:40">
      <c r="A153" s="19"/>
      <c r="B153" s="19"/>
      <c r="C153" s="918"/>
      <c r="D153" s="19"/>
      <c r="E153" s="134"/>
      <c r="F153" s="134"/>
      <c r="G153" s="134"/>
      <c r="H153" s="134"/>
      <c r="I153" s="136"/>
      <c r="J153" s="136"/>
      <c r="K153" s="136"/>
      <c r="L153" s="136"/>
      <c r="M153" s="136"/>
      <c r="N153" s="136"/>
      <c r="O153" s="136"/>
      <c r="P153" s="136"/>
      <c r="Q153" s="136"/>
      <c r="R153" s="136"/>
      <c r="S153" s="136"/>
      <c r="T153" s="136"/>
      <c r="U153" s="136"/>
      <c r="V153" s="136"/>
      <c r="W153" s="17"/>
      <c r="X153" s="17"/>
      <c r="Y153" s="17"/>
      <c r="Z153" s="17"/>
      <c r="AA153" s="17"/>
      <c r="AB153" s="17"/>
      <c r="AC153" s="17"/>
      <c r="AD153" s="17"/>
      <c r="AE153" s="17"/>
      <c r="AF153" s="17"/>
      <c r="AG153" s="17"/>
      <c r="AH153" s="17"/>
      <c r="AI153" s="17"/>
      <c r="AJ153" s="17"/>
      <c r="AK153" s="17"/>
      <c r="AL153" s="17"/>
      <c r="AM153" s="17"/>
      <c r="AN153" s="17"/>
    </row>
    <row r="154" spans="1:40">
      <c r="A154" s="19"/>
      <c r="B154" s="19"/>
      <c r="C154" s="918"/>
      <c r="D154" s="19"/>
      <c r="E154" s="134"/>
      <c r="F154" s="134"/>
      <c r="G154" s="134"/>
      <c r="H154" s="134"/>
      <c r="I154" s="136"/>
      <c r="J154" s="136"/>
      <c r="K154" s="136"/>
      <c r="L154" s="136"/>
      <c r="M154" s="136"/>
      <c r="N154" s="136"/>
      <c r="O154" s="136"/>
      <c r="P154" s="136"/>
      <c r="Q154" s="136"/>
      <c r="R154" s="136"/>
      <c r="S154" s="136"/>
      <c r="T154" s="136"/>
      <c r="U154" s="136"/>
      <c r="V154" s="136"/>
      <c r="W154" s="17"/>
      <c r="X154" s="17"/>
      <c r="Y154" s="17"/>
      <c r="Z154" s="17"/>
      <c r="AA154" s="17"/>
      <c r="AB154" s="17"/>
      <c r="AC154" s="17"/>
      <c r="AD154" s="17"/>
      <c r="AE154" s="17"/>
      <c r="AF154" s="17"/>
      <c r="AG154" s="17"/>
      <c r="AH154" s="17"/>
      <c r="AI154" s="17"/>
      <c r="AJ154" s="17"/>
      <c r="AK154" s="17"/>
      <c r="AL154" s="17"/>
      <c r="AM154" s="17"/>
      <c r="AN154" s="17"/>
    </row>
    <row r="155" spans="1:40">
      <c r="A155" s="19"/>
      <c r="B155" s="19"/>
      <c r="C155" s="918"/>
      <c r="D155" s="19"/>
      <c r="E155" s="134"/>
      <c r="F155" s="134"/>
      <c r="G155" s="134"/>
      <c r="H155" s="134"/>
      <c r="I155" s="136"/>
      <c r="J155" s="136"/>
      <c r="K155" s="136"/>
      <c r="L155" s="136"/>
      <c r="M155" s="136"/>
      <c r="N155" s="136"/>
      <c r="O155" s="136"/>
      <c r="P155" s="136"/>
      <c r="Q155" s="136"/>
      <c r="R155" s="136"/>
      <c r="S155" s="136"/>
      <c r="T155" s="136"/>
      <c r="U155" s="136"/>
      <c r="V155" s="136"/>
      <c r="W155" s="17"/>
      <c r="X155" s="17"/>
      <c r="Y155" s="17"/>
      <c r="Z155" s="17"/>
      <c r="AA155" s="17"/>
      <c r="AB155" s="17"/>
      <c r="AC155" s="17"/>
      <c r="AD155" s="17"/>
      <c r="AE155" s="17"/>
      <c r="AF155" s="17"/>
      <c r="AG155" s="17"/>
      <c r="AH155" s="17"/>
      <c r="AI155" s="17"/>
      <c r="AJ155" s="17"/>
      <c r="AK155" s="17"/>
      <c r="AL155" s="17"/>
      <c r="AM155" s="17"/>
      <c r="AN155" s="17"/>
    </row>
    <row r="156" spans="1:40">
      <c r="A156" s="19"/>
      <c r="B156" s="19"/>
      <c r="C156" s="918"/>
      <c r="D156" s="19"/>
      <c r="E156" s="134"/>
      <c r="F156" s="134"/>
      <c r="G156" s="134"/>
      <c r="H156" s="134"/>
      <c r="I156" s="136"/>
      <c r="J156" s="136"/>
      <c r="K156" s="136"/>
      <c r="L156" s="136"/>
      <c r="M156" s="136"/>
      <c r="N156" s="136"/>
      <c r="O156" s="136"/>
      <c r="P156" s="136"/>
      <c r="Q156" s="136"/>
      <c r="R156" s="136"/>
      <c r="S156" s="136"/>
      <c r="T156" s="136"/>
      <c r="U156" s="136"/>
      <c r="V156" s="136"/>
      <c r="W156" s="17"/>
      <c r="X156" s="17"/>
      <c r="Y156" s="17"/>
      <c r="Z156" s="17"/>
      <c r="AA156" s="17"/>
      <c r="AB156" s="17"/>
      <c r="AC156" s="17"/>
      <c r="AD156" s="17"/>
      <c r="AE156" s="17"/>
      <c r="AF156" s="17"/>
      <c r="AG156" s="17"/>
      <c r="AH156" s="17"/>
      <c r="AI156" s="17"/>
      <c r="AJ156" s="17"/>
      <c r="AK156" s="17"/>
      <c r="AL156" s="17"/>
      <c r="AM156" s="17"/>
      <c r="AN156" s="17"/>
    </row>
    <row r="157" spans="1:40">
      <c r="A157" s="19"/>
      <c r="B157" s="19"/>
      <c r="C157" s="918"/>
      <c r="D157" s="19"/>
      <c r="E157" s="134"/>
      <c r="F157" s="134"/>
      <c r="G157" s="134"/>
      <c r="H157" s="134"/>
      <c r="I157" s="136"/>
      <c r="J157" s="136"/>
      <c r="K157" s="136"/>
      <c r="L157" s="136"/>
      <c r="M157" s="136"/>
      <c r="N157" s="136"/>
      <c r="O157" s="136"/>
      <c r="P157" s="136"/>
      <c r="Q157" s="136"/>
      <c r="R157" s="136"/>
      <c r="S157" s="136"/>
      <c r="T157" s="136"/>
      <c r="U157" s="136"/>
      <c r="V157" s="136"/>
      <c r="W157" s="17"/>
      <c r="X157" s="17"/>
      <c r="Y157" s="17"/>
      <c r="Z157" s="17"/>
      <c r="AA157" s="17"/>
      <c r="AB157" s="17"/>
      <c r="AC157" s="17"/>
      <c r="AD157" s="17"/>
      <c r="AE157" s="17"/>
      <c r="AF157" s="17"/>
      <c r="AG157" s="17"/>
      <c r="AH157" s="17"/>
      <c r="AI157" s="17"/>
      <c r="AJ157" s="17"/>
      <c r="AK157" s="17"/>
      <c r="AL157" s="17"/>
      <c r="AM157" s="17"/>
      <c r="AN157" s="17"/>
    </row>
    <row r="158" spans="1:40">
      <c r="A158" s="19"/>
      <c r="B158" s="19"/>
      <c r="C158" s="918"/>
      <c r="D158" s="19"/>
      <c r="E158" s="134"/>
      <c r="F158" s="134"/>
      <c r="G158" s="134"/>
      <c r="H158" s="134"/>
      <c r="I158" s="136"/>
      <c r="J158" s="136"/>
      <c r="K158" s="136"/>
      <c r="L158" s="136"/>
      <c r="M158" s="136"/>
      <c r="N158" s="136"/>
      <c r="O158" s="136"/>
      <c r="P158" s="136"/>
      <c r="Q158" s="136"/>
      <c r="R158" s="136"/>
      <c r="S158" s="136"/>
      <c r="T158" s="136"/>
      <c r="U158" s="136"/>
      <c r="V158" s="136"/>
      <c r="W158" s="17"/>
      <c r="X158" s="17"/>
      <c r="Y158" s="17"/>
      <c r="Z158" s="17"/>
      <c r="AA158" s="17"/>
      <c r="AB158" s="17"/>
      <c r="AC158" s="17"/>
      <c r="AD158" s="17"/>
      <c r="AE158" s="17"/>
      <c r="AF158" s="17"/>
      <c r="AG158" s="17"/>
      <c r="AH158" s="17"/>
      <c r="AI158" s="17"/>
      <c r="AJ158" s="17"/>
      <c r="AK158" s="17"/>
      <c r="AL158" s="17"/>
      <c r="AM158" s="17"/>
      <c r="AN158" s="17"/>
    </row>
    <row r="159" spans="1:40">
      <c r="A159" s="19"/>
      <c r="B159" s="19"/>
      <c r="C159" s="918"/>
      <c r="D159" s="19"/>
      <c r="E159" s="134"/>
      <c r="F159" s="134"/>
      <c r="G159" s="134"/>
      <c r="H159" s="134"/>
      <c r="I159" s="136"/>
      <c r="J159" s="136"/>
      <c r="K159" s="136"/>
      <c r="L159" s="136"/>
      <c r="M159" s="136"/>
      <c r="N159" s="136"/>
      <c r="O159" s="136"/>
      <c r="P159" s="136"/>
      <c r="Q159" s="136"/>
      <c r="R159" s="136"/>
      <c r="S159" s="136"/>
      <c r="T159" s="136"/>
      <c r="U159" s="136"/>
      <c r="V159" s="136"/>
      <c r="W159" s="17"/>
      <c r="X159" s="17"/>
      <c r="Y159" s="17"/>
      <c r="Z159" s="17"/>
      <c r="AA159" s="17"/>
      <c r="AB159" s="17"/>
      <c r="AC159" s="17"/>
      <c r="AD159" s="17"/>
      <c r="AE159" s="17"/>
      <c r="AF159" s="17"/>
      <c r="AG159" s="17"/>
      <c r="AH159" s="17"/>
      <c r="AI159" s="17"/>
      <c r="AJ159" s="17"/>
      <c r="AK159" s="17"/>
      <c r="AL159" s="17"/>
      <c r="AM159" s="17"/>
      <c r="AN159" s="17"/>
    </row>
    <row r="160" spans="1:40">
      <c r="A160" s="19"/>
      <c r="B160" s="19"/>
      <c r="C160" s="918"/>
      <c r="D160" s="19"/>
      <c r="E160" s="134"/>
      <c r="F160" s="134"/>
      <c r="G160" s="134"/>
      <c r="H160" s="134"/>
      <c r="I160" s="136"/>
      <c r="J160" s="136"/>
      <c r="K160" s="136"/>
      <c r="L160" s="136"/>
      <c r="M160" s="136"/>
      <c r="N160" s="136"/>
      <c r="O160" s="136"/>
      <c r="P160" s="136"/>
      <c r="Q160" s="136"/>
      <c r="R160" s="136"/>
      <c r="S160" s="136"/>
      <c r="T160" s="136"/>
      <c r="U160" s="136"/>
      <c r="V160" s="136"/>
      <c r="W160" s="17"/>
      <c r="X160" s="17"/>
      <c r="Y160" s="17"/>
      <c r="Z160" s="17"/>
      <c r="AA160" s="17"/>
      <c r="AB160" s="17"/>
      <c r="AC160" s="17"/>
      <c r="AD160" s="17"/>
      <c r="AE160" s="17"/>
      <c r="AF160" s="17"/>
      <c r="AG160" s="17"/>
      <c r="AH160" s="17"/>
      <c r="AI160" s="17"/>
      <c r="AJ160" s="17"/>
      <c r="AK160" s="17"/>
      <c r="AL160" s="17"/>
      <c r="AM160" s="17"/>
      <c r="AN160" s="17"/>
    </row>
    <row r="161" spans="1:40">
      <c r="A161" s="19"/>
      <c r="B161" s="19"/>
      <c r="C161" s="918"/>
      <c r="D161" s="19"/>
      <c r="E161" s="134"/>
      <c r="F161" s="134"/>
      <c r="G161" s="134"/>
      <c r="H161" s="134"/>
      <c r="I161" s="136"/>
      <c r="J161" s="136"/>
      <c r="K161" s="136"/>
      <c r="L161" s="136"/>
      <c r="M161" s="136"/>
      <c r="N161" s="136"/>
      <c r="O161" s="136"/>
      <c r="P161" s="136"/>
      <c r="Q161" s="136"/>
      <c r="R161" s="136"/>
      <c r="S161" s="136"/>
      <c r="T161" s="136"/>
      <c r="U161" s="136"/>
      <c r="V161" s="136"/>
      <c r="W161" s="17"/>
      <c r="X161" s="17"/>
      <c r="Y161" s="17"/>
      <c r="Z161" s="17"/>
      <c r="AA161" s="17"/>
      <c r="AB161" s="17"/>
      <c r="AC161" s="17"/>
      <c r="AD161" s="17"/>
      <c r="AE161" s="17"/>
      <c r="AF161" s="17"/>
      <c r="AG161" s="17"/>
      <c r="AH161" s="17"/>
      <c r="AI161" s="17"/>
      <c r="AJ161" s="17"/>
      <c r="AK161" s="17"/>
      <c r="AL161" s="17"/>
      <c r="AM161" s="17"/>
      <c r="AN161" s="17"/>
    </row>
    <row r="162" spans="1:40">
      <c r="A162" s="19"/>
      <c r="B162" s="19"/>
      <c r="C162" s="918"/>
      <c r="D162" s="19"/>
      <c r="E162" s="134"/>
      <c r="F162" s="134"/>
      <c r="G162" s="134"/>
      <c r="H162" s="134"/>
      <c r="I162" s="136"/>
      <c r="J162" s="136"/>
      <c r="K162" s="136"/>
      <c r="L162" s="136"/>
      <c r="M162" s="136"/>
      <c r="N162" s="136"/>
      <c r="O162" s="136"/>
      <c r="P162" s="136"/>
      <c r="Q162" s="136"/>
      <c r="R162" s="136"/>
      <c r="S162" s="136"/>
      <c r="T162" s="136"/>
      <c r="U162" s="136"/>
      <c r="V162" s="136"/>
      <c r="W162" s="17"/>
      <c r="X162" s="17"/>
      <c r="Y162" s="17"/>
      <c r="Z162" s="17"/>
      <c r="AA162" s="17"/>
      <c r="AB162" s="17"/>
      <c r="AC162" s="17"/>
      <c r="AD162" s="17"/>
      <c r="AE162" s="17"/>
      <c r="AF162" s="17"/>
      <c r="AG162" s="17"/>
      <c r="AH162" s="17"/>
      <c r="AI162" s="17"/>
      <c r="AJ162" s="17"/>
      <c r="AK162" s="17"/>
      <c r="AL162" s="17"/>
      <c r="AM162" s="17"/>
      <c r="AN162" s="17"/>
    </row>
    <row r="164" spans="1:40">
      <c r="A164" s="25"/>
    </row>
  </sheetData>
  <conditionalFormatting sqref="C20">
    <cfRule type="dataBar" priority="4">
      <dataBar showValue="0">
        <cfvo type="num" val="0"/>
        <cfvo type="formula" val="$F$18"/>
        <color rgb="FF002060"/>
      </dataBar>
      <extLst>
        <ext xmlns:x14="http://schemas.microsoft.com/office/spreadsheetml/2009/9/main" uri="{B025F937-C7B1-47D3-B67F-A62EFF666E3E}">
          <x14:id>{F9B50361-B76A-41F7-9635-B5DCAC0F30C3}</x14:id>
        </ext>
      </extLst>
    </cfRule>
  </conditionalFormatting>
  <conditionalFormatting sqref="B31:B33 D31:E35">
    <cfRule type="colorScale" priority="3">
      <colorScale>
        <cfvo type="formula" val="$B$31"/>
        <cfvo type="formula" val="($B$32)"/>
        <cfvo type="formula" val="$B$33"/>
        <color rgb="FFF8DF4A"/>
        <color rgb="FFFFB24B"/>
        <color rgb="FFFF5050"/>
      </colorScale>
    </cfRule>
  </conditionalFormatting>
  <conditionalFormatting sqref="H30:H36">
    <cfRule type="dataBar" priority="2">
      <dataBar>
        <cfvo type="num" val="0"/>
        <cfvo type="num" val="100"/>
        <color rgb="FFFFCC00"/>
      </dataBar>
      <extLst>
        <ext xmlns:x14="http://schemas.microsoft.com/office/spreadsheetml/2009/9/main" uri="{B025F937-C7B1-47D3-B67F-A62EFF666E3E}">
          <x14:id>{275EA775-F0D9-43F9-A907-FC9061369ECB}</x14:id>
        </ext>
      </extLst>
    </cfRule>
  </conditionalFormatting>
  <conditionalFormatting sqref="B36:B37">
    <cfRule type="dataBar" priority="1">
      <dataBar>
        <cfvo type="num" val="0"/>
        <cfvo type="num" val="100"/>
        <color rgb="FFFFCC00"/>
      </dataBar>
      <extLst>
        <ext xmlns:x14="http://schemas.microsoft.com/office/spreadsheetml/2009/9/main" uri="{B025F937-C7B1-47D3-B67F-A62EFF666E3E}">
          <x14:id>{F2DB55C1-D17C-406C-91D6-EEF8C0390B51}</x14:id>
        </ext>
      </extLst>
    </cfRule>
  </conditionalFormatting>
  <pageMargins left="0.511811024" right="0.511811024" top="0.78740157499999996" bottom="0.78740157499999996" header="0.31496062000000002" footer="0.31496062000000002"/>
  <drawing r:id="rId1"/>
  <legacyDrawing r:id="rId2"/>
  <mc:AlternateContent xmlns:mc="http://schemas.openxmlformats.org/markup-compatibility/2006">
    <mc:Choice Requires="x14">
      <controls>
        <mc:AlternateContent xmlns:mc="http://schemas.openxmlformats.org/markup-compatibility/2006">
          <mc:Choice Requires="x14">
            <control shapeId="5529699" r:id="rId3" name="Button 99">
              <controlPr defaultSize="0" print="0" autoFill="0" autoPict="0" macro="[0]!Tit_Gera">
                <anchor moveWithCells="1" sizeWithCells="1">
                  <from>
                    <xdr:col>1</xdr:col>
                    <xdr:colOff>247650</xdr:colOff>
                    <xdr:row>18</xdr:row>
                    <xdr:rowOff>85725</xdr:rowOff>
                  </from>
                  <to>
                    <xdr:col>2</xdr:col>
                    <xdr:colOff>257175</xdr:colOff>
                    <xdr:row>18</xdr:row>
                    <xdr:rowOff>314325</xdr:rowOff>
                  </to>
                </anchor>
              </controlPr>
            </control>
          </mc:Choice>
        </mc:AlternateContent>
        <mc:AlternateContent xmlns:mc="http://schemas.openxmlformats.org/markup-compatibility/2006">
          <mc:Choice Requires="x14">
            <control shapeId="5529607" r:id="rId4" name="Button 7">
              <controlPr defaultSize="0" print="0" autoFill="0" autoPict="0" macro="[0]!Tit_Copy_pKas">
                <anchor moveWithCells="1" sizeWithCells="1">
                  <from>
                    <xdr:col>9</xdr:col>
                    <xdr:colOff>28575</xdr:colOff>
                    <xdr:row>0</xdr:row>
                    <xdr:rowOff>57150</xdr:rowOff>
                  </from>
                  <to>
                    <xdr:col>9</xdr:col>
                    <xdr:colOff>1019175</xdr:colOff>
                    <xdr:row>2</xdr:row>
                    <xdr:rowOff>85725</xdr:rowOff>
                  </to>
                </anchor>
              </controlPr>
            </control>
          </mc:Choice>
        </mc:AlternateContent>
        <mc:AlternateContent xmlns:mc="http://schemas.openxmlformats.org/markup-compatibility/2006">
          <mc:Choice Requires="x14">
            <control shapeId="5529608" r:id="rId5" name="Drop Down 8">
              <controlPr defaultSize="0" autoLine="0" autoPict="0">
                <anchor moveWithCells="1">
                  <from>
                    <xdr:col>10</xdr:col>
                    <xdr:colOff>0</xdr:colOff>
                    <xdr:row>1</xdr:row>
                    <xdr:rowOff>0</xdr:rowOff>
                  </from>
                  <to>
                    <xdr:col>11</xdr:col>
                    <xdr:colOff>523875</xdr:colOff>
                    <xdr:row>2</xdr:row>
                    <xdr:rowOff>0</xdr:rowOff>
                  </to>
                </anchor>
              </controlPr>
            </control>
          </mc:Choice>
        </mc:AlternateContent>
        <mc:AlternateContent xmlns:mc="http://schemas.openxmlformats.org/markup-compatibility/2006">
          <mc:Choice Requires="x14">
            <control shapeId="5529609" r:id="rId6" name="Drop Down 9">
              <controlPr defaultSize="0" autoLine="0" autoPict="0">
                <anchor moveWithCells="1">
                  <from>
                    <xdr:col>11</xdr:col>
                    <xdr:colOff>9525</xdr:colOff>
                    <xdr:row>1</xdr:row>
                    <xdr:rowOff>0</xdr:rowOff>
                  </from>
                  <to>
                    <xdr:col>12</xdr:col>
                    <xdr:colOff>571500</xdr:colOff>
                    <xdr:row>2</xdr:row>
                    <xdr:rowOff>0</xdr:rowOff>
                  </to>
                </anchor>
              </controlPr>
            </control>
          </mc:Choice>
        </mc:AlternateContent>
        <mc:AlternateContent xmlns:mc="http://schemas.openxmlformats.org/markup-compatibility/2006">
          <mc:Choice Requires="x14">
            <control shapeId="5529610" r:id="rId7" name="Drop Down 10">
              <controlPr defaultSize="0" autoLine="0" autoPict="0">
                <anchor moveWithCells="1">
                  <from>
                    <xdr:col>12</xdr:col>
                    <xdr:colOff>19050</xdr:colOff>
                    <xdr:row>1</xdr:row>
                    <xdr:rowOff>0</xdr:rowOff>
                  </from>
                  <to>
                    <xdr:col>13</xdr:col>
                    <xdr:colOff>561975</xdr:colOff>
                    <xdr:row>2</xdr:row>
                    <xdr:rowOff>0</xdr:rowOff>
                  </to>
                </anchor>
              </controlPr>
            </control>
          </mc:Choice>
        </mc:AlternateContent>
        <mc:AlternateContent xmlns:mc="http://schemas.openxmlformats.org/markup-compatibility/2006">
          <mc:Choice Requires="x14">
            <control shapeId="5529611" r:id="rId8" name="Drop Down 11">
              <controlPr defaultSize="0" autoLine="0" autoPict="0">
                <anchor moveWithCells="1">
                  <from>
                    <xdr:col>13</xdr:col>
                    <xdr:colOff>0</xdr:colOff>
                    <xdr:row>1</xdr:row>
                    <xdr:rowOff>0</xdr:rowOff>
                  </from>
                  <to>
                    <xdr:col>14</xdr:col>
                    <xdr:colOff>571500</xdr:colOff>
                    <xdr:row>2</xdr:row>
                    <xdr:rowOff>0</xdr:rowOff>
                  </to>
                </anchor>
              </controlPr>
            </control>
          </mc:Choice>
        </mc:AlternateContent>
        <mc:AlternateContent xmlns:mc="http://schemas.openxmlformats.org/markup-compatibility/2006">
          <mc:Choice Requires="x14">
            <control shapeId="5529612" r:id="rId9" name="Drop Down 12">
              <controlPr defaultSize="0" autoLine="0" autoPict="0">
                <anchor moveWithCells="1">
                  <from>
                    <xdr:col>14</xdr:col>
                    <xdr:colOff>9525</xdr:colOff>
                    <xdr:row>1</xdr:row>
                    <xdr:rowOff>0</xdr:rowOff>
                  </from>
                  <to>
                    <xdr:col>15</xdr:col>
                    <xdr:colOff>600075</xdr:colOff>
                    <xdr:row>2</xdr:row>
                    <xdr:rowOff>0</xdr:rowOff>
                  </to>
                </anchor>
              </controlPr>
            </control>
          </mc:Choice>
        </mc:AlternateContent>
        <mc:AlternateContent xmlns:mc="http://schemas.openxmlformats.org/markup-compatibility/2006">
          <mc:Choice Requires="x14">
            <control shapeId="5529613" r:id="rId10" name="Drop Down 13">
              <controlPr defaultSize="0" autoLine="0" autoPict="0">
                <anchor moveWithCells="1">
                  <from>
                    <xdr:col>15</xdr:col>
                    <xdr:colOff>9525</xdr:colOff>
                    <xdr:row>1</xdr:row>
                    <xdr:rowOff>0</xdr:rowOff>
                  </from>
                  <to>
                    <xdr:col>16</xdr:col>
                    <xdr:colOff>628650</xdr:colOff>
                    <xdr:row>2</xdr:row>
                    <xdr:rowOff>0</xdr:rowOff>
                  </to>
                </anchor>
              </controlPr>
            </control>
          </mc:Choice>
        </mc:AlternateContent>
        <mc:AlternateContent xmlns:mc="http://schemas.openxmlformats.org/markup-compatibility/2006">
          <mc:Choice Requires="x14">
            <control shapeId="5529614" r:id="rId11" name="Drop Down 14">
              <controlPr defaultSize="0" autoLine="0" autoPict="0">
                <anchor moveWithCells="1">
                  <from>
                    <xdr:col>16</xdr:col>
                    <xdr:colOff>9525</xdr:colOff>
                    <xdr:row>1</xdr:row>
                    <xdr:rowOff>0</xdr:rowOff>
                  </from>
                  <to>
                    <xdr:col>17</xdr:col>
                    <xdr:colOff>247650</xdr:colOff>
                    <xdr:row>2</xdr:row>
                    <xdr:rowOff>0</xdr:rowOff>
                  </to>
                </anchor>
              </controlPr>
            </control>
          </mc:Choice>
        </mc:AlternateContent>
        <mc:AlternateContent xmlns:mc="http://schemas.openxmlformats.org/markup-compatibility/2006">
          <mc:Choice Requires="x14">
            <control shapeId="5529675" r:id="rId12" name="Button 75">
              <controlPr defaultSize="0" print="0" autoFill="0" autoPict="0" macro="[0]!Tit_pH_Init">
                <anchor moveWithCells="1" sizeWithCells="1">
                  <from>
                    <xdr:col>0</xdr:col>
                    <xdr:colOff>85725</xdr:colOff>
                    <xdr:row>21</xdr:row>
                    <xdr:rowOff>66675</xdr:rowOff>
                  </from>
                  <to>
                    <xdr:col>0</xdr:col>
                    <xdr:colOff>400050</xdr:colOff>
                    <xdr:row>25</xdr:row>
                    <xdr:rowOff>104775</xdr:rowOff>
                  </to>
                </anchor>
              </controlPr>
            </control>
          </mc:Choice>
        </mc:AlternateContent>
        <mc:AlternateContent xmlns:mc="http://schemas.openxmlformats.org/markup-compatibility/2006">
          <mc:Choice Requires="x14">
            <control shapeId="5529676" r:id="rId13" name="Button 76">
              <controlPr defaultSize="0" print="0" autoFill="0" autoPict="0" macro="[0]!Tit_dVol_10">
                <anchor moveWithCells="1" sizeWithCells="1">
                  <from>
                    <xdr:col>1</xdr:col>
                    <xdr:colOff>581025</xdr:colOff>
                    <xdr:row>24</xdr:row>
                    <xdr:rowOff>123825</xdr:rowOff>
                  </from>
                  <to>
                    <xdr:col>2</xdr:col>
                    <xdr:colOff>304800</xdr:colOff>
                    <xdr:row>25</xdr:row>
                    <xdr:rowOff>142875</xdr:rowOff>
                  </to>
                </anchor>
              </controlPr>
            </control>
          </mc:Choice>
        </mc:AlternateContent>
        <mc:AlternateContent xmlns:mc="http://schemas.openxmlformats.org/markup-compatibility/2006">
          <mc:Choice Requires="x14">
            <control shapeId="5529677" r:id="rId14" name="Button 77">
              <controlPr defaultSize="0" print="0" autoFill="0" autoPict="0" macro="[0]!Tit_dVol_20">
                <anchor moveWithCells="1" sizeWithCells="1">
                  <from>
                    <xdr:col>1</xdr:col>
                    <xdr:colOff>38100</xdr:colOff>
                    <xdr:row>24</xdr:row>
                    <xdr:rowOff>123825</xdr:rowOff>
                  </from>
                  <to>
                    <xdr:col>1</xdr:col>
                    <xdr:colOff>542925</xdr:colOff>
                    <xdr:row>25</xdr:row>
                    <xdr:rowOff>142875</xdr:rowOff>
                  </to>
                </anchor>
              </controlPr>
            </control>
          </mc:Choice>
        </mc:AlternateContent>
        <mc:AlternateContent xmlns:mc="http://schemas.openxmlformats.org/markup-compatibility/2006">
          <mc:Choice Requires="x14">
            <control shapeId="5529678" r:id="rId15" name="Button 78">
              <controlPr defaultSize="0" print="0" autoFill="0" autoPict="0" macro="[0]!Tit_dVol_50">
                <anchor moveWithCells="1" sizeWithCells="1">
                  <from>
                    <xdr:col>0</xdr:col>
                    <xdr:colOff>457200</xdr:colOff>
                    <xdr:row>24</xdr:row>
                    <xdr:rowOff>123825</xdr:rowOff>
                  </from>
                  <to>
                    <xdr:col>0</xdr:col>
                    <xdr:colOff>962025</xdr:colOff>
                    <xdr:row>25</xdr:row>
                    <xdr:rowOff>142875</xdr:rowOff>
                  </to>
                </anchor>
              </controlPr>
            </control>
          </mc:Choice>
        </mc:AlternateContent>
        <mc:AlternateContent xmlns:mc="http://schemas.openxmlformats.org/markup-compatibility/2006">
          <mc:Choice Requires="x14">
            <control shapeId="5529679" r:id="rId16" name="Button 79">
              <controlPr defaultSize="0" print="0" autoFill="0" autoPict="0" macro="[0]!Tit_dVol_100">
                <anchor moveWithCells="1" sizeWithCells="1">
                  <from>
                    <xdr:col>1</xdr:col>
                    <xdr:colOff>581025</xdr:colOff>
                    <xdr:row>23</xdr:row>
                    <xdr:rowOff>57150</xdr:rowOff>
                  </from>
                  <to>
                    <xdr:col>2</xdr:col>
                    <xdr:colOff>304800</xdr:colOff>
                    <xdr:row>24</xdr:row>
                    <xdr:rowOff>76200</xdr:rowOff>
                  </to>
                </anchor>
              </controlPr>
            </control>
          </mc:Choice>
        </mc:AlternateContent>
        <mc:AlternateContent xmlns:mc="http://schemas.openxmlformats.org/markup-compatibility/2006">
          <mc:Choice Requires="x14">
            <control shapeId="5529680" r:id="rId17" name="Button 80">
              <controlPr defaultSize="0" print="0" autoFill="0" autoPict="0" macro="[0]!Tit_dVol_200">
                <anchor moveWithCells="1" sizeWithCells="1">
                  <from>
                    <xdr:col>1</xdr:col>
                    <xdr:colOff>28575</xdr:colOff>
                    <xdr:row>23</xdr:row>
                    <xdr:rowOff>57150</xdr:rowOff>
                  </from>
                  <to>
                    <xdr:col>1</xdr:col>
                    <xdr:colOff>533400</xdr:colOff>
                    <xdr:row>24</xdr:row>
                    <xdr:rowOff>76200</xdr:rowOff>
                  </to>
                </anchor>
              </controlPr>
            </control>
          </mc:Choice>
        </mc:AlternateContent>
        <mc:AlternateContent xmlns:mc="http://schemas.openxmlformats.org/markup-compatibility/2006">
          <mc:Choice Requires="x14">
            <control shapeId="5529681" r:id="rId18" name="Button 81">
              <controlPr defaultSize="0" print="0" autoFill="0" autoPict="0" macro="[0]!Tit_dVol_500">
                <anchor moveWithCells="1" sizeWithCells="1">
                  <from>
                    <xdr:col>0</xdr:col>
                    <xdr:colOff>457200</xdr:colOff>
                    <xdr:row>23</xdr:row>
                    <xdr:rowOff>57150</xdr:rowOff>
                  </from>
                  <to>
                    <xdr:col>0</xdr:col>
                    <xdr:colOff>962025</xdr:colOff>
                    <xdr:row>24</xdr:row>
                    <xdr:rowOff>76200</xdr:rowOff>
                  </to>
                </anchor>
              </controlPr>
            </control>
          </mc:Choice>
        </mc:AlternateContent>
        <mc:AlternateContent xmlns:mc="http://schemas.openxmlformats.org/markup-compatibility/2006">
          <mc:Choice Requires="x14">
            <control shapeId="5529682" r:id="rId19" name="Button 82">
              <controlPr defaultSize="0" print="0" autoFill="0" autoPict="0" macro="[0]!Tit_dVol_1000">
                <anchor moveWithCells="1" sizeWithCells="1">
                  <from>
                    <xdr:col>1</xdr:col>
                    <xdr:colOff>581025</xdr:colOff>
                    <xdr:row>21</xdr:row>
                    <xdr:rowOff>209550</xdr:rowOff>
                  </from>
                  <to>
                    <xdr:col>2</xdr:col>
                    <xdr:colOff>304800</xdr:colOff>
                    <xdr:row>23</xdr:row>
                    <xdr:rowOff>0</xdr:rowOff>
                  </to>
                </anchor>
              </controlPr>
            </control>
          </mc:Choice>
        </mc:AlternateContent>
        <mc:AlternateContent xmlns:mc="http://schemas.openxmlformats.org/markup-compatibility/2006">
          <mc:Choice Requires="x14">
            <control shapeId="5529683" r:id="rId20" name="Button 83">
              <controlPr defaultSize="0" print="0" autoFill="0" autoPict="0" macro="[0]!Tit_dVol_2000">
                <anchor moveWithCells="1" sizeWithCells="1">
                  <from>
                    <xdr:col>1</xdr:col>
                    <xdr:colOff>28575</xdr:colOff>
                    <xdr:row>21</xdr:row>
                    <xdr:rowOff>209550</xdr:rowOff>
                  </from>
                  <to>
                    <xdr:col>1</xdr:col>
                    <xdr:colOff>533400</xdr:colOff>
                    <xdr:row>23</xdr:row>
                    <xdr:rowOff>0</xdr:rowOff>
                  </to>
                </anchor>
              </controlPr>
            </control>
          </mc:Choice>
        </mc:AlternateContent>
        <mc:AlternateContent xmlns:mc="http://schemas.openxmlformats.org/markup-compatibility/2006">
          <mc:Choice Requires="x14">
            <control shapeId="5529684" r:id="rId21" name="Button 84">
              <controlPr defaultSize="0" print="0" autoFill="0" autoPict="0" macro="[0]!Tit_dVol_5000">
                <anchor moveWithCells="1" sizeWithCells="1">
                  <from>
                    <xdr:col>0</xdr:col>
                    <xdr:colOff>457200</xdr:colOff>
                    <xdr:row>21</xdr:row>
                    <xdr:rowOff>209550</xdr:rowOff>
                  </from>
                  <to>
                    <xdr:col>0</xdr:col>
                    <xdr:colOff>962025</xdr:colOff>
                    <xdr:row>23</xdr:row>
                    <xdr:rowOff>0</xdr:rowOff>
                  </to>
                </anchor>
              </controlPr>
            </control>
          </mc:Choice>
        </mc:AlternateContent>
        <mc:AlternateContent xmlns:mc="http://schemas.openxmlformats.org/markup-compatibility/2006">
          <mc:Choice Requires="x14">
            <control shapeId="5529685" r:id="rId22" name="Button 85">
              <controlPr defaultSize="0" print="0" autoFill="0" autoPict="0" macro="[0]!Tit_reverso">
                <anchor moveWithCells="1" sizeWithCells="1">
                  <from>
                    <xdr:col>2</xdr:col>
                    <xdr:colOff>381000</xdr:colOff>
                    <xdr:row>21</xdr:row>
                    <xdr:rowOff>180975</xdr:rowOff>
                  </from>
                  <to>
                    <xdr:col>2</xdr:col>
                    <xdr:colOff>685800</xdr:colOff>
                    <xdr:row>25</xdr:row>
                    <xdr:rowOff>114300</xdr:rowOff>
                  </to>
                </anchor>
              </controlPr>
            </control>
          </mc:Choice>
        </mc:AlternateContent>
        <mc:AlternateContent xmlns:mc="http://schemas.openxmlformats.org/markup-compatibility/2006">
          <mc:Choice Requires="x14">
            <control shapeId="5529686" r:id="rId23" name="Check Box 86">
              <controlPr defaultSize="0" autoFill="0" autoLine="0" autoPict="0" macro="[0]!Tit_plot_pH">
                <anchor moveWithCells="1">
                  <from>
                    <xdr:col>5</xdr:col>
                    <xdr:colOff>447675</xdr:colOff>
                    <xdr:row>24</xdr:row>
                    <xdr:rowOff>9525</xdr:rowOff>
                  </from>
                  <to>
                    <xdr:col>6</xdr:col>
                    <xdr:colOff>19050</xdr:colOff>
                    <xdr:row>24</xdr:row>
                    <xdr:rowOff>171450</xdr:rowOff>
                  </to>
                </anchor>
              </controlPr>
            </control>
          </mc:Choice>
        </mc:AlternateContent>
        <mc:AlternateContent xmlns:mc="http://schemas.openxmlformats.org/markup-compatibility/2006">
          <mc:Choice Requires="x14">
            <control shapeId="5529687" r:id="rId24" name="Check Box 87">
              <controlPr defaultSize="0" autoFill="0" autoLine="0" autoPict="0" macro="[0]!Tit_show_distri">
                <anchor moveWithCells="1">
                  <from>
                    <xdr:col>5</xdr:col>
                    <xdr:colOff>447675</xdr:colOff>
                    <xdr:row>25</xdr:row>
                    <xdr:rowOff>0</xdr:rowOff>
                  </from>
                  <to>
                    <xdr:col>5</xdr:col>
                    <xdr:colOff>752475</xdr:colOff>
                    <xdr:row>25</xdr:row>
                    <xdr:rowOff>161925</xdr:rowOff>
                  </to>
                </anchor>
              </controlPr>
            </control>
          </mc:Choice>
        </mc:AlternateContent>
        <mc:AlternateContent xmlns:mc="http://schemas.openxmlformats.org/markup-compatibility/2006">
          <mc:Choice Requires="x14">
            <control shapeId="5529701" r:id="rId25" name="Button 101">
              <controlPr defaultSize="0" print="0" autoFill="0" autoPict="0" macro="[0]!Tit_Mostra">
                <anchor moveWithCells="1" sizeWithCells="1">
                  <from>
                    <xdr:col>2</xdr:col>
                    <xdr:colOff>371475</xdr:colOff>
                    <xdr:row>18</xdr:row>
                    <xdr:rowOff>85725</xdr:rowOff>
                  </from>
                  <to>
                    <xdr:col>3</xdr:col>
                    <xdr:colOff>257175</xdr:colOff>
                    <xdr:row>18</xdr:row>
                    <xdr:rowOff>314325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F9B50361-B76A-41F7-9635-B5DCAC0F30C3}">
            <x14:dataBar minLength="0" maxLength="100" negativeBarColorSameAsPositive="1" axisPosition="none">
              <x14:cfvo type="num">
                <xm:f>0</xm:f>
              </x14:cfvo>
              <x14:cfvo type="formula">
                <xm:f>$F$18</xm:f>
              </x14:cfvo>
            </x14:dataBar>
          </x14:cfRule>
          <xm:sqref>C20</xm:sqref>
        </x14:conditionalFormatting>
        <x14:conditionalFormatting xmlns:xm="http://schemas.microsoft.com/office/excel/2006/main">
          <x14:cfRule type="dataBar" id="{275EA775-F0D9-43F9-A907-FC9061369ECB}">
            <x14:dataBar minLength="0" maxLength="100" negativeBarColorSameAsPositive="1" axisPosition="none">
              <x14:cfvo type="num">
                <xm:f>0</xm:f>
              </x14:cfvo>
              <x14:cfvo type="num">
                <xm:f>100</xm:f>
              </x14:cfvo>
            </x14:dataBar>
          </x14:cfRule>
          <xm:sqref>H30:H36</xm:sqref>
        </x14:conditionalFormatting>
        <x14:conditionalFormatting xmlns:xm="http://schemas.microsoft.com/office/excel/2006/main">
          <x14:cfRule type="dataBar" id="{F2DB55C1-D17C-406C-91D6-EEF8C0390B51}">
            <x14:dataBar minLength="0" maxLength="100" negativeBarColorSameAsPositive="1" axisPosition="none">
              <x14:cfvo type="num">
                <xm:f>0</xm:f>
              </x14:cfvo>
              <x14:cfvo type="num">
                <xm:f>100</xm:f>
              </x14:cfvo>
            </x14:dataBar>
          </x14:cfRule>
          <xm:sqref>B36:B37</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8"/>
  <dimension ref="A1:BZ162"/>
  <sheetViews>
    <sheetView zoomScale="85" zoomScaleNormal="85" workbookViewId="0"/>
  </sheetViews>
  <sheetFormatPr defaultRowHeight="12.75"/>
  <cols>
    <col min="1" max="1" width="13.42578125" customWidth="1"/>
    <col min="2" max="8" width="11.7109375" customWidth="1"/>
    <col min="9" max="9" width="16.42578125" customWidth="1"/>
    <col min="10" max="10" width="15.5703125" customWidth="1"/>
    <col min="11" max="20" width="15.7109375" customWidth="1"/>
    <col min="21" max="31" width="12.7109375" customWidth="1"/>
    <col min="32" max="32" width="18" customWidth="1"/>
    <col min="33" max="39" width="12.7109375" customWidth="1"/>
  </cols>
  <sheetData>
    <row r="1" spans="1:78" ht="24" customHeight="1">
      <c r="A1" s="424"/>
      <c r="B1" s="90"/>
      <c r="C1" s="90" t="s">
        <v>646</v>
      </c>
      <c r="D1" s="221"/>
      <c r="E1" s="221"/>
      <c r="F1" s="221"/>
      <c r="G1" s="221"/>
      <c r="H1" s="557" t="s">
        <v>761</v>
      </c>
      <c r="I1" s="221"/>
      <c r="J1" s="337"/>
      <c r="K1" s="378" t="s">
        <v>0</v>
      </c>
      <c r="L1" s="226"/>
      <c r="M1" s="226"/>
      <c r="N1" s="425" t="s">
        <v>649</v>
      </c>
      <c r="O1" s="425"/>
      <c r="P1" s="425"/>
      <c r="Q1" s="226"/>
      <c r="R1" s="226"/>
      <c r="S1" s="226"/>
      <c r="T1" s="229"/>
      <c r="U1" s="775" t="s">
        <v>1</v>
      </c>
      <c r="V1" s="227"/>
      <c r="W1" s="228"/>
      <c r="X1" s="228"/>
      <c r="Y1" s="228"/>
      <c r="Z1" s="107"/>
      <c r="AA1" s="107"/>
      <c r="AB1" s="455" t="s">
        <v>489</v>
      </c>
      <c r="AC1" s="316"/>
      <c r="AD1" s="315"/>
      <c r="AE1" s="317"/>
      <c r="AF1" s="337" t="s">
        <v>691</v>
      </c>
      <c r="AG1" s="226"/>
      <c r="AH1" s="226"/>
      <c r="AI1" s="226"/>
      <c r="AJ1" s="226"/>
      <c r="AK1" s="226"/>
      <c r="AL1" s="226"/>
      <c r="AM1" s="229"/>
      <c r="AN1" s="58"/>
      <c r="AO1" s="58"/>
      <c r="AP1" s="58"/>
      <c r="AQ1" s="58"/>
      <c r="AR1" s="58"/>
      <c r="AS1" s="58"/>
      <c r="AT1" s="58"/>
      <c r="AU1" s="58"/>
      <c r="AV1" s="58"/>
      <c r="AW1" s="58"/>
      <c r="AX1" s="58"/>
      <c r="AY1" s="58"/>
      <c r="AZ1" s="58"/>
      <c r="BA1" s="58"/>
      <c r="BB1" s="58"/>
      <c r="BC1" s="58"/>
      <c r="BD1" s="58"/>
      <c r="BE1" s="58"/>
      <c r="BF1" s="58"/>
      <c r="BG1" s="58"/>
      <c r="BH1" s="58"/>
      <c r="BI1" s="58"/>
      <c r="BJ1" s="58"/>
      <c r="BK1" s="58"/>
      <c r="BL1" s="58"/>
      <c r="BM1" s="58"/>
      <c r="BN1" s="58"/>
      <c r="BO1" s="58"/>
      <c r="BP1" s="58"/>
      <c r="BQ1" s="58"/>
      <c r="BR1" s="58"/>
      <c r="BS1" s="58"/>
      <c r="BT1" s="58"/>
      <c r="BU1" s="58"/>
      <c r="BV1" s="58"/>
      <c r="BW1" s="58"/>
      <c r="BX1" s="58"/>
      <c r="BY1" s="58"/>
      <c r="BZ1" s="58"/>
    </row>
    <row r="2" spans="1:78" ht="18" customHeight="1" thickBot="1">
      <c r="A2" s="746" t="s">
        <v>687</v>
      </c>
      <c r="B2" s="747"/>
      <c r="C2" s="747"/>
      <c r="D2" s="747"/>
      <c r="E2" s="747"/>
      <c r="F2" s="747"/>
      <c r="G2" s="748"/>
      <c r="H2" s="747"/>
      <c r="I2" s="749"/>
      <c r="J2" s="28"/>
      <c r="K2" s="380">
        <v>5</v>
      </c>
      <c r="L2" s="379">
        <v>8</v>
      </c>
      <c r="M2" s="379">
        <v>98</v>
      </c>
      <c r="N2" s="379">
        <v>1</v>
      </c>
      <c r="O2" s="379">
        <v>2</v>
      </c>
      <c r="P2" s="379">
        <v>6</v>
      </c>
      <c r="Q2" s="379">
        <v>3</v>
      </c>
      <c r="R2" s="207"/>
      <c r="S2" s="209" t="s">
        <v>608</v>
      </c>
      <c r="T2" s="778"/>
      <c r="U2" s="107"/>
      <c r="V2" s="207" t="s">
        <v>605</v>
      </c>
      <c r="W2" s="211"/>
      <c r="X2" s="50"/>
      <c r="Y2" s="50"/>
      <c r="Z2" s="208"/>
      <c r="AA2" s="209"/>
      <c r="AB2" s="210"/>
      <c r="AC2" s="207" t="s">
        <v>608</v>
      </c>
      <c r="AD2" s="210"/>
      <c r="AE2" s="212"/>
      <c r="AF2" s="218"/>
      <c r="AG2" s="252" t="s">
        <v>606</v>
      </c>
      <c r="AH2" s="314" t="s">
        <v>693</v>
      </c>
      <c r="AI2" s="50"/>
      <c r="AJ2" s="50"/>
      <c r="AK2" s="208"/>
      <c r="AL2" s="209"/>
      <c r="AM2" s="212"/>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row>
    <row r="3" spans="1:78" s="147" customFormat="1" ht="29.25" customHeight="1" thickTop="1">
      <c r="A3" s="1061" t="s">
        <v>1040</v>
      </c>
      <c r="B3" s="1353" t="str">
        <f>K3</f>
        <v>EDTA</v>
      </c>
      <c r="C3" s="1353" t="str">
        <f t="shared" ref="C3:H3" si="0">L3</f>
        <v>Phosphoric acid</v>
      </c>
      <c r="D3" s="1353" t="str">
        <f t="shared" si="0"/>
        <v xml:space="preserve">L-Glutamic acid </v>
      </c>
      <c r="E3" s="1353" t="str">
        <f t="shared" si="0"/>
        <v>Acetic acid</v>
      </c>
      <c r="F3" s="1353" t="str">
        <f t="shared" si="0"/>
        <v>Ammonia</v>
      </c>
      <c r="G3" s="1353" t="str">
        <f t="shared" si="0"/>
        <v>HCl</v>
      </c>
      <c r="H3" s="1354" t="str">
        <f t="shared" si="0"/>
        <v>Carbonic acid</v>
      </c>
      <c r="I3" s="586"/>
      <c r="J3" s="387" t="s">
        <v>596</v>
      </c>
      <c r="K3" s="274" t="s">
        <v>333</v>
      </c>
      <c r="L3" s="274" t="s">
        <v>126</v>
      </c>
      <c r="M3" s="274" t="s">
        <v>445</v>
      </c>
      <c r="N3" s="274" t="s">
        <v>128</v>
      </c>
      <c r="O3" s="274" t="s">
        <v>129</v>
      </c>
      <c r="P3" s="274" t="s">
        <v>329</v>
      </c>
      <c r="Q3" s="274" t="s">
        <v>161</v>
      </c>
      <c r="R3" s="280" t="s">
        <v>644</v>
      </c>
      <c r="S3" s="281" t="s">
        <v>645</v>
      </c>
      <c r="T3" s="779" t="s">
        <v>610</v>
      </c>
      <c r="U3" s="776" t="s">
        <v>596</v>
      </c>
      <c r="V3" s="242" t="str">
        <f t="shared" ref="V3:AB4" si="1">IF(K3="","",K3)</f>
        <v>EDTA</v>
      </c>
      <c r="W3" s="242" t="str">
        <f t="shared" si="1"/>
        <v>Phosphoric acid</v>
      </c>
      <c r="X3" s="242" t="str">
        <f t="shared" si="1"/>
        <v xml:space="preserve">L-Glutamic acid </v>
      </c>
      <c r="Y3" s="242" t="str">
        <f t="shared" si="1"/>
        <v>Acetic acid</v>
      </c>
      <c r="Z3" s="242" t="str">
        <f t="shared" si="1"/>
        <v>Ammonia</v>
      </c>
      <c r="AA3" s="242" t="str">
        <f t="shared" si="1"/>
        <v>HCl</v>
      </c>
      <c r="AB3" s="242" t="str">
        <f t="shared" si="1"/>
        <v>Carbonic acid</v>
      </c>
      <c r="AC3" s="204" t="str">
        <f>R3</f>
        <v>Strong ACID</v>
      </c>
      <c r="AD3" s="205" t="str">
        <f>S3</f>
        <v>Strong BASE</v>
      </c>
      <c r="AE3" s="206" t="str">
        <f>T3</f>
        <v>Carbonic ac.</v>
      </c>
      <c r="AF3" s="31" t="s">
        <v>596</v>
      </c>
      <c r="AG3" s="223" t="str">
        <f>IF(VLOOKUP(K$2,Database!$B$22:$N$301,2)="","",VLOOKUP(K$2,Database!$B$22:$N$301,2))</f>
        <v>EDTA</v>
      </c>
      <c r="AH3" s="223" t="str">
        <f>IF(VLOOKUP(L$2,Database!$B$22:$N$301,2)="","",VLOOKUP(L$2,Database!$B$22:$N$301,2))</f>
        <v>Phosphoric acid</v>
      </c>
      <c r="AI3" s="223" t="str">
        <f>IF(VLOOKUP(M$2,Database!$B$22:$N$301,2)="","",VLOOKUP(M$2,Database!$B$22:$N$301,2))</f>
        <v xml:space="preserve">L-Glutamic acid </v>
      </c>
      <c r="AJ3" s="223" t="str">
        <f>IF(VLOOKUP(N$2,Database!$B$22:$N$301,2)="","",VLOOKUP(N$2,Database!$B$22:$N$301,2))</f>
        <v>Acetic acid</v>
      </c>
      <c r="AK3" s="223" t="str">
        <f>IF(VLOOKUP(O$2,Database!$B$22:$N$301,2)="","",VLOOKUP(O$2,Database!$B$22:$N$301,2))</f>
        <v>Ammonia</v>
      </c>
      <c r="AL3" s="223" t="str">
        <f>IF(VLOOKUP(P$2,Database!$B$22:$N$301,2)="","",VLOOKUP(P$2,Database!$B$22:$N$301,2))</f>
        <v>HCl</v>
      </c>
      <c r="AM3" s="244" t="str">
        <f>IF(VLOOKUP(Q$2,Database!$B$22:$N$301,2)="","",VLOOKUP(Q$2,Database!$B$22:$N$301,2))</f>
        <v>Carbonic acid</v>
      </c>
      <c r="AN3" s="146"/>
      <c r="AO3" s="146"/>
      <c r="AP3" s="146"/>
      <c r="AQ3" s="146"/>
      <c r="AR3" s="146"/>
      <c r="AS3" s="146"/>
      <c r="AT3" s="146"/>
      <c r="AU3" s="146"/>
      <c r="AV3" s="146"/>
      <c r="AW3" s="146"/>
      <c r="AX3" s="146"/>
      <c r="AY3" s="146"/>
      <c r="AZ3" s="146"/>
      <c r="BA3" s="146"/>
      <c r="BB3" s="146"/>
      <c r="BC3" s="146"/>
      <c r="BD3" s="146"/>
      <c r="BE3" s="146"/>
      <c r="BF3" s="146"/>
      <c r="BG3" s="146"/>
      <c r="BH3" s="146"/>
      <c r="BI3" s="146"/>
      <c r="BJ3" s="146"/>
      <c r="BK3" s="146"/>
      <c r="BL3" s="146"/>
      <c r="BM3" s="146"/>
      <c r="BN3" s="146"/>
      <c r="BO3" s="146"/>
      <c r="BP3" s="146"/>
      <c r="BQ3" s="146"/>
      <c r="BR3" s="146"/>
      <c r="BS3" s="146"/>
      <c r="BT3" s="146"/>
      <c r="BU3" s="146"/>
      <c r="BV3" s="146"/>
      <c r="BW3" s="146"/>
      <c r="BX3" s="146"/>
      <c r="BY3" s="146"/>
      <c r="BZ3" s="146"/>
    </row>
    <row r="4" spans="1:78" ht="15" customHeight="1" thickBot="1">
      <c r="A4" s="1336" t="s">
        <v>335</v>
      </c>
      <c r="B4" s="1355"/>
      <c r="C4" s="1357"/>
      <c r="D4" s="1357"/>
      <c r="E4" s="1357"/>
      <c r="F4" s="1359"/>
      <c r="G4" s="1357"/>
      <c r="H4" s="1360"/>
      <c r="I4" s="586"/>
      <c r="J4" s="983" t="s">
        <v>597</v>
      </c>
      <c r="K4" s="1279">
        <v>-4</v>
      </c>
      <c r="L4" s="1279">
        <v>-3</v>
      </c>
      <c r="M4" s="1279">
        <v>-2</v>
      </c>
      <c r="N4" s="1279">
        <v>-1</v>
      </c>
      <c r="O4" s="1279">
        <v>0</v>
      </c>
      <c r="P4" s="1279">
        <v>-1</v>
      </c>
      <c r="Q4" s="1279">
        <v>-2</v>
      </c>
      <c r="R4" s="1280">
        <v>-1</v>
      </c>
      <c r="S4" s="1281">
        <v>-1</v>
      </c>
      <c r="T4" s="1282">
        <v>-2</v>
      </c>
      <c r="U4" s="777" t="s">
        <v>597</v>
      </c>
      <c r="V4" s="715">
        <f t="shared" si="1"/>
        <v>-4</v>
      </c>
      <c r="W4" s="393">
        <f t="shared" ref="W4:AB4" si="2">IF(L4="","",L4)</f>
        <v>-3</v>
      </c>
      <c r="X4" s="393">
        <f t="shared" si="2"/>
        <v>-2</v>
      </c>
      <c r="Y4" s="393">
        <f t="shared" si="2"/>
        <v>-1</v>
      </c>
      <c r="Z4" s="393">
        <f t="shared" si="2"/>
        <v>0</v>
      </c>
      <c r="AA4" s="393">
        <f t="shared" si="2"/>
        <v>-1</v>
      </c>
      <c r="AB4" s="393">
        <f t="shared" si="2"/>
        <v>-2</v>
      </c>
      <c r="AC4" s="109">
        <v>-1</v>
      </c>
      <c r="AD4" s="108">
        <v>-1</v>
      </c>
      <c r="AE4" s="110">
        <v>-2</v>
      </c>
      <c r="AF4" s="233" t="s">
        <v>607</v>
      </c>
      <c r="AG4" s="246">
        <f>IF(VLOOKUP(K$2,Database!$B$22:$N$301,3)="","",VLOOKUP(K$2,Database!$B$22:$N$301,3))</f>
        <v>-4</v>
      </c>
      <c r="AH4" s="246">
        <f>IF(VLOOKUP(L$2,Database!$B$22:$N$301,3)="","",VLOOKUP(L$2,Database!$B$22:$N$301,3))</f>
        <v>-3</v>
      </c>
      <c r="AI4" s="246">
        <f>IF(VLOOKUP(M$2,Database!$B$22:$N$301,3)="","",VLOOKUP(M$2,Database!$B$22:$N$301,3))</f>
        <v>-2</v>
      </c>
      <c r="AJ4" s="246">
        <f>IF(VLOOKUP(N$2,Database!$B$22:$N$301,3)="","",VLOOKUP(N$2,Database!$B$22:$N$301,3))</f>
        <v>-1</v>
      </c>
      <c r="AK4" s="246">
        <f>IF(VLOOKUP(O$2,Database!$B$22:$N$301,3)="","",VLOOKUP(O$2,Database!$B$22:$N$301,3))</f>
        <v>0</v>
      </c>
      <c r="AL4" s="246">
        <f>IF(VLOOKUP(P$2,Database!$B$22:$N$301,3)="","",VLOOKUP(P$2,Database!$B$22:$N$301,3))</f>
        <v>-1</v>
      </c>
      <c r="AM4" s="253">
        <f>IF(VLOOKUP(Q$2,Database!$B$22:$N$301,3)="","",VLOOKUP(Q$2,Database!$B$22:$N$301,3))</f>
        <v>-2</v>
      </c>
      <c r="AN4" s="30"/>
      <c r="AO4" s="30"/>
      <c r="AP4" s="30"/>
      <c r="AQ4" s="30"/>
      <c r="AR4" s="30"/>
      <c r="AS4" s="30"/>
      <c r="AT4" s="30"/>
      <c r="AU4" s="30"/>
      <c r="AV4" s="30"/>
      <c r="AW4" s="30"/>
      <c r="AX4" s="30"/>
      <c r="AY4" s="30"/>
      <c r="AZ4" s="30"/>
      <c r="BA4" s="30"/>
      <c r="BB4" s="30"/>
      <c r="BC4" s="30"/>
      <c r="BD4" s="30"/>
      <c r="BE4" s="30"/>
      <c r="BF4" s="30"/>
      <c r="BG4" s="30"/>
      <c r="BH4" s="30"/>
      <c r="BI4" s="30"/>
      <c r="BJ4" s="30"/>
      <c r="BK4" s="30"/>
      <c r="BL4" s="30"/>
      <c r="BM4" s="30"/>
      <c r="BN4" s="30"/>
      <c r="BO4" s="30"/>
      <c r="BP4" s="30"/>
      <c r="BQ4" s="30"/>
      <c r="BR4" s="30"/>
      <c r="BS4" s="30"/>
      <c r="BT4" s="30"/>
      <c r="BU4" s="30"/>
      <c r="BV4" s="30"/>
      <c r="BW4" s="30"/>
      <c r="BX4" s="30"/>
      <c r="BY4" s="30"/>
      <c r="BZ4" s="30"/>
    </row>
    <row r="5" spans="1:78" ht="15" customHeight="1" thickBot="1">
      <c r="A5" s="1337" t="s">
        <v>336</v>
      </c>
      <c r="B5" s="821"/>
      <c r="C5" s="822"/>
      <c r="D5" s="822"/>
      <c r="E5" s="1358"/>
      <c r="F5" s="822"/>
      <c r="G5" s="1358"/>
      <c r="H5" s="823"/>
      <c r="I5" s="586"/>
      <c r="J5" s="202" t="s">
        <v>638</v>
      </c>
      <c r="K5" s="269">
        <v>-0.21</v>
      </c>
      <c r="L5" s="269">
        <v>2.1480000000000001</v>
      </c>
      <c r="M5" s="269">
        <v>2.23</v>
      </c>
      <c r="N5" s="269">
        <v>4.7569999999999997</v>
      </c>
      <c r="O5" s="269">
        <v>9.2439999999999998</v>
      </c>
      <c r="P5" s="269">
        <v>-7</v>
      </c>
      <c r="Q5" s="269">
        <v>6.3520000000000003</v>
      </c>
      <c r="R5" s="1273">
        <v>-6</v>
      </c>
      <c r="S5" s="1179">
        <v>15.744999999999999</v>
      </c>
      <c r="T5" s="1274">
        <v>6.3520000000000003</v>
      </c>
      <c r="U5" s="36" t="s">
        <v>490</v>
      </c>
      <c r="V5" s="1294">
        <f t="shared" ref="V5:AB5" si="3">IF(K5="","",IF(K6="",10^K5,(IF(K7="",10^K6,(IF(K8="",10^K7,(IF(K9="",10^K8,(IF(K10="",10^K9,10^K10))))))))))</f>
        <v>107151930523.76077</v>
      </c>
      <c r="W5" s="115">
        <f t="shared" si="3"/>
        <v>2238721138568.3457</v>
      </c>
      <c r="X5" s="115">
        <f t="shared" si="3"/>
        <v>8912509381.3374634</v>
      </c>
      <c r="Y5" s="115">
        <f t="shared" si="3"/>
        <v>57147.863667186728</v>
      </c>
      <c r="Z5" s="115">
        <f t="shared" si="3"/>
        <v>1753880501.8417609</v>
      </c>
      <c r="AA5" s="115">
        <f t="shared" si="3"/>
        <v>9.9999999999999995E-8</v>
      </c>
      <c r="AB5" s="112">
        <f t="shared" si="3"/>
        <v>21330449131.465843</v>
      </c>
      <c r="AC5" s="71">
        <f>IF(R5="","",IF(R6="",10^R5,10^R6))</f>
        <v>9.9999999999999995E-7</v>
      </c>
      <c r="AD5" s="214">
        <f>IF(S5="","",IF(S6="",10^S5,10^S6))</f>
        <v>5559042572704029</v>
      </c>
      <c r="AE5" s="118">
        <f>IF(T5="","",IF(T6="",10^T5,10^T6))</f>
        <v>21330449131.465843</v>
      </c>
      <c r="AF5" s="201" t="s">
        <v>584</v>
      </c>
      <c r="AG5" s="254">
        <f>IF(VLOOKUP(K$2,Database!$B$22:$N$301,4)="","",VLOOKUP(K$2,Database!$B$22:$N$301,4))</f>
        <v>-0.21</v>
      </c>
      <c r="AH5" s="388">
        <f>IF(VLOOKUP(L$2,Database!$B$22:$N$301,4)="","",VLOOKUP(L$2,Database!$B$22:$N$301,4))</f>
        <v>2.1480000000000001</v>
      </c>
      <c r="AI5" s="388">
        <f>IF(VLOOKUP(M$2,Database!$B$22:$N$301,4)="","",VLOOKUP(M$2,Database!$B$22:$N$301,4))</f>
        <v>2.23</v>
      </c>
      <c r="AJ5" s="388">
        <f>IF(VLOOKUP(N$2,Database!$B$22:$N$301,4)="","",VLOOKUP(N$2,Database!$B$22:$N$301,4))</f>
        <v>4.7569999999999997</v>
      </c>
      <c r="AK5" s="388">
        <f>IF(VLOOKUP(O$2,Database!$B$22:$N$301,4)="","",VLOOKUP(O$2,Database!$B$22:$N$301,4))</f>
        <v>9.2439999999999998</v>
      </c>
      <c r="AL5" s="388">
        <f>IF(VLOOKUP(P$2,Database!$B$22:$N$301,4)="","",VLOOKUP(P$2,Database!$B$22:$N$301,4))</f>
        <v>-7</v>
      </c>
      <c r="AM5" s="389">
        <f>IF(VLOOKUP(Q$2,Database!$B$22:$N$301,4)="","",VLOOKUP(Q$2,Database!$B$22:$N$301,4))</f>
        <v>6.3520000000000003</v>
      </c>
      <c r="AN5" s="30"/>
      <c r="AO5" s="30"/>
      <c r="AP5" s="30"/>
      <c r="AQ5" s="30"/>
      <c r="AR5" s="30"/>
      <c r="AS5" s="30"/>
      <c r="AT5" s="30"/>
      <c r="AU5" s="30"/>
      <c r="AV5" s="30"/>
      <c r="AW5" s="30"/>
      <c r="AX5" s="30"/>
      <c r="AY5" s="30"/>
      <c r="AZ5" s="30"/>
      <c r="BA5" s="30"/>
      <c r="BB5" s="30"/>
      <c r="BC5" s="30"/>
      <c r="BD5" s="30"/>
      <c r="BE5" s="30"/>
      <c r="BF5" s="30"/>
      <c r="BG5" s="30"/>
      <c r="BH5" s="30"/>
      <c r="BI5" s="30"/>
      <c r="BJ5" s="30"/>
      <c r="BK5" s="30"/>
      <c r="BL5" s="30"/>
      <c r="BM5" s="30"/>
      <c r="BN5" s="30"/>
      <c r="BO5" s="30"/>
      <c r="BP5" s="30"/>
      <c r="BQ5" s="30"/>
      <c r="BR5" s="30"/>
      <c r="BS5" s="30"/>
      <c r="BT5" s="30"/>
      <c r="BU5" s="30"/>
      <c r="BV5" s="30"/>
      <c r="BW5" s="30"/>
      <c r="BX5" s="30"/>
      <c r="BY5" s="30"/>
      <c r="BZ5" s="30"/>
    </row>
    <row r="6" spans="1:78" ht="15" customHeight="1" thickBot="1">
      <c r="A6" s="1337" t="s">
        <v>894</v>
      </c>
      <c r="B6" s="821"/>
      <c r="C6" s="822"/>
      <c r="D6" s="1358"/>
      <c r="E6" s="824"/>
      <c r="F6" s="824"/>
      <c r="G6" s="824"/>
      <c r="H6" s="1361"/>
      <c r="I6" s="586"/>
      <c r="J6" s="202" t="s">
        <v>639</v>
      </c>
      <c r="K6" s="269">
        <v>1.5</v>
      </c>
      <c r="L6" s="269">
        <v>7.1989999999999998</v>
      </c>
      <c r="M6" s="269">
        <v>4.42</v>
      </c>
      <c r="N6" s="269" t="s">
        <v>591</v>
      </c>
      <c r="O6" s="269" t="s">
        <v>591</v>
      </c>
      <c r="P6" s="269" t="s">
        <v>591</v>
      </c>
      <c r="Q6" s="269">
        <v>10.329000000000001</v>
      </c>
      <c r="R6" s="1275"/>
      <c r="S6" s="1276"/>
      <c r="T6" s="1277">
        <v>10.329000000000001</v>
      </c>
      <c r="U6" s="36" t="s">
        <v>492</v>
      </c>
      <c r="V6" s="114">
        <f t="shared" ref="V6:AB6" si="4">IF(K6="","",IF(K7="",V5*10^K5,(IF(K8="",V5*10^K6,(IF(K9="",V5*10^K7,(IF(K10="",V5*10^K8,V5*10^K9))))))))</f>
        <v>6.0255958607435917E+17</v>
      </c>
      <c r="W6" s="115">
        <f t="shared" si="4"/>
        <v>3.539973410834362E+19</v>
      </c>
      <c r="X6" s="115">
        <f t="shared" si="4"/>
        <v>234422881531992.5</v>
      </c>
      <c r="Y6" s="115" t="str">
        <f t="shared" si="4"/>
        <v/>
      </c>
      <c r="Z6" s="115" t="str">
        <f t="shared" si="4"/>
        <v/>
      </c>
      <c r="AA6" s="115" t="str">
        <f t="shared" si="4"/>
        <v/>
      </c>
      <c r="AB6" s="116">
        <f t="shared" si="4"/>
        <v>4.7973344863669224E+16</v>
      </c>
      <c r="AC6" s="71" t="str">
        <f>IF(R6="","",AC5*10^R5)</f>
        <v/>
      </c>
      <c r="AD6" s="71" t="str">
        <f>IF(S6="","",AD5*10^S5)</f>
        <v/>
      </c>
      <c r="AE6" s="118">
        <f>IF(T6="","",AE5*10^T5)</f>
        <v>4.7973344863669224E+16</v>
      </c>
      <c r="AF6" s="202" t="s">
        <v>585</v>
      </c>
      <c r="AG6" s="247">
        <f>IF(VLOOKUP(K$2,Database!$B$22:$N$301,5)="","",VLOOKUP(K$2,Database!$B$22:$N$301,5))</f>
        <v>1.5</v>
      </c>
      <c r="AH6" s="248">
        <f>IF(VLOOKUP(L$2,Database!$B$22:$N$301,5)="","",VLOOKUP(L$2,Database!$B$22:$N$301,5))</f>
        <v>7.1989999999999998</v>
      </c>
      <c r="AI6" s="248">
        <f>IF(VLOOKUP(M$2,Database!$B$22:$N$301,5)="","",VLOOKUP(M$2,Database!$B$22:$N$301,5))</f>
        <v>4.42</v>
      </c>
      <c r="AJ6" s="248" t="str">
        <f>IF(VLOOKUP(N$2,Database!$B$22:$N$301,5)="","",VLOOKUP(N$2,Database!$B$22:$N$301,5))</f>
        <v/>
      </c>
      <c r="AK6" s="248" t="str">
        <f>IF(VLOOKUP(O$2,Database!$B$22:$N$301,5)="","",VLOOKUP(O$2,Database!$B$22:$N$301,5))</f>
        <v/>
      </c>
      <c r="AL6" s="248" t="str">
        <f>IF(VLOOKUP(P$2,Database!$B$22:$N$301,5)="","",VLOOKUP(P$2,Database!$B$22:$N$301,5))</f>
        <v/>
      </c>
      <c r="AM6" s="249">
        <f>IF(VLOOKUP(Q$2,Database!$B$22:$N$301,5)="","",VLOOKUP(Q$2,Database!$B$22:$N$301,5))</f>
        <v>10.329000000000001</v>
      </c>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O6" s="30"/>
      <c r="BP6" s="30"/>
      <c r="BQ6" s="30"/>
      <c r="BR6" s="30"/>
      <c r="BS6" s="30"/>
      <c r="BT6" s="30"/>
      <c r="BU6" s="30"/>
      <c r="BV6" s="30"/>
      <c r="BW6" s="30"/>
      <c r="BX6" s="30"/>
      <c r="BY6" s="30"/>
      <c r="BZ6" s="30"/>
    </row>
    <row r="7" spans="1:78" ht="15" customHeight="1" thickBot="1">
      <c r="A7" s="1337" t="s">
        <v>895</v>
      </c>
      <c r="B7" s="821"/>
      <c r="C7" s="1358">
        <v>0.05</v>
      </c>
      <c r="D7" s="822"/>
      <c r="E7" s="824"/>
      <c r="F7" s="824"/>
      <c r="G7" s="824"/>
      <c r="H7" s="825"/>
      <c r="I7" s="586"/>
      <c r="J7" s="202" t="s">
        <v>640</v>
      </c>
      <c r="K7" s="269">
        <v>2.21</v>
      </c>
      <c r="L7" s="269">
        <v>12.35</v>
      </c>
      <c r="M7" s="269">
        <v>9.9499999999999993</v>
      </c>
      <c r="N7" s="269" t="s">
        <v>591</v>
      </c>
      <c r="O7" s="269" t="s">
        <v>591</v>
      </c>
      <c r="P7" s="269" t="s">
        <v>591</v>
      </c>
      <c r="Q7" s="271" t="s">
        <v>591</v>
      </c>
      <c r="R7" s="1283"/>
      <c r="S7" s="1284"/>
      <c r="T7" s="1285"/>
      <c r="U7" s="113" t="s">
        <v>494</v>
      </c>
      <c r="V7" s="114">
        <f t="shared" ref="V7:AB7" si="5">IF(K7="","",IF(K8="",V6*10^K5,(IF(K9="",V6*10^K6,(IF(K10="",V6*10^K7,V6*10^K8))))))</f>
        <v>7.7624711662869401E+20</v>
      </c>
      <c r="W7" s="115">
        <f t="shared" si="5"/>
        <v>4.9773708497893867E+21</v>
      </c>
      <c r="X7" s="115">
        <f t="shared" si="5"/>
        <v>3.9810717055349776E+16</v>
      </c>
      <c r="Y7" s="115" t="str">
        <f t="shared" si="5"/>
        <v/>
      </c>
      <c r="Z7" s="115" t="str">
        <f t="shared" si="5"/>
        <v/>
      </c>
      <c r="AA7" s="115" t="str">
        <f t="shared" si="5"/>
        <v/>
      </c>
      <c r="AB7" s="116" t="str">
        <f t="shared" si="5"/>
        <v/>
      </c>
      <c r="AC7" s="115"/>
      <c r="AD7" s="115"/>
      <c r="AE7" s="118"/>
      <c r="AF7" s="202" t="s">
        <v>586</v>
      </c>
      <c r="AG7" s="247">
        <f>IF(VLOOKUP(K$2,Database!$B$22:$N$301,6)="","",VLOOKUP(K$2,Database!$B$22:$N$301,6))</f>
        <v>2.21</v>
      </c>
      <c r="AH7" s="248">
        <f>IF(VLOOKUP(L$2,Database!$B$22:$N$301,6)="","",VLOOKUP(L$2,Database!$B$22:$N$301,6))</f>
        <v>12.35</v>
      </c>
      <c r="AI7" s="248">
        <f>IF(VLOOKUP(M$2,Database!$B$22:$N$301,6)="","",VLOOKUP(M$2,Database!$B$22:$N$301,6))</f>
        <v>9.9499999999999993</v>
      </c>
      <c r="AJ7" s="248" t="str">
        <f>IF(VLOOKUP(N$2,Database!$B$22:$N$301,6)="","",VLOOKUP(N$2,Database!$B$22:$N$301,6))</f>
        <v/>
      </c>
      <c r="AK7" s="248" t="str">
        <f>IF(VLOOKUP(O$2,Database!$B$22:$N$301,6)="","",VLOOKUP(O$2,Database!$B$22:$N$301,6))</f>
        <v/>
      </c>
      <c r="AL7" s="248" t="str">
        <f>IF(VLOOKUP(P$2,Database!$B$22:$N$301,6)="","",VLOOKUP(P$2,Database!$B$22:$N$301,6))</f>
        <v/>
      </c>
      <c r="AM7" s="249" t="str">
        <f>IF(VLOOKUP(Q$2,Database!$B$22:$N$301,6)="","",VLOOKUP(Q$2,Database!$B$22:$N$301,6))</f>
        <v/>
      </c>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BO7" s="30"/>
      <c r="BP7" s="30"/>
      <c r="BQ7" s="30"/>
      <c r="BR7" s="30"/>
      <c r="BS7" s="30"/>
      <c r="BT7" s="30"/>
      <c r="BU7" s="30"/>
      <c r="BV7" s="30"/>
      <c r="BW7" s="30"/>
      <c r="BX7" s="30"/>
      <c r="BY7" s="30"/>
      <c r="BZ7" s="30"/>
    </row>
    <row r="8" spans="1:78" ht="15" customHeight="1" thickBot="1">
      <c r="A8" s="1337" t="s">
        <v>896</v>
      </c>
      <c r="B8" s="1356"/>
      <c r="C8" s="824"/>
      <c r="D8" s="824"/>
      <c r="E8" s="826"/>
      <c r="F8" s="826"/>
      <c r="G8" s="826"/>
      <c r="H8" s="825"/>
      <c r="I8" s="586"/>
      <c r="J8" s="202" t="s">
        <v>641</v>
      </c>
      <c r="K8" s="269">
        <v>3.11</v>
      </c>
      <c r="L8" s="269" t="s">
        <v>591</v>
      </c>
      <c r="M8" s="269" t="s">
        <v>591</v>
      </c>
      <c r="N8" s="269" t="s">
        <v>591</v>
      </c>
      <c r="O8" s="269" t="s">
        <v>591</v>
      </c>
      <c r="P8" s="269" t="s">
        <v>591</v>
      </c>
      <c r="Q8" s="271" t="s">
        <v>591</v>
      </c>
      <c r="R8" s="773"/>
      <c r="S8" s="773"/>
      <c r="T8" s="780"/>
      <c r="U8" s="113" t="s">
        <v>496</v>
      </c>
      <c r="V8" s="114">
        <f t="shared" ref="V8:AB8" si="6">IF(K8="","",IF(K9="",V7*10^K5,(IF(K10="",V7*10^K6,V7*10^K7))))</f>
        <v>1.2589254117941712E+23</v>
      </c>
      <c r="W8" s="115" t="str">
        <f t="shared" si="6"/>
        <v/>
      </c>
      <c r="X8" s="115" t="str">
        <f t="shared" si="6"/>
        <v/>
      </c>
      <c r="Y8" s="115" t="str">
        <f t="shared" si="6"/>
        <v/>
      </c>
      <c r="Z8" s="115" t="str">
        <f t="shared" si="6"/>
        <v/>
      </c>
      <c r="AA8" s="115" t="str">
        <f t="shared" si="6"/>
        <v/>
      </c>
      <c r="AB8" s="116" t="str">
        <f t="shared" si="6"/>
        <v/>
      </c>
      <c r="AC8" s="115"/>
      <c r="AD8" s="115"/>
      <c r="AE8" s="117"/>
      <c r="AF8" s="202" t="s">
        <v>587</v>
      </c>
      <c r="AG8" s="247">
        <f>IF(VLOOKUP(K$2,Database!$B$22:$N$301,7)="","",VLOOKUP(K$2,Database!$B$22:$N$301,7))</f>
        <v>3.11</v>
      </c>
      <c r="AH8" s="248" t="str">
        <f>IF(VLOOKUP(L$2,Database!$B$22:$N$301,7)="","",VLOOKUP(L$2,Database!$B$22:$N$301,7))</f>
        <v/>
      </c>
      <c r="AI8" s="248" t="str">
        <f>IF(VLOOKUP(M$2,Database!$B$22:$N$301,7)="","",VLOOKUP(M$2,Database!$B$22:$N$301,7))</f>
        <v/>
      </c>
      <c r="AJ8" s="248" t="str">
        <f>IF(VLOOKUP(N$2,Database!$B$22:$N$301,7)="","",VLOOKUP(N$2,Database!$B$22:$N$301,7))</f>
        <v/>
      </c>
      <c r="AK8" s="248" t="str">
        <f>IF(VLOOKUP(O$2,Database!$B$22:$N$301,7)="","",VLOOKUP(O$2,Database!$B$22:$N$301,7))</f>
        <v/>
      </c>
      <c r="AL8" s="248" t="str">
        <f>IF(VLOOKUP(P$2,Database!$B$22:$N$301,7)="","",VLOOKUP(P$2,Database!$B$22:$N$301,7))</f>
        <v/>
      </c>
      <c r="AM8" s="249" t="str">
        <f>IF(VLOOKUP(Q$2,Database!$B$22:$N$301,7)="","",VLOOKUP(Q$2,Database!$B$22:$N$301,7))</f>
        <v/>
      </c>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row>
    <row r="9" spans="1:78" ht="15" customHeight="1">
      <c r="A9" s="1337" t="s">
        <v>897</v>
      </c>
      <c r="B9" s="821"/>
      <c r="C9" s="824"/>
      <c r="D9" s="824"/>
      <c r="E9" s="826"/>
      <c r="F9" s="826"/>
      <c r="G9" s="826"/>
      <c r="H9" s="825"/>
      <c r="I9" s="1326" t="s">
        <v>351</v>
      </c>
      <c r="J9" s="202" t="s">
        <v>642</v>
      </c>
      <c r="K9" s="269">
        <v>6.75</v>
      </c>
      <c r="L9" s="269" t="s">
        <v>591</v>
      </c>
      <c r="M9" s="269" t="s">
        <v>591</v>
      </c>
      <c r="N9" s="269" t="s">
        <v>591</v>
      </c>
      <c r="O9" s="269" t="s">
        <v>591</v>
      </c>
      <c r="P9" s="269" t="s">
        <v>591</v>
      </c>
      <c r="Q9" s="271" t="s">
        <v>591</v>
      </c>
      <c r="R9" s="773"/>
      <c r="S9" s="773"/>
      <c r="T9" s="780"/>
      <c r="U9" s="113" t="s">
        <v>498</v>
      </c>
      <c r="V9" s="114">
        <f t="shared" ref="V9:AB9" si="7">IF(K9="","",IF(K10="",V8*10^K5,V8*10^K6))</f>
        <v>3.9810717055349867E+24</v>
      </c>
      <c r="W9" s="115" t="str">
        <f t="shared" si="7"/>
        <v/>
      </c>
      <c r="X9" s="115" t="str">
        <f t="shared" si="7"/>
        <v/>
      </c>
      <c r="Y9" s="115" t="str">
        <f t="shared" si="7"/>
        <v/>
      </c>
      <c r="Z9" s="115" t="str">
        <f t="shared" si="7"/>
        <v/>
      </c>
      <c r="AA9" s="115" t="str">
        <f t="shared" si="7"/>
        <v/>
      </c>
      <c r="AB9" s="116" t="str">
        <f t="shared" si="7"/>
        <v/>
      </c>
      <c r="AC9" s="115"/>
      <c r="AD9" s="115"/>
      <c r="AE9" s="117"/>
      <c r="AF9" s="202" t="s">
        <v>588</v>
      </c>
      <c r="AG9" s="247">
        <f>IF(VLOOKUP(K$2,Database!$B$22:$N$301,8)="","",VLOOKUP(K$2,Database!$B$22:$N$301,8))</f>
        <v>6.75</v>
      </c>
      <c r="AH9" s="248" t="str">
        <f>IF(VLOOKUP(L$2,Database!$B$22:$N$301,8)="","",VLOOKUP(L$2,Database!$B$22:$N$301,8))</f>
        <v/>
      </c>
      <c r="AI9" s="248" t="str">
        <f>IF(VLOOKUP(M$2,Database!$B$22:$N$301,8)="","",VLOOKUP(M$2,Database!$B$22:$N$301,8))</f>
        <v/>
      </c>
      <c r="AJ9" s="248" t="str">
        <f>IF(VLOOKUP(N$2,Database!$B$22:$N$301,8)="","",VLOOKUP(N$2,Database!$B$22:$N$301,8))</f>
        <v/>
      </c>
      <c r="AK9" s="248" t="str">
        <f>IF(VLOOKUP(O$2,Database!$B$22:$N$301,8)="","",VLOOKUP(O$2,Database!$B$22:$N$301,8))</f>
        <v/>
      </c>
      <c r="AL9" s="248" t="str">
        <f>IF(VLOOKUP(P$2,Database!$B$22:$N$301,8)="","",VLOOKUP(P$2,Database!$B$22:$N$301,8))</f>
        <v/>
      </c>
      <c r="AM9" s="249" t="str">
        <f>IF(VLOOKUP(Q$2,Database!$B$22:$N$301,8)="","",VLOOKUP(Q$2,Database!$B$22:$N$301,8))</f>
        <v/>
      </c>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row>
    <row r="10" spans="1:78" ht="15" customHeight="1" thickBot="1">
      <c r="A10" s="1337" t="s">
        <v>898</v>
      </c>
      <c r="B10" s="827"/>
      <c r="C10" s="1351"/>
      <c r="D10" s="1351"/>
      <c r="E10" s="1351"/>
      <c r="F10" s="1351"/>
      <c r="G10" s="1351"/>
      <c r="H10" s="1352"/>
      <c r="I10" s="1339" t="s">
        <v>348</v>
      </c>
      <c r="J10" s="1172" t="s">
        <v>643</v>
      </c>
      <c r="K10" s="269">
        <v>11.03</v>
      </c>
      <c r="L10" s="269" t="s">
        <v>591</v>
      </c>
      <c r="M10" s="269" t="s">
        <v>591</v>
      </c>
      <c r="N10" s="269" t="s">
        <v>591</v>
      </c>
      <c r="O10" s="269" t="s">
        <v>591</v>
      </c>
      <c r="P10" s="269" t="s">
        <v>591</v>
      </c>
      <c r="Q10" s="271" t="s">
        <v>591</v>
      </c>
      <c r="R10" s="773"/>
      <c r="S10" s="773"/>
      <c r="T10" s="780"/>
      <c r="U10" s="1291" t="s">
        <v>500</v>
      </c>
      <c r="V10" s="200">
        <f t="shared" ref="V10:AB10" si="8">IF(K10="","",V9*10^K5)</f>
        <v>2.4547089156850394E+24</v>
      </c>
      <c r="W10" s="115" t="str">
        <f t="shared" si="8"/>
        <v/>
      </c>
      <c r="X10" s="115" t="str">
        <f t="shared" si="8"/>
        <v/>
      </c>
      <c r="Y10" s="115" t="str">
        <f t="shared" si="8"/>
        <v/>
      </c>
      <c r="Z10" s="115" t="str">
        <f t="shared" si="8"/>
        <v/>
      </c>
      <c r="AA10" s="115" t="str">
        <f t="shared" si="8"/>
        <v/>
      </c>
      <c r="AB10" s="116" t="str">
        <f t="shared" si="8"/>
        <v/>
      </c>
      <c r="AC10" s="115"/>
      <c r="AD10" s="115"/>
      <c r="AE10" s="117"/>
      <c r="AF10" s="203" t="s">
        <v>589</v>
      </c>
      <c r="AG10" s="247">
        <f>IF(VLOOKUP(K$2,Database!$B$22:$N$301,9)="","",VLOOKUP(K$2,Database!$B$22:$N$301,9))</f>
        <v>11.03</v>
      </c>
      <c r="AH10" s="248" t="str">
        <f>IF(VLOOKUP(L$2,Database!$B$22:$N$301,9)="","",VLOOKUP(L$2,Database!$B$22:$N$301,9))</f>
        <v/>
      </c>
      <c r="AI10" s="248" t="str">
        <f>IF(VLOOKUP(M$2,Database!$B$22:$N$301,9)="","",VLOOKUP(M$2,Database!$B$22:$N$301,9))</f>
        <v/>
      </c>
      <c r="AJ10" s="248" t="str">
        <f>IF(VLOOKUP(N$2,Database!$B$22:$N$301,9)="","",VLOOKUP(N$2,Database!$B$22:$N$301,9))</f>
        <v/>
      </c>
      <c r="AK10" s="248" t="str">
        <f>IF(VLOOKUP(O$2,Database!$B$22:$N$301,9)="","",VLOOKUP(O$2,Database!$B$22:$N$301,9))</f>
        <v/>
      </c>
      <c r="AL10" s="248" t="str">
        <f>IF(VLOOKUP(P$2,Database!$B$22:$N$301,9)="","",VLOOKUP(P$2,Database!$B$22:$N$301,9))</f>
        <v/>
      </c>
      <c r="AM10" s="249" t="str">
        <f>IF(VLOOKUP(Q$2,Database!$B$22:$N$301,9)="","",VLOOKUP(Q$2,Database!$B$22:$N$301,9))</f>
        <v/>
      </c>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c r="BP10" s="30"/>
      <c r="BQ10" s="30"/>
      <c r="BR10" s="30"/>
      <c r="BS10" s="30"/>
      <c r="BT10" s="30"/>
      <c r="BU10" s="30"/>
      <c r="BV10" s="30"/>
      <c r="BW10" s="30"/>
      <c r="BX10" s="30"/>
      <c r="BY10" s="30"/>
      <c r="BZ10" s="30"/>
    </row>
    <row r="11" spans="1:78" ht="15" customHeight="1" thickTop="1" thickBot="1">
      <c r="A11" s="828" t="s">
        <v>899</v>
      </c>
      <c r="B11" s="833">
        <f>SUM(B4:B10)</f>
        <v>0</v>
      </c>
      <c r="C11" s="834">
        <f t="shared" ref="C11:H11" si="9">SUM(C4:C10)</f>
        <v>0.05</v>
      </c>
      <c r="D11" s="834">
        <f t="shared" si="9"/>
        <v>0</v>
      </c>
      <c r="E11" s="834">
        <f t="shared" si="9"/>
        <v>0</v>
      </c>
      <c r="F11" s="834">
        <f t="shared" si="9"/>
        <v>0</v>
      </c>
      <c r="G11" s="834">
        <f t="shared" si="9"/>
        <v>0</v>
      </c>
      <c r="H11" s="835">
        <f t="shared" si="9"/>
        <v>0</v>
      </c>
      <c r="I11" s="831">
        <f>SUM(B11:H11)</f>
        <v>0.05</v>
      </c>
      <c r="J11" s="125" t="s">
        <v>338</v>
      </c>
      <c r="K11" s="1286">
        <v>13.997</v>
      </c>
      <c r="L11" s="1287"/>
      <c r="M11" s="1288"/>
      <c r="N11" s="1288"/>
      <c r="O11" s="1288"/>
      <c r="P11" s="1289"/>
      <c r="Q11" s="1290"/>
      <c r="R11" s="1278"/>
      <c r="S11" s="774"/>
      <c r="T11" s="781"/>
      <c r="U11" s="1292" t="s">
        <v>339</v>
      </c>
      <c r="V11" s="1293">
        <f>10^-K11</f>
        <v>1.0069316688518014E-14</v>
      </c>
      <c r="W11" s="395"/>
      <c r="X11" s="395"/>
      <c r="Y11" s="395"/>
      <c r="Z11" s="395"/>
      <c r="AA11" s="395"/>
      <c r="AB11" s="395"/>
      <c r="AC11" s="395"/>
      <c r="AD11" s="395"/>
      <c r="AE11" s="395"/>
      <c r="AF11" s="394"/>
      <c r="AG11" s="396"/>
      <c r="AH11" s="396"/>
      <c r="AI11" s="396"/>
      <c r="AJ11" s="396"/>
      <c r="AK11" s="396"/>
      <c r="AL11" s="396"/>
      <c r="AM11" s="396"/>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0"/>
      <c r="BZ11" s="30"/>
    </row>
    <row r="12" spans="1:78" ht="15" customHeight="1" thickTop="1">
      <c r="A12" s="832" t="s">
        <v>900</v>
      </c>
      <c r="B12" s="833">
        <f>B5+2*B6+3*B7+4*B8+5*B9+6*B10</f>
        <v>0</v>
      </c>
      <c r="C12" s="834">
        <f t="shared" ref="C12:H12" si="10">C5+2*C6+3*C7+4*C8+5*C9+6*C10</f>
        <v>0.15000000000000002</v>
      </c>
      <c r="D12" s="834">
        <f t="shared" si="10"/>
        <v>0</v>
      </c>
      <c r="E12" s="834">
        <f t="shared" si="10"/>
        <v>0</v>
      </c>
      <c r="F12" s="834">
        <f t="shared" si="10"/>
        <v>0</v>
      </c>
      <c r="G12" s="834">
        <f t="shared" si="10"/>
        <v>0</v>
      </c>
      <c r="H12" s="835">
        <f t="shared" si="10"/>
        <v>0</v>
      </c>
      <c r="I12" s="836">
        <f>SUM(B12:H12)</f>
        <v>0.15000000000000002</v>
      </c>
      <c r="J12" s="966"/>
      <c r="K12" s="394"/>
      <c r="L12" s="394"/>
      <c r="M12" s="394"/>
      <c r="N12" s="394"/>
      <c r="O12" s="394"/>
      <c r="P12" s="394"/>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c r="BP12" s="30"/>
      <c r="BQ12" s="30"/>
      <c r="BR12" s="30"/>
      <c r="BS12" s="30"/>
      <c r="BT12" s="30"/>
      <c r="BU12" s="30"/>
      <c r="BV12" s="30"/>
      <c r="BW12" s="30"/>
      <c r="BX12" s="30"/>
      <c r="BY12" s="30"/>
      <c r="BZ12" s="30"/>
    </row>
    <row r="13" spans="1:78" ht="15" customHeight="1" thickBot="1">
      <c r="A13" s="837" t="s">
        <v>901</v>
      </c>
      <c r="B13" s="838">
        <f>K4*B4+(K4+1)*B5+(K4+2)*B6+(K4+3)*B7+(K4+4)*B8+(K4+5)*B9+(K4+6)*B10</f>
        <v>0</v>
      </c>
      <c r="C13" s="839">
        <f t="shared" ref="C13:H13" si="11">L4*C4+(L4+1)*C5+(L4+2)*C6+(L4+3)*C7+(L4+4)*C8+(L4+5)*C9+(L4+6)*C10</f>
        <v>0</v>
      </c>
      <c r="D13" s="839">
        <f t="shared" si="11"/>
        <v>0</v>
      </c>
      <c r="E13" s="839">
        <f t="shared" si="11"/>
        <v>0</v>
      </c>
      <c r="F13" s="834">
        <f t="shared" si="11"/>
        <v>0</v>
      </c>
      <c r="G13" s="834">
        <f t="shared" si="11"/>
        <v>0</v>
      </c>
      <c r="H13" s="835">
        <f t="shared" si="11"/>
        <v>0</v>
      </c>
      <c r="I13" s="838">
        <f>SUM(B13:H13)</f>
        <v>0</v>
      </c>
      <c r="J13" s="967"/>
      <c r="K13" s="220"/>
      <c r="L13" s="220"/>
      <c r="M13" s="220"/>
      <c r="N13" s="220"/>
      <c r="O13" s="220"/>
      <c r="P13" s="220"/>
      <c r="Q13" s="27"/>
      <c r="R13" s="30"/>
      <c r="S13" s="30"/>
      <c r="T13" s="30"/>
      <c r="U13" s="30"/>
      <c r="V13" s="30"/>
      <c r="W13" s="30"/>
      <c r="X13" s="30"/>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c r="BP13" s="30"/>
      <c r="BQ13" s="30"/>
      <c r="BR13" s="30"/>
      <c r="BS13" s="30"/>
      <c r="BT13" s="30"/>
      <c r="BU13" s="30"/>
      <c r="BV13" s="30"/>
      <c r="BW13" s="30"/>
      <c r="BX13" s="30"/>
      <c r="BY13" s="30"/>
      <c r="BZ13" s="30"/>
    </row>
    <row r="14" spans="1:78" ht="15" customHeight="1" thickTop="1" thickBot="1">
      <c r="A14" s="795" t="s">
        <v>1041</v>
      </c>
      <c r="B14" s="1043" t="str">
        <f>R3</f>
        <v>Strong ACID</v>
      </c>
      <c r="C14" s="1043" t="str">
        <f>S3</f>
        <v>Strong BASE</v>
      </c>
      <c r="D14" s="1044" t="str">
        <f>T3</f>
        <v>Carbonic ac.</v>
      </c>
      <c r="E14" s="1174" t="s">
        <v>351</v>
      </c>
      <c r="F14" s="840"/>
      <c r="G14" s="1083" t="s">
        <v>1047</v>
      </c>
      <c r="H14" s="841"/>
      <c r="I14" s="1097" t="s">
        <v>992</v>
      </c>
      <c r="J14" s="1094"/>
      <c r="K14" s="1095" t="str">
        <f>IF(K17&lt;&gt;K16, "error: K16&gt;&lt;K17","")</f>
        <v/>
      </c>
      <c r="L14" s="1096" t="str">
        <f>IF(K20&lt;&gt;K19, "error: K19&gt;&lt;K20","")</f>
        <v/>
      </c>
      <c r="M14" s="1035" t="s">
        <v>993</v>
      </c>
      <c r="N14" s="86"/>
      <c r="O14" s="796" t="s">
        <v>599</v>
      </c>
      <c r="P14" s="797"/>
      <c r="Q14" s="27"/>
      <c r="R14" s="30"/>
      <c r="S14" s="30"/>
      <c r="T14" s="30"/>
      <c r="U14" s="30"/>
      <c r="V14" s="30"/>
      <c r="W14" s="30"/>
      <c r="X14" s="30"/>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c r="BP14" s="30"/>
      <c r="BQ14" s="30"/>
      <c r="BR14" s="30"/>
      <c r="BS14" s="30"/>
      <c r="BT14" s="30"/>
      <c r="BU14" s="30"/>
      <c r="BV14" s="30"/>
      <c r="BW14" s="30"/>
      <c r="BX14" s="30"/>
      <c r="BY14" s="30"/>
      <c r="BZ14" s="30"/>
    </row>
    <row r="15" spans="1:78" ht="15" customHeight="1" thickTop="1">
      <c r="A15" s="798" t="s">
        <v>335</v>
      </c>
      <c r="B15" s="799"/>
      <c r="C15" s="800">
        <v>0.1</v>
      </c>
      <c r="D15" s="801"/>
      <c r="E15" s="1175" t="s">
        <v>1141</v>
      </c>
      <c r="F15" s="842" t="s">
        <v>1044</v>
      </c>
      <c r="G15" s="842" t="s">
        <v>611</v>
      </c>
      <c r="H15" s="842" t="s">
        <v>605</v>
      </c>
      <c r="I15" s="1093" t="s">
        <v>1004</v>
      </c>
      <c r="J15" s="849" t="s">
        <v>891</v>
      </c>
      <c r="K15" s="850" t="s">
        <v>1007</v>
      </c>
      <c r="L15" s="850" t="s">
        <v>893</v>
      </c>
      <c r="M15" s="1035" t="s">
        <v>994</v>
      </c>
      <c r="N15" s="122"/>
      <c r="O15" s="802" t="s">
        <v>600</v>
      </c>
      <c r="P15" s="310"/>
      <c r="Q15" s="27"/>
      <c r="R15" s="30"/>
      <c r="S15" s="30"/>
      <c r="T15" s="30"/>
      <c r="U15" s="30"/>
      <c r="V15" s="30"/>
      <c r="W15" s="30"/>
      <c r="X15" s="30"/>
      <c r="Y15" s="121"/>
      <c r="Z15" s="30"/>
      <c r="AA15" s="30"/>
      <c r="AB15" s="30"/>
      <c r="AC15" s="30"/>
      <c r="AD15" s="30"/>
      <c r="AE15" s="30"/>
      <c r="AF15" s="30"/>
      <c r="AG15" s="30"/>
      <c r="AH15" s="30"/>
      <c r="AI15" s="30"/>
      <c r="AJ15" s="30"/>
      <c r="AK15" s="30"/>
      <c r="AL15" s="30"/>
      <c r="AM15" s="30"/>
      <c r="AN15" s="30"/>
      <c r="AO15" s="30"/>
      <c r="AP15" s="30"/>
      <c r="AQ15" s="30"/>
      <c r="AR15" s="30"/>
      <c r="AS15" s="30"/>
      <c r="AT15" s="30"/>
      <c r="AU15" s="30"/>
      <c r="AV15" s="30"/>
      <c r="AW15" s="30"/>
      <c r="AX15" s="30"/>
      <c r="AY15" s="30"/>
      <c r="AZ15" s="30"/>
      <c r="BA15" s="30"/>
      <c r="BB15" s="30"/>
      <c r="BC15" s="30"/>
      <c r="BD15" s="30"/>
      <c r="BE15" s="30"/>
      <c r="BF15" s="30"/>
      <c r="BG15" s="30"/>
      <c r="BH15" s="30"/>
      <c r="BI15" s="30"/>
      <c r="BJ15" s="30"/>
      <c r="BK15" s="30"/>
      <c r="BL15" s="30"/>
      <c r="BM15" s="30"/>
      <c r="BN15" s="30"/>
      <c r="BO15" s="30"/>
      <c r="BP15" s="30"/>
      <c r="BQ15" s="30"/>
      <c r="BR15" s="30"/>
      <c r="BS15" s="30"/>
      <c r="BT15" s="30"/>
      <c r="BU15" s="30"/>
      <c r="BV15" s="30"/>
      <c r="BW15" s="30"/>
      <c r="BX15" s="30"/>
      <c r="BY15" s="30"/>
      <c r="BZ15" s="30"/>
    </row>
    <row r="16" spans="1:78" ht="15" customHeight="1">
      <c r="A16" s="798" t="s">
        <v>336</v>
      </c>
      <c r="B16" s="882"/>
      <c r="C16" s="803"/>
      <c r="D16" s="804"/>
      <c r="E16" s="760"/>
      <c r="F16" s="843" t="s">
        <v>613</v>
      </c>
      <c r="G16" s="844" t="s">
        <v>1006</v>
      </c>
      <c r="H16" s="845" t="s">
        <v>657</v>
      </c>
      <c r="I16" s="851" t="s">
        <v>889</v>
      </c>
      <c r="J16" s="852">
        <f>IF(I13&lt;0,-I13,0)</f>
        <v>0</v>
      </c>
      <c r="K16" s="853">
        <v>0</v>
      </c>
      <c r="L16" s="854">
        <f>J16+K16</f>
        <v>0</v>
      </c>
      <c r="M16" s="805" t="s">
        <v>316</v>
      </c>
      <c r="N16" s="806">
        <v>0</v>
      </c>
      <c r="O16" s="305" t="s">
        <v>509</v>
      </c>
      <c r="P16" s="306">
        <v>0.50900000000000001</v>
      </c>
      <c r="Q16" s="27"/>
      <c r="R16" s="30"/>
      <c r="S16" s="30"/>
      <c r="T16" s="30"/>
      <c r="U16" s="30"/>
      <c r="V16" s="30"/>
      <c r="W16" s="30"/>
      <c r="X16" s="30"/>
      <c r="Y16" s="121"/>
      <c r="Z16" s="30"/>
      <c r="AA16" s="30"/>
      <c r="AB16" s="30"/>
      <c r="AC16" s="30"/>
      <c r="AD16" s="30"/>
      <c r="AE16" s="30"/>
      <c r="AF16" s="30"/>
      <c r="AG16" s="30"/>
      <c r="AH16" s="30"/>
      <c r="AI16" s="30"/>
      <c r="AJ16" s="30"/>
      <c r="AK16" s="30"/>
      <c r="AL16" s="30"/>
      <c r="AM16" s="30"/>
      <c r="AN16" s="30"/>
      <c r="AO16" s="30"/>
      <c r="AP16" s="30"/>
      <c r="AQ16" s="30"/>
      <c r="AR16" s="30"/>
      <c r="AS16" s="30"/>
      <c r="AT16" s="30"/>
      <c r="AU16" s="30"/>
      <c r="AV16" s="30"/>
      <c r="AW16" s="30"/>
      <c r="AX16" s="30"/>
      <c r="AY16" s="30"/>
      <c r="AZ16" s="30"/>
      <c r="BA16" s="30"/>
      <c r="BB16" s="30"/>
      <c r="BC16" s="30"/>
      <c r="BD16" s="30"/>
      <c r="BE16" s="30"/>
      <c r="BF16" s="30"/>
      <c r="BG16" s="30"/>
      <c r="BH16" s="30"/>
      <c r="BI16" s="30"/>
      <c r="BJ16" s="30"/>
      <c r="BK16" s="30"/>
      <c r="BL16" s="30"/>
      <c r="BM16" s="30"/>
      <c r="BN16" s="30"/>
      <c r="BO16" s="30"/>
      <c r="BP16" s="30"/>
      <c r="BQ16" s="30"/>
      <c r="BR16" s="30"/>
      <c r="BS16" s="30"/>
      <c r="BT16" s="30"/>
      <c r="BU16" s="30"/>
      <c r="BV16" s="30"/>
      <c r="BW16" s="30"/>
      <c r="BX16" s="30"/>
      <c r="BY16" s="30"/>
      <c r="BZ16" s="30"/>
    </row>
    <row r="17" spans="1:78" ht="15" customHeight="1" thickBot="1">
      <c r="A17" s="798" t="s">
        <v>882</v>
      </c>
      <c r="B17" s="807"/>
      <c r="C17" s="807"/>
      <c r="D17" s="808"/>
      <c r="E17" s="771" t="s">
        <v>348</v>
      </c>
      <c r="F17" s="846">
        <v>20</v>
      </c>
      <c r="G17" s="847">
        <v>0</v>
      </c>
      <c r="H17" s="848">
        <f>F17+G17</f>
        <v>20</v>
      </c>
      <c r="I17" s="855" t="s">
        <v>890</v>
      </c>
      <c r="J17" s="856">
        <f>IF(I13&gt;0,I13,0)</f>
        <v>0</v>
      </c>
      <c r="K17" s="857">
        <v>0</v>
      </c>
      <c r="L17" s="858">
        <f>J17+K17</f>
        <v>0</v>
      </c>
      <c r="M17" s="125" t="s">
        <v>317</v>
      </c>
      <c r="N17" s="809">
        <v>0</v>
      </c>
      <c r="O17" s="54" t="s">
        <v>510</v>
      </c>
      <c r="P17" s="55">
        <v>0.3</v>
      </c>
      <c r="Q17" s="27"/>
      <c r="R17" s="30"/>
      <c r="S17" s="30"/>
      <c r="T17" s="30"/>
      <c r="U17" s="30"/>
      <c r="V17" s="30"/>
      <c r="W17" s="30"/>
      <c r="X17" s="30"/>
      <c r="Y17" s="121"/>
      <c r="Z17" s="30"/>
      <c r="AA17" s="30"/>
      <c r="AB17" s="30"/>
      <c r="AC17" s="30"/>
      <c r="AD17" s="30"/>
      <c r="AE17" s="30"/>
      <c r="AF17" s="30"/>
      <c r="AG17" s="30"/>
      <c r="AH17" s="30"/>
      <c r="AI17" s="30"/>
      <c r="AJ17" s="30"/>
      <c r="AK17" s="30"/>
      <c r="AL17" s="30"/>
      <c r="AM17" s="30"/>
      <c r="AN17" s="30"/>
      <c r="AO17" s="30"/>
      <c r="AP17" s="30"/>
      <c r="AQ17" s="30"/>
      <c r="AR17" s="30"/>
      <c r="AS17" s="30"/>
      <c r="AT17" s="30"/>
      <c r="AU17" s="30"/>
      <c r="AV17" s="30"/>
      <c r="AW17" s="30"/>
      <c r="AX17" s="30"/>
      <c r="AY17" s="30"/>
      <c r="AZ17" s="30"/>
      <c r="BA17" s="30"/>
      <c r="BB17" s="30"/>
      <c r="BC17" s="30"/>
      <c r="BD17" s="30"/>
      <c r="BE17" s="30"/>
      <c r="BF17" s="30"/>
      <c r="BG17" s="30"/>
      <c r="BH17" s="30"/>
      <c r="BI17" s="30"/>
      <c r="BJ17" s="30"/>
      <c r="BK17" s="30"/>
      <c r="BL17" s="30"/>
      <c r="BM17" s="30"/>
      <c r="BN17" s="30"/>
      <c r="BO17" s="30"/>
      <c r="BP17" s="30"/>
      <c r="BQ17" s="30"/>
      <c r="BR17" s="30"/>
      <c r="BS17" s="30"/>
      <c r="BT17" s="30"/>
      <c r="BU17" s="30"/>
      <c r="BV17" s="30"/>
      <c r="BW17" s="30"/>
      <c r="BX17" s="30"/>
      <c r="BY17" s="30"/>
      <c r="BZ17" s="30"/>
    </row>
    <row r="18" spans="1:78" ht="15" customHeight="1" thickTop="1">
      <c r="A18" s="810" t="s">
        <v>883</v>
      </c>
      <c r="B18" s="762">
        <f>SUM(B15:B17)</f>
        <v>0</v>
      </c>
      <c r="C18" s="762">
        <f>SUM(C15:C17)</f>
        <v>0.1</v>
      </c>
      <c r="D18" s="811">
        <f>SUM(D15:D17)</f>
        <v>0</v>
      </c>
      <c r="E18" s="812">
        <f>SUM(B18:D18)</f>
        <v>0.1</v>
      </c>
      <c r="F18" s="750"/>
      <c r="G18" s="1075" t="s">
        <v>1049</v>
      </c>
      <c r="H18" s="767"/>
      <c r="I18" s="784" t="s">
        <v>991</v>
      </c>
      <c r="J18" s="785" t="s">
        <v>891</v>
      </c>
      <c r="K18" s="786" t="s">
        <v>892</v>
      </c>
      <c r="L18" s="786" t="s">
        <v>893</v>
      </c>
      <c r="M18" s="123" t="s">
        <v>616</v>
      </c>
      <c r="N18" s="124"/>
      <c r="O18" s="30"/>
      <c r="P18" s="30"/>
      <c r="Q18" s="27"/>
      <c r="R18" s="30"/>
      <c r="S18" s="30"/>
      <c r="T18" s="30"/>
      <c r="U18" s="30"/>
      <c r="V18" s="30"/>
      <c r="W18" s="30"/>
      <c r="X18" s="30"/>
      <c r="Y18" s="121"/>
      <c r="Z18" s="30"/>
      <c r="AA18" s="30"/>
      <c r="AB18" s="30"/>
      <c r="AC18" s="30"/>
      <c r="AD18" s="30"/>
      <c r="AE18" s="30"/>
      <c r="AF18" s="30"/>
      <c r="AG18" s="30"/>
      <c r="AH18" s="30"/>
      <c r="AI18" s="30"/>
      <c r="AJ18" s="30"/>
      <c r="AK18" s="30"/>
      <c r="AL18" s="30"/>
      <c r="AM18" s="30"/>
      <c r="AN18" s="30"/>
      <c r="AO18" s="30"/>
      <c r="AP18" s="30"/>
      <c r="AQ18" s="30"/>
      <c r="AR18" s="30"/>
      <c r="AS18" s="30"/>
      <c r="AT18" s="30"/>
      <c r="AU18" s="30"/>
      <c r="AV18" s="30"/>
      <c r="AW18" s="30"/>
      <c r="AX18" s="30"/>
      <c r="AY18" s="30"/>
      <c r="AZ18" s="30"/>
      <c r="BA18" s="30"/>
      <c r="BB18" s="30"/>
      <c r="BC18" s="30"/>
      <c r="BD18" s="30"/>
      <c r="BE18" s="30"/>
      <c r="BF18" s="30"/>
      <c r="BG18" s="30"/>
      <c r="BH18" s="30"/>
      <c r="BI18" s="30"/>
      <c r="BJ18" s="30"/>
      <c r="BK18" s="30"/>
      <c r="BL18" s="30"/>
      <c r="BM18" s="30"/>
      <c r="BN18" s="30"/>
      <c r="BO18" s="30"/>
      <c r="BP18" s="30"/>
      <c r="BQ18" s="30"/>
      <c r="BR18" s="30"/>
      <c r="BS18" s="30"/>
      <c r="BT18" s="30"/>
      <c r="BU18" s="30"/>
      <c r="BV18" s="30"/>
      <c r="BW18" s="30"/>
      <c r="BX18" s="30"/>
      <c r="BY18" s="30"/>
      <c r="BZ18" s="30"/>
    </row>
    <row r="19" spans="1:78" ht="15.75" customHeight="1">
      <c r="A19" s="810" t="s">
        <v>884</v>
      </c>
      <c r="B19" s="762">
        <f>B16+2*B17</f>
        <v>0</v>
      </c>
      <c r="C19" s="762">
        <f>C16+2*C17</f>
        <v>0</v>
      </c>
      <c r="D19" s="813">
        <f>D16+2*D17</f>
        <v>0</v>
      </c>
      <c r="E19" s="814">
        <f>SUM(B19:D19)</f>
        <v>0</v>
      </c>
      <c r="F19" s="1090" t="s">
        <v>881</v>
      </c>
      <c r="G19" s="1091" t="s">
        <v>1003</v>
      </c>
      <c r="H19" s="1092"/>
      <c r="I19" s="787" t="s">
        <v>889</v>
      </c>
      <c r="J19" s="788">
        <f>IF(E20&lt;0,-E20,0)</f>
        <v>0.1</v>
      </c>
      <c r="K19" s="789">
        <v>0</v>
      </c>
      <c r="L19" s="790">
        <f>J19+K19</f>
        <v>0.1</v>
      </c>
      <c r="M19" s="815" t="s">
        <v>617</v>
      </c>
      <c r="N19" s="816">
        <v>0</v>
      </c>
      <c r="O19" s="27"/>
      <c r="P19" s="27"/>
      <c r="Q19" s="27"/>
      <c r="R19" s="30"/>
      <c r="S19" s="30"/>
      <c r="T19" s="30"/>
      <c r="U19" s="30"/>
      <c r="V19" s="30"/>
      <c r="W19" s="30"/>
      <c r="X19" s="30"/>
      <c r="Y19" s="121"/>
      <c r="Z19" s="27"/>
      <c r="AA19" s="27"/>
      <c r="AB19" s="27"/>
      <c r="AC19" s="27"/>
      <c r="AD19" s="27"/>
      <c r="AE19" s="27"/>
      <c r="AF19" s="27"/>
      <c r="AG19" s="27"/>
      <c r="AH19" s="27"/>
      <c r="AI19" s="27"/>
      <c r="AJ19" s="27"/>
      <c r="AK19" s="27"/>
      <c r="AL19" s="27"/>
      <c r="AM19" s="27"/>
      <c r="AN19" s="27"/>
      <c r="AO19" s="27"/>
      <c r="AP19" s="27"/>
      <c r="AQ19" s="27"/>
      <c r="AR19" s="27"/>
      <c r="AS19" s="27"/>
      <c r="AT19" s="27"/>
      <c r="AU19" s="27"/>
      <c r="AV19" s="27"/>
      <c r="AW19" s="27"/>
      <c r="AX19" s="27"/>
      <c r="AY19" s="27"/>
      <c r="AZ19" s="27"/>
      <c r="BA19" s="27"/>
      <c r="BB19" s="27"/>
      <c r="BC19" s="27"/>
      <c r="BD19" s="27"/>
      <c r="BE19" s="27"/>
      <c r="BF19" s="27"/>
      <c r="BG19" s="27"/>
      <c r="BH19" s="27"/>
      <c r="BI19" s="27"/>
      <c r="BJ19" s="27"/>
      <c r="BK19" s="27"/>
      <c r="BL19" s="27"/>
      <c r="BM19" s="27"/>
      <c r="BN19" s="27"/>
      <c r="BO19" s="27"/>
      <c r="BP19" s="27"/>
      <c r="BQ19" s="27"/>
      <c r="BR19" s="27"/>
      <c r="BS19" s="27"/>
      <c r="BT19" s="27"/>
      <c r="BU19" s="27"/>
      <c r="BV19" s="27"/>
      <c r="BW19" s="27"/>
      <c r="BX19" s="27"/>
      <c r="BY19" s="27"/>
      <c r="BZ19" s="27"/>
    </row>
    <row r="20" spans="1:78" ht="18" customHeight="1" thickBot="1">
      <c r="A20" s="782" t="s">
        <v>888</v>
      </c>
      <c r="B20" s="765">
        <f>R4*B15+(R4+1)*B16+(R4+2)*B17</f>
        <v>0</v>
      </c>
      <c r="C20" s="765">
        <f>S4*C15+(S4+1)*C16+(S4+2)*C17</f>
        <v>-0.1</v>
      </c>
      <c r="D20" s="783">
        <f>T4*D15+(T4+1)*D16+(T4+2)*D17</f>
        <v>0</v>
      </c>
      <c r="E20" s="765">
        <f>SUM(B20:D20)</f>
        <v>-0.1</v>
      </c>
      <c r="F20" s="817">
        <v>50</v>
      </c>
      <c r="G20" s="818">
        <v>50</v>
      </c>
      <c r="H20" s="768" t="s">
        <v>880</v>
      </c>
      <c r="I20" s="791" t="s">
        <v>890</v>
      </c>
      <c r="J20" s="792">
        <f>IF(E20&gt;0,E20,0)</f>
        <v>0</v>
      </c>
      <c r="K20" s="793">
        <v>0</v>
      </c>
      <c r="L20" s="794">
        <f>J20+K20</f>
        <v>0</v>
      </c>
      <c r="M20" s="213" t="s">
        <v>618</v>
      </c>
      <c r="N20" s="819" t="s">
        <v>1016</v>
      </c>
      <c r="O20" s="27"/>
      <c r="P20" s="27"/>
      <c r="Q20" s="27"/>
      <c r="R20" s="30"/>
      <c r="S20" s="30"/>
      <c r="T20" s="30"/>
      <c r="U20" s="30"/>
      <c r="V20" s="30"/>
      <c r="W20" s="30"/>
      <c r="X20" s="30"/>
      <c r="Y20" s="121"/>
      <c r="Z20" s="27"/>
      <c r="AA20" s="27"/>
      <c r="AB20" s="27"/>
      <c r="AC20" s="27"/>
      <c r="AD20" s="27"/>
      <c r="AE20" s="27"/>
      <c r="AF20" s="27"/>
      <c r="AG20" s="27"/>
      <c r="AH20" s="27"/>
      <c r="AI20" s="27"/>
      <c r="AJ20" s="27"/>
      <c r="AK20" s="27"/>
      <c r="AL20" s="27"/>
      <c r="AM20" s="27"/>
      <c r="AN20" s="27"/>
      <c r="AO20" s="27"/>
      <c r="AP20" s="27"/>
      <c r="AQ20" s="27"/>
      <c r="AR20" s="27"/>
      <c r="AS20" s="27"/>
      <c r="AT20" s="27"/>
      <c r="AU20" s="27"/>
      <c r="AV20" s="27"/>
      <c r="AW20" s="27"/>
      <c r="AX20" s="27"/>
      <c r="AY20" s="27"/>
      <c r="AZ20" s="27"/>
      <c r="BA20" s="27"/>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row>
    <row r="21" spans="1:78" ht="20.100000000000001" customHeight="1" thickTop="1">
      <c r="A21" s="820">
        <v>2</v>
      </c>
      <c r="B21" s="27"/>
      <c r="C21" s="27"/>
      <c r="D21" s="27"/>
      <c r="E21" s="27"/>
      <c r="F21" s="27"/>
      <c r="G21" s="27"/>
      <c r="H21" s="27"/>
      <c r="I21" s="27"/>
      <c r="J21" s="27"/>
      <c r="K21" s="27"/>
      <c r="L21" s="27"/>
      <c r="M21" s="27"/>
      <c r="N21" s="27"/>
      <c r="O21" s="27"/>
      <c r="P21" s="27"/>
      <c r="Q21" s="27"/>
      <c r="R21" s="30"/>
      <c r="S21" s="30"/>
      <c r="T21" s="30"/>
      <c r="U21" s="30"/>
      <c r="V21" s="30"/>
      <c r="W21" s="30"/>
      <c r="X21" s="30"/>
      <c r="Y21" s="121"/>
      <c r="Z21" s="27"/>
      <c r="AA21" s="27"/>
      <c r="AB21" s="27"/>
      <c r="AC21" s="27"/>
      <c r="AD21" s="27"/>
      <c r="AE21" s="27"/>
      <c r="AF21" s="27"/>
      <c r="AG21" s="27"/>
      <c r="AH21" s="27"/>
      <c r="AI21" s="27"/>
      <c r="AJ21" s="27"/>
      <c r="AK21" s="27"/>
      <c r="AL21" s="27"/>
      <c r="AM21" s="27"/>
      <c r="AN21" s="27"/>
      <c r="AO21" s="27"/>
      <c r="AP21" s="27"/>
      <c r="AQ21" s="27"/>
      <c r="AR21" s="27"/>
      <c r="AS21" s="27"/>
      <c r="AT21" s="27"/>
      <c r="AU21" s="27"/>
      <c r="AV21" s="27"/>
      <c r="AW21" s="27"/>
      <c r="AX21" s="27"/>
      <c r="AY21" s="27"/>
      <c r="AZ21" s="27"/>
      <c r="BA21" s="27"/>
      <c r="BB21" s="27"/>
      <c r="BC21" s="27"/>
      <c r="BD21" s="27"/>
      <c r="BE21" s="27"/>
      <c r="BF21" s="27"/>
      <c r="BG21" s="27"/>
      <c r="BH21" s="27"/>
      <c r="BI21" s="27"/>
      <c r="BJ21" s="27"/>
      <c r="BK21" s="27"/>
      <c r="BL21" s="27"/>
      <c r="BM21" s="27"/>
      <c r="BN21" s="27"/>
      <c r="BO21" s="27"/>
      <c r="BP21" s="27"/>
      <c r="BQ21" s="27"/>
      <c r="BR21" s="27"/>
      <c r="BS21" s="27"/>
      <c r="BT21" s="27"/>
      <c r="BU21" s="27"/>
      <c r="BV21" s="27"/>
      <c r="BW21" s="27"/>
      <c r="BX21" s="27"/>
      <c r="BY21" s="27"/>
      <c r="BZ21" s="27"/>
    </row>
    <row r="22" spans="1:78" ht="20.100000000000001" customHeight="1">
      <c r="A22" s="100" t="s">
        <v>352</v>
      </c>
      <c r="B22" s="27"/>
      <c r="C22" s="27"/>
      <c r="D22" s="27"/>
      <c r="E22" s="27"/>
      <c r="F22" s="27"/>
      <c r="G22" s="27"/>
      <c r="H22" s="27"/>
      <c r="I22" s="27"/>
      <c r="J22" s="27"/>
      <c r="K22" s="27"/>
      <c r="L22" s="27"/>
      <c r="M22" s="27"/>
      <c r="N22" s="1169"/>
      <c r="O22" s="1170" t="s">
        <v>601</v>
      </c>
      <c r="P22" s="1171"/>
      <c r="Q22" s="27"/>
      <c r="R22" s="30"/>
      <c r="S22" s="30"/>
      <c r="T22" s="30"/>
      <c r="U22" s="30"/>
      <c r="V22" s="30"/>
      <c r="W22" s="30"/>
      <c r="X22" s="30"/>
      <c r="Y22" s="121"/>
      <c r="Z22" s="27"/>
      <c r="AA22" s="27"/>
      <c r="AB22" s="27"/>
      <c r="AC22" s="27"/>
      <c r="AD22" s="27"/>
      <c r="AE22" s="27"/>
      <c r="AF22" s="27"/>
      <c r="AG22" s="27"/>
      <c r="AH22" s="27"/>
      <c r="AI22" s="27"/>
      <c r="AJ22" s="27"/>
      <c r="AK22" s="27"/>
      <c r="AL22" s="27"/>
      <c r="AM22" s="27"/>
      <c r="AN22" s="27"/>
      <c r="AO22" s="27"/>
      <c r="AP22" s="27"/>
      <c r="AQ22" s="27"/>
      <c r="AR22" s="27"/>
      <c r="AS22" s="27"/>
      <c r="AT22" s="27"/>
      <c r="AU22" s="27"/>
      <c r="AV22" s="27"/>
      <c r="AW22" s="27"/>
      <c r="AX22" s="27"/>
      <c r="AY22" s="27"/>
      <c r="AZ22" s="27"/>
      <c r="BA22" s="27"/>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row>
    <row r="23" spans="1:78" ht="20.100000000000001" customHeight="1">
      <c r="A23" s="2"/>
      <c r="B23" s="27"/>
      <c r="C23" s="27"/>
      <c r="D23" s="27"/>
      <c r="E23" s="27"/>
      <c r="F23" s="27"/>
      <c r="G23" s="27"/>
      <c r="H23" s="27"/>
      <c r="I23" s="27"/>
      <c r="J23" s="27"/>
      <c r="K23" s="27"/>
      <c r="L23" s="27"/>
      <c r="M23" s="27"/>
      <c r="N23" s="311"/>
      <c r="O23" s="326" t="s">
        <v>602</v>
      </c>
      <c r="P23" s="365"/>
      <c r="Q23" s="27"/>
      <c r="R23" s="27"/>
      <c r="S23" s="27"/>
      <c r="T23" s="27"/>
      <c r="U23" s="27"/>
      <c r="V23" s="27"/>
      <c r="W23" s="27"/>
      <c r="X23" s="30"/>
      <c r="Y23" s="121"/>
      <c r="Z23" s="27"/>
      <c r="AA23" s="27"/>
      <c r="AB23" s="27"/>
      <c r="AC23" s="27"/>
      <c r="AD23" s="27"/>
      <c r="AE23" s="27"/>
      <c r="AF23" s="27"/>
      <c r="AG23" s="27"/>
      <c r="AH23" s="27"/>
      <c r="AI23" s="27"/>
      <c r="AJ23" s="27"/>
      <c r="AK23" s="27"/>
      <c r="AL23" s="27"/>
      <c r="AM23" s="27"/>
      <c r="AN23" s="27"/>
      <c r="AO23" s="27"/>
      <c r="AP23" s="27"/>
      <c r="AQ23" s="27"/>
      <c r="AR23" s="27"/>
      <c r="AS23" s="27"/>
      <c r="AT23" s="27"/>
      <c r="AU23" s="27"/>
      <c r="AV23" s="27"/>
      <c r="AW23" s="27"/>
      <c r="AX23" s="27"/>
      <c r="AY23" s="27"/>
      <c r="AZ23" s="27"/>
      <c r="BA23" s="27"/>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row>
    <row r="24" spans="1:78" ht="20.100000000000001" customHeight="1">
      <c r="A24" s="2"/>
      <c r="B24" s="9"/>
      <c r="C24" s="81"/>
      <c r="D24" s="27"/>
      <c r="E24" s="27"/>
      <c r="F24" s="27"/>
      <c r="G24" s="27"/>
      <c r="H24" s="27"/>
      <c r="I24" s="27"/>
      <c r="J24" s="27"/>
      <c r="K24" s="27"/>
      <c r="L24" s="27"/>
      <c r="M24" s="27"/>
      <c r="N24" s="312"/>
      <c r="O24" s="312" t="s">
        <v>603</v>
      </c>
      <c r="P24" s="313"/>
      <c r="Q24" s="27"/>
      <c r="R24" s="27"/>
      <c r="S24" s="27"/>
      <c r="T24" s="27"/>
      <c r="U24" s="27"/>
      <c r="V24" s="27"/>
      <c r="W24" s="27"/>
      <c r="X24" s="30"/>
      <c r="Y24" s="121"/>
      <c r="Z24" s="27"/>
      <c r="AA24" s="27"/>
      <c r="AB24" s="27"/>
      <c r="AC24" s="27"/>
      <c r="AD24" s="27"/>
      <c r="AE24" s="27"/>
      <c r="AF24" s="27"/>
      <c r="AG24" s="27"/>
      <c r="AH24" s="27"/>
      <c r="AI24" s="27"/>
      <c r="AJ24" s="27"/>
      <c r="AK24" s="27"/>
      <c r="AL24" s="27"/>
      <c r="AM24" s="27"/>
      <c r="AN24" s="27"/>
      <c r="AO24" s="27"/>
      <c r="AP24" s="27"/>
      <c r="AQ24" s="27"/>
      <c r="AR24" s="27"/>
      <c r="AS24" s="27"/>
      <c r="AT24" s="27"/>
      <c r="AU24" s="27"/>
      <c r="AV24" s="27"/>
      <c r="AW24" s="27"/>
      <c r="AX24" s="27"/>
      <c r="AY24" s="27"/>
      <c r="AZ24" s="27"/>
      <c r="BA24" s="27"/>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row>
    <row r="25" spans="1:78" ht="20.100000000000001" customHeight="1">
      <c r="A25" s="2"/>
      <c r="B25" s="9"/>
      <c r="C25" s="81"/>
      <c r="D25" s="27"/>
      <c r="E25" s="27"/>
      <c r="F25" s="27"/>
      <c r="G25" s="27"/>
      <c r="H25" s="27"/>
      <c r="I25" s="27"/>
      <c r="J25" s="27"/>
      <c r="K25" s="27"/>
      <c r="L25" s="27"/>
      <c r="M25" s="27"/>
      <c r="N25" s="327"/>
      <c r="O25" s="327" t="s">
        <v>604</v>
      </c>
      <c r="P25" s="328"/>
      <c r="Q25" s="27"/>
      <c r="R25" s="27"/>
      <c r="S25" s="27"/>
      <c r="T25" s="27"/>
      <c r="U25" s="27"/>
      <c r="V25" s="27"/>
      <c r="W25" s="27"/>
      <c r="X25" s="30"/>
      <c r="Y25" s="121"/>
      <c r="Z25" s="27"/>
      <c r="AA25" s="27"/>
      <c r="AB25" s="27"/>
      <c r="AC25" s="27"/>
      <c r="AD25" s="27"/>
      <c r="AE25" s="27"/>
      <c r="AF25" s="27"/>
      <c r="AG25" s="27"/>
      <c r="AH25" s="27"/>
      <c r="AI25" s="27"/>
      <c r="AJ25" s="27"/>
      <c r="AK25" s="27"/>
      <c r="AL25" s="27"/>
      <c r="AM25" s="27"/>
      <c r="AN25" s="27"/>
      <c r="AO25" s="27"/>
      <c r="AP25" s="27"/>
      <c r="AQ25" s="27"/>
      <c r="AR25" s="27"/>
      <c r="AS25" s="27"/>
      <c r="AT25" s="27"/>
      <c r="AU25" s="27"/>
      <c r="AV25" s="27"/>
      <c r="AW25" s="27"/>
      <c r="AX25" s="27"/>
      <c r="AY25" s="27"/>
      <c r="AZ25" s="27"/>
      <c r="BA25" s="27"/>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row>
    <row r="26" spans="1:78" ht="20.100000000000001" customHeight="1">
      <c r="A26" s="2"/>
      <c r="B26" s="9"/>
      <c r="C26" s="81"/>
      <c r="D26" s="27"/>
      <c r="E26" s="27"/>
      <c r="F26" s="27"/>
      <c r="G26" s="27"/>
      <c r="H26" s="27"/>
      <c r="I26" s="27"/>
      <c r="J26" s="27"/>
      <c r="K26" s="27"/>
      <c r="L26" s="27"/>
      <c r="M26" s="27"/>
      <c r="N26" s="27"/>
      <c r="O26" s="27"/>
      <c r="P26" s="27"/>
      <c r="Q26" s="100"/>
      <c r="R26" s="27"/>
      <c r="S26" s="27"/>
      <c r="T26" s="27"/>
      <c r="U26" s="27"/>
      <c r="V26" s="27"/>
      <c r="W26" s="27"/>
      <c r="X26" s="30"/>
      <c r="Y26" s="121"/>
      <c r="Z26" s="27"/>
      <c r="AA26" s="27"/>
      <c r="AB26" s="27"/>
      <c r="AC26" s="27"/>
      <c r="AD26" s="27"/>
      <c r="AE26" s="27"/>
      <c r="AF26" s="27"/>
      <c r="AG26" s="27"/>
      <c r="AH26" s="27"/>
      <c r="AI26" s="27"/>
      <c r="AJ26" s="27"/>
      <c r="AK26" s="27"/>
      <c r="AL26" s="27"/>
      <c r="AM26" s="27"/>
      <c r="AN26" s="27"/>
      <c r="AO26" s="27"/>
      <c r="AP26" s="27"/>
      <c r="AQ26" s="27"/>
      <c r="AR26" s="27"/>
      <c r="AS26" s="27"/>
      <c r="AT26" s="27"/>
      <c r="AU26" s="27"/>
      <c r="AV26" s="27"/>
      <c r="AW26" s="27"/>
      <c r="AX26" s="27"/>
      <c r="AY26" s="27"/>
      <c r="AZ26" s="27"/>
      <c r="BA26" s="27"/>
      <c r="BB26" s="2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row>
    <row r="27" spans="1:78" ht="20.100000000000001" customHeight="1">
      <c r="A27" s="2"/>
      <c r="B27" s="27"/>
      <c r="C27" s="27"/>
      <c r="D27" s="27"/>
      <c r="E27" s="27"/>
      <c r="F27" s="27"/>
      <c r="G27" s="27"/>
      <c r="H27" s="27"/>
      <c r="I27" s="27"/>
      <c r="J27" s="27"/>
      <c r="K27" s="27"/>
      <c r="L27" s="27"/>
      <c r="M27" s="27"/>
      <c r="N27" s="27"/>
      <c r="O27" s="27"/>
      <c r="P27" s="27"/>
      <c r="Q27" s="100"/>
      <c r="R27" s="27"/>
      <c r="S27" s="27"/>
      <c r="T27" s="27"/>
      <c r="U27" s="27"/>
      <c r="V27" s="27"/>
      <c r="W27" s="27"/>
      <c r="X27" s="30"/>
      <c r="Y27" s="121"/>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27"/>
      <c r="AY27" s="27"/>
      <c r="AZ27" s="27"/>
      <c r="BA27" s="27"/>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row>
    <row r="28" spans="1:78" ht="20.100000000000001" customHeight="1">
      <c r="A28" s="2"/>
      <c r="B28" s="9"/>
      <c r="C28" s="27"/>
      <c r="D28" s="27"/>
      <c r="E28" s="27"/>
      <c r="F28" s="27"/>
      <c r="G28" s="27"/>
      <c r="H28" s="27"/>
      <c r="I28" s="27"/>
      <c r="J28" s="27"/>
      <c r="K28" s="27"/>
      <c r="L28" s="27"/>
      <c r="M28" s="27"/>
      <c r="N28" s="27"/>
      <c r="O28" s="27"/>
      <c r="P28" s="27"/>
      <c r="Q28" s="100"/>
      <c r="R28" s="27"/>
      <c r="S28" s="27"/>
      <c r="T28" s="27"/>
      <c r="U28" s="27"/>
      <c r="V28" s="27"/>
      <c r="W28" s="27"/>
      <c r="X28" s="30"/>
      <c r="Y28" s="121"/>
      <c r="Z28" s="27"/>
      <c r="AA28" s="27"/>
      <c r="AB28" s="27"/>
      <c r="AC28" s="27"/>
      <c r="AD28" s="27"/>
      <c r="AE28" s="27"/>
      <c r="AF28" s="27"/>
      <c r="AG28" s="27"/>
      <c r="AH28" s="27"/>
      <c r="AI28" s="27"/>
      <c r="AJ28" s="27"/>
      <c r="AK28" s="27"/>
      <c r="AL28" s="27"/>
      <c r="AM28" s="27"/>
      <c r="AN28" s="27"/>
      <c r="AO28" s="27"/>
      <c r="AP28" s="27"/>
      <c r="AQ28" s="27"/>
      <c r="AR28" s="27"/>
      <c r="AS28" s="27"/>
      <c r="AT28" s="27"/>
      <c r="AU28" s="27"/>
      <c r="AV28" s="27"/>
      <c r="AW28" s="27"/>
      <c r="AX28" s="27"/>
      <c r="AY28" s="27"/>
      <c r="AZ28" s="27"/>
      <c r="BA28" s="27"/>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row>
    <row r="29" spans="1:78" ht="20.100000000000001" customHeight="1">
      <c r="A29" s="2"/>
      <c r="B29" s="9"/>
      <c r="C29" s="27"/>
      <c r="D29" s="27"/>
      <c r="E29" s="27"/>
      <c r="F29" s="27"/>
      <c r="G29" s="27"/>
      <c r="H29" s="27"/>
      <c r="I29" s="27"/>
      <c r="J29" s="27"/>
      <c r="K29" s="27"/>
      <c r="L29" s="27"/>
      <c r="M29" s="27"/>
      <c r="N29" s="100"/>
      <c r="O29" s="27"/>
      <c r="P29" s="27"/>
      <c r="Q29" s="100"/>
      <c r="R29" s="27"/>
      <c r="S29" s="27"/>
      <c r="T29" s="27"/>
      <c r="U29" s="27"/>
      <c r="V29" s="27"/>
      <c r="W29" s="27"/>
      <c r="X29" s="30"/>
      <c r="Y29" s="121"/>
      <c r="Z29" s="27"/>
      <c r="AA29" s="27"/>
      <c r="AB29" s="27"/>
      <c r="AC29" s="27"/>
      <c r="AD29" s="27"/>
      <c r="AE29" s="27"/>
      <c r="AF29" s="27"/>
      <c r="AG29" s="27"/>
      <c r="AH29" s="27"/>
      <c r="AI29" s="27"/>
      <c r="AJ29" s="27"/>
      <c r="AK29" s="27"/>
      <c r="AL29" s="27"/>
      <c r="AM29" s="27"/>
      <c r="AN29" s="27"/>
      <c r="AO29" s="27"/>
      <c r="AP29" s="27"/>
      <c r="AQ29" s="27"/>
      <c r="AR29" s="27"/>
      <c r="AS29" s="27"/>
      <c r="AT29" s="27"/>
      <c r="AU29" s="27"/>
      <c r="AV29" s="27"/>
      <c r="AW29" s="27"/>
      <c r="AX29" s="27"/>
      <c r="AY29" s="27"/>
      <c r="AZ29" s="27"/>
      <c r="BA29" s="27"/>
      <c r="BB29" s="27"/>
      <c r="BC29" s="27"/>
      <c r="BD29" s="27"/>
      <c r="BE29" s="27"/>
      <c r="BF29" s="27"/>
      <c r="BG29" s="27"/>
      <c r="BH29" s="27"/>
      <c r="BI29" s="27"/>
      <c r="BJ29" s="27"/>
      <c r="BK29" s="27"/>
      <c r="BL29" s="27"/>
      <c r="BM29" s="27"/>
      <c r="BN29" s="27"/>
      <c r="BO29" s="27"/>
      <c r="BP29" s="27"/>
      <c r="BQ29" s="27"/>
      <c r="BR29" s="27"/>
      <c r="BS29" s="27"/>
      <c r="BT29" s="27"/>
      <c r="BU29" s="27"/>
      <c r="BV29" s="27"/>
      <c r="BW29" s="27"/>
      <c r="BX29" s="27"/>
      <c r="BY29" s="27"/>
      <c r="BZ29" s="27"/>
    </row>
    <row r="30" spans="1:78" ht="20.100000000000001" customHeight="1">
      <c r="A30" s="9"/>
      <c r="B30" s="9"/>
      <c r="C30" s="27"/>
      <c r="D30" s="27"/>
      <c r="E30" s="27"/>
      <c r="F30" s="27"/>
      <c r="G30" s="27"/>
      <c r="H30" s="27"/>
      <c r="I30" s="27"/>
      <c r="J30" s="27"/>
      <c r="K30" s="27"/>
      <c r="L30" s="27"/>
      <c r="M30" s="27"/>
      <c r="N30" s="27"/>
      <c r="O30" s="27"/>
      <c r="P30" s="27"/>
      <c r="Q30" s="100"/>
      <c r="R30" s="27"/>
      <c r="S30" s="27"/>
      <c r="T30" s="27"/>
      <c r="U30" s="27"/>
      <c r="V30" s="27"/>
      <c r="W30" s="27"/>
      <c r="X30" s="30"/>
      <c r="Y30" s="121"/>
      <c r="Z30" s="27"/>
      <c r="AA30" s="27"/>
      <c r="AB30" s="27"/>
      <c r="AC30" s="27"/>
      <c r="AD30" s="27"/>
      <c r="AE30" s="27"/>
      <c r="AF30" s="27"/>
      <c r="AG30" s="27"/>
      <c r="AH30" s="27"/>
      <c r="AI30" s="27"/>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27"/>
      <c r="BM30" s="27"/>
      <c r="BN30" s="27"/>
      <c r="BO30" s="27"/>
      <c r="BP30" s="27"/>
      <c r="BQ30" s="27"/>
      <c r="BR30" s="27"/>
      <c r="BS30" s="27"/>
      <c r="BT30" s="27"/>
      <c r="BU30" s="27"/>
      <c r="BV30" s="27"/>
      <c r="BW30" s="27"/>
      <c r="BX30" s="27"/>
      <c r="BY30" s="27"/>
      <c r="BZ30" s="27"/>
    </row>
    <row r="31" spans="1:78" ht="20.100000000000001" customHeight="1">
      <c r="A31" s="128"/>
      <c r="B31" s="129"/>
      <c r="C31" s="27"/>
      <c r="D31" s="27"/>
      <c r="E31" s="27"/>
      <c r="F31" s="27"/>
      <c r="G31" s="27"/>
      <c r="H31" s="27"/>
      <c r="I31" s="27"/>
      <c r="J31" s="27"/>
      <c r="K31" s="27"/>
      <c r="L31" s="27"/>
      <c r="M31" s="27"/>
      <c r="N31" s="27"/>
      <c r="O31" s="27"/>
      <c r="P31" s="27"/>
      <c r="Q31" s="100"/>
      <c r="R31" s="2"/>
      <c r="S31" s="2"/>
      <c r="T31" s="2"/>
      <c r="U31" s="2"/>
      <c r="V31" s="27"/>
      <c r="W31" s="27"/>
      <c r="X31" s="30"/>
      <c r="Y31" s="121"/>
      <c r="Z31" s="27"/>
      <c r="AA31" s="27"/>
      <c r="AB31" s="27"/>
      <c r="AC31" s="27"/>
      <c r="AD31" s="27"/>
      <c r="AE31" s="27"/>
      <c r="AF31" s="27"/>
      <c r="AG31" s="27"/>
      <c r="AH31" s="27"/>
      <c r="AI31" s="27"/>
      <c r="AJ31" s="27"/>
      <c r="AK31" s="27"/>
      <c r="AL31" s="27"/>
      <c r="AM31" s="27"/>
      <c r="AN31" s="27"/>
      <c r="AO31" s="27"/>
      <c r="AP31" s="27"/>
      <c r="AQ31" s="27"/>
      <c r="AR31" s="27"/>
      <c r="AS31" s="27"/>
      <c r="AT31" s="27"/>
      <c r="AU31" s="27"/>
      <c r="AV31" s="27"/>
      <c r="AW31" s="27"/>
      <c r="AX31" s="27"/>
      <c r="AY31" s="27"/>
      <c r="AZ31" s="27"/>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row>
    <row r="32" spans="1:78" ht="20.100000000000001" customHeight="1">
      <c r="A32" s="128"/>
      <c r="B32" s="129"/>
      <c r="C32" s="27"/>
      <c r="D32" s="27"/>
      <c r="E32" s="27"/>
      <c r="F32" s="27"/>
      <c r="G32" s="27"/>
      <c r="H32" s="27"/>
      <c r="I32" s="27"/>
      <c r="J32" s="27"/>
      <c r="K32" s="27"/>
      <c r="L32" s="27"/>
      <c r="M32" s="27"/>
      <c r="N32" s="27"/>
      <c r="O32" s="27"/>
      <c r="P32" s="27"/>
      <c r="Q32" s="27"/>
      <c r="R32" s="2"/>
      <c r="S32" s="2"/>
      <c r="T32" s="2"/>
      <c r="U32" s="2"/>
      <c r="V32" s="27"/>
      <c r="W32" s="27"/>
      <c r="X32" s="30"/>
      <c r="Y32" s="121"/>
      <c r="Z32" s="27"/>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row>
    <row r="33" spans="1:78" ht="20.100000000000001" customHeight="1">
      <c r="A33" s="128"/>
      <c r="B33" s="129"/>
      <c r="C33" s="27"/>
      <c r="D33" s="27"/>
      <c r="E33" s="27"/>
      <c r="F33" s="27"/>
      <c r="G33" s="27"/>
      <c r="H33" s="27"/>
      <c r="I33" s="27"/>
      <c r="J33" s="27"/>
      <c r="K33" s="27"/>
      <c r="L33" s="27"/>
      <c r="M33" s="27"/>
      <c r="N33" s="27"/>
      <c r="O33" s="27"/>
      <c r="P33" s="27"/>
      <c r="Q33" s="27"/>
      <c r="R33" s="2"/>
      <c r="S33" s="2"/>
      <c r="T33" s="2"/>
      <c r="U33" s="2"/>
      <c r="V33" s="27"/>
      <c r="W33" s="27"/>
      <c r="X33" s="30"/>
      <c r="Y33" s="121"/>
      <c r="Z33" s="27"/>
      <c r="AA33" s="27"/>
      <c r="AB33" s="27"/>
      <c r="AC33" s="27"/>
      <c r="AD33" s="27"/>
      <c r="AE33" s="27"/>
      <c r="AF33" s="27"/>
      <c r="AG33" s="27"/>
      <c r="AH33" s="27"/>
      <c r="AI33" s="27"/>
      <c r="AJ33" s="27"/>
      <c r="AK33" s="27"/>
      <c r="AL33" s="27"/>
      <c r="AM33" s="27"/>
      <c r="AN33" s="27"/>
      <c r="AO33" s="27"/>
      <c r="AP33" s="27"/>
      <c r="AQ33" s="27"/>
      <c r="AR33" s="27"/>
      <c r="AS33" s="27"/>
      <c r="AT33" s="27"/>
      <c r="AU33" s="27"/>
      <c r="AV33" s="27"/>
      <c r="AW33" s="27"/>
      <c r="AX33" s="27"/>
      <c r="AY33" s="27"/>
      <c r="AZ33" s="27"/>
      <c r="BA33" s="2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row>
    <row r="34" spans="1:78" ht="20.100000000000001" customHeight="1">
      <c r="A34" s="329" t="s">
        <v>619</v>
      </c>
      <c r="B34" s="330"/>
      <c r="C34" s="27"/>
      <c r="D34" s="27"/>
      <c r="E34" s="27"/>
      <c r="F34" s="27"/>
      <c r="G34" s="27"/>
      <c r="H34" s="27"/>
      <c r="I34" s="27"/>
      <c r="J34" s="27"/>
      <c r="K34" s="27"/>
      <c r="L34" s="27"/>
      <c r="M34" s="27"/>
      <c r="N34" s="27"/>
      <c r="O34" s="27"/>
      <c r="P34" s="27"/>
      <c r="Q34" s="27"/>
      <c r="R34" s="2"/>
      <c r="S34" s="2"/>
      <c r="T34" s="2"/>
      <c r="U34" s="2"/>
      <c r="V34" s="27"/>
      <c r="W34" s="27"/>
      <c r="X34" s="30"/>
      <c r="Y34" s="121"/>
      <c r="Z34" s="27"/>
      <c r="AA34" s="27"/>
      <c r="AB34" s="27"/>
      <c r="AC34" s="27"/>
      <c r="AD34" s="27"/>
      <c r="AE34" s="27"/>
      <c r="AF34" s="27"/>
      <c r="AG34" s="27"/>
      <c r="AH34" s="27"/>
      <c r="AI34" s="27"/>
      <c r="AJ34" s="27"/>
      <c r="AK34" s="27"/>
      <c r="AL34" s="27"/>
      <c r="AM34" s="27"/>
      <c r="AN34" s="27"/>
      <c r="AO34" s="27"/>
      <c r="AP34" s="27"/>
      <c r="AQ34" s="27"/>
      <c r="AR34" s="27"/>
      <c r="AS34" s="27"/>
      <c r="AT34" s="27"/>
      <c r="AU34" s="27"/>
      <c r="AV34" s="27"/>
      <c r="AW34" s="27"/>
      <c r="AX34" s="27"/>
      <c r="AY34" s="27"/>
      <c r="AZ34" s="27"/>
      <c r="BA34" s="2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row>
    <row r="35" spans="1:78" ht="20.100000000000001" customHeight="1">
      <c r="A35" s="331" t="s">
        <v>620</v>
      </c>
      <c r="B35" s="332"/>
      <c r="C35" s="27"/>
      <c r="D35" s="27"/>
      <c r="E35" s="27"/>
      <c r="F35" s="27"/>
      <c r="G35" s="27"/>
      <c r="H35" s="27"/>
      <c r="I35" s="27"/>
      <c r="J35" s="27"/>
      <c r="K35" s="27"/>
      <c r="L35" s="27"/>
      <c r="M35" s="27"/>
      <c r="N35" s="27"/>
      <c r="O35" s="27"/>
      <c r="P35" s="27"/>
      <c r="Q35" s="27"/>
      <c r="R35" s="2"/>
      <c r="S35" s="2"/>
      <c r="T35" s="2"/>
      <c r="U35" s="2"/>
      <c r="V35" s="27"/>
      <c r="W35" s="27"/>
      <c r="X35" s="30"/>
      <c r="Y35" s="121"/>
      <c r="Z35" s="27"/>
      <c r="AA35" s="27"/>
      <c r="AB35" s="27"/>
      <c r="AC35" s="27"/>
      <c r="AD35" s="27"/>
      <c r="AE35" s="27"/>
      <c r="AF35" s="27"/>
      <c r="AG35" s="27"/>
      <c r="AH35" s="27"/>
      <c r="AI35" s="27"/>
      <c r="AJ35" s="27"/>
      <c r="AK35" s="27"/>
      <c r="AL35" s="27"/>
      <c r="AM35" s="27"/>
      <c r="AN35" s="27"/>
      <c r="AO35" s="27"/>
      <c r="AP35" s="27"/>
      <c r="AQ35" s="27"/>
      <c r="AR35" s="27"/>
      <c r="AS35" s="27"/>
      <c r="AT35" s="27"/>
      <c r="AU35" s="27"/>
      <c r="AV35" s="27"/>
      <c r="AW35" s="27"/>
      <c r="AX35" s="27"/>
      <c r="AY35" s="27"/>
      <c r="AZ35" s="27"/>
      <c r="BA35" s="2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row>
    <row r="36" spans="1:78" ht="20.100000000000001" customHeight="1">
      <c r="A36" s="130" t="s">
        <v>621</v>
      </c>
      <c r="B36" s="131"/>
      <c r="C36" s="27"/>
      <c r="D36" s="27"/>
      <c r="E36" s="27"/>
      <c r="F36" s="27"/>
      <c r="G36" s="27"/>
      <c r="H36" s="27"/>
      <c r="I36" s="27"/>
      <c r="J36" s="27"/>
      <c r="K36" s="27"/>
      <c r="L36" s="27"/>
      <c r="M36" s="27"/>
      <c r="N36" s="27"/>
      <c r="O36" s="27"/>
      <c r="P36" s="27"/>
      <c r="Q36" s="27"/>
      <c r="R36" s="2"/>
      <c r="S36" s="2"/>
      <c r="T36" s="2"/>
      <c r="U36" s="2"/>
      <c r="V36" s="27"/>
      <c r="W36" s="27"/>
      <c r="X36" s="30"/>
      <c r="Y36" s="121"/>
      <c r="Z36" s="27"/>
      <c r="AA36" s="27"/>
      <c r="AB36" s="27"/>
      <c r="AC36" s="27"/>
      <c r="AD36" s="27"/>
      <c r="AE36" s="27"/>
      <c r="AF36" s="27"/>
      <c r="AG36" s="27"/>
      <c r="AH36" s="27"/>
      <c r="AI36" s="27"/>
      <c r="AJ36" s="27"/>
      <c r="AK36" s="27"/>
      <c r="AL36" s="27"/>
      <c r="AM36" s="27"/>
      <c r="AN36" s="27"/>
      <c r="AO36" s="27"/>
      <c r="AP36" s="27"/>
      <c r="AQ36" s="27"/>
      <c r="AR36" s="27"/>
      <c r="AS36" s="27"/>
      <c r="AT36" s="27"/>
      <c r="AU36" s="27"/>
      <c r="AV36" s="27"/>
      <c r="AW36" s="27"/>
      <c r="AX36" s="27"/>
      <c r="AY36" s="27"/>
      <c r="AZ36" s="27"/>
      <c r="BA36" s="2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row>
    <row r="37" spans="1:78" ht="20.100000000000001" customHeight="1">
      <c r="A37" s="331" t="s">
        <v>622</v>
      </c>
      <c r="B37" s="333"/>
      <c r="C37" s="27"/>
      <c r="D37" s="27"/>
      <c r="E37" s="27"/>
      <c r="F37" s="27"/>
      <c r="G37" s="27"/>
      <c r="H37" s="27"/>
      <c r="I37" s="27"/>
      <c r="J37" s="27"/>
      <c r="K37" s="27"/>
      <c r="L37" s="27"/>
      <c r="M37" s="27"/>
      <c r="N37" s="27"/>
      <c r="O37" s="27"/>
      <c r="P37" s="27"/>
      <c r="Q37" s="27"/>
      <c r="R37" s="2"/>
      <c r="S37" s="2"/>
      <c r="T37" s="2"/>
      <c r="U37" s="2"/>
      <c r="V37" s="27"/>
      <c r="W37" s="27"/>
      <c r="X37" s="30"/>
      <c r="Y37" s="121"/>
      <c r="Z37" s="27"/>
      <c r="AA37" s="27"/>
      <c r="AB37" s="27"/>
      <c r="AC37" s="27"/>
      <c r="AD37" s="27"/>
      <c r="AE37" s="27"/>
      <c r="AF37" s="27"/>
      <c r="AG37" s="27"/>
      <c r="AH37" s="27"/>
      <c r="AI37" s="27"/>
      <c r="AJ37" s="27"/>
      <c r="AK37" s="27"/>
      <c r="AL37" s="27"/>
      <c r="AM37" s="27"/>
      <c r="AN37" s="27"/>
      <c r="AO37" s="27"/>
      <c r="AP37" s="27"/>
      <c r="AQ37" s="27"/>
      <c r="AR37" s="27"/>
      <c r="AS37" s="27"/>
      <c r="AT37" s="27"/>
      <c r="AU37" s="27"/>
      <c r="AV37" s="27"/>
      <c r="AW37" s="27"/>
      <c r="AX37" s="27"/>
      <c r="AY37" s="27"/>
      <c r="AZ37" s="27"/>
      <c r="BA37" s="2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row>
    <row r="38" spans="1:78" ht="20.100000000000001" customHeight="1">
      <c r="A38" s="331" t="s">
        <v>623</v>
      </c>
      <c r="B38" s="333"/>
      <c r="C38" s="27"/>
      <c r="D38" s="27"/>
      <c r="E38" s="27"/>
      <c r="F38" s="27"/>
      <c r="G38" s="27"/>
      <c r="H38" s="27"/>
      <c r="I38" s="27"/>
      <c r="J38" s="27"/>
      <c r="K38" s="27"/>
      <c r="L38" s="27"/>
      <c r="M38" s="27"/>
      <c r="N38" s="27"/>
      <c r="O38" s="27"/>
      <c r="P38" s="27"/>
      <c r="Q38" s="27"/>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1162" t="s">
        <v>1128</v>
      </c>
      <c r="BB38" s="106"/>
      <c r="BC38" s="106"/>
      <c r="BD38" s="106"/>
      <c r="BE38" s="106"/>
      <c r="BF38" s="106"/>
      <c r="BG38" s="106"/>
      <c r="BH38" s="106"/>
      <c r="BI38" s="106"/>
      <c r="BJ38" s="106"/>
      <c r="BK38" s="106"/>
      <c r="BL38" s="106"/>
      <c r="BM38" s="106"/>
      <c r="BN38" s="106"/>
      <c r="BO38" s="106"/>
      <c r="BP38" s="106"/>
      <c r="BQ38" s="106"/>
      <c r="BR38" s="106"/>
      <c r="BS38" s="106"/>
      <c r="BT38" s="106"/>
      <c r="BU38" s="106"/>
      <c r="BV38" s="106"/>
      <c r="BW38" s="106"/>
      <c r="BX38" s="106"/>
      <c r="BY38" s="106"/>
      <c r="BZ38" s="105"/>
    </row>
    <row r="39" spans="1:78" ht="15.95" customHeight="1">
      <c r="A39" s="132" t="s">
        <v>624</v>
      </c>
      <c r="B39" s="132" t="str">
        <f>IF(A21=2,"pH", "'pH'")</f>
        <v>pH</v>
      </c>
      <c r="C39" s="132" t="s">
        <v>624</v>
      </c>
      <c r="D39" s="132" t="str">
        <f>IF(A21=2,"pH", "'pH'")</f>
        <v>pH</v>
      </c>
      <c r="E39" s="132" t="s">
        <v>581</v>
      </c>
      <c r="F39" s="132" t="s">
        <v>34</v>
      </c>
      <c r="G39" s="132" t="s">
        <v>792</v>
      </c>
      <c r="H39" s="132" t="s">
        <v>793</v>
      </c>
      <c r="I39" s="132" t="s">
        <v>340</v>
      </c>
      <c r="J39" s="132" t="s">
        <v>341</v>
      </c>
      <c r="K39" s="132" t="s">
        <v>342</v>
      </c>
      <c r="L39" s="132" t="s">
        <v>343</v>
      </c>
      <c r="M39" s="132" t="s">
        <v>344</v>
      </c>
      <c r="N39" s="132" t="s">
        <v>345</v>
      </c>
      <c r="O39" s="132" t="s">
        <v>347</v>
      </c>
      <c r="P39" s="132" t="s">
        <v>630</v>
      </c>
      <c r="Q39" s="132" t="s">
        <v>631</v>
      </c>
      <c r="R39" s="132" t="s">
        <v>632</v>
      </c>
      <c r="S39" s="917" t="s">
        <v>1010</v>
      </c>
      <c r="T39" s="132"/>
      <c r="U39" s="132"/>
      <c r="V39" s="132"/>
      <c r="W39" s="132"/>
      <c r="X39" s="132"/>
      <c r="Y39" s="132"/>
      <c r="Z39" s="132"/>
      <c r="AA39" s="132"/>
      <c r="AB39" s="132"/>
      <c r="AC39" s="132"/>
      <c r="AD39" s="132"/>
      <c r="AE39" s="132"/>
      <c r="AF39" s="132"/>
      <c r="AG39" s="132"/>
      <c r="AH39" s="132"/>
      <c r="AI39" s="132"/>
      <c r="AJ39" s="132"/>
      <c r="AK39" s="132"/>
      <c r="AL39" s="132"/>
      <c r="AM39" s="132"/>
      <c r="AN39" s="132"/>
      <c r="AO39" s="132"/>
      <c r="AP39" s="132"/>
      <c r="AQ39" s="132"/>
      <c r="AR39" s="132"/>
      <c r="AS39" s="132"/>
      <c r="AT39" s="132"/>
      <c r="AU39" s="132"/>
      <c r="AV39" s="132"/>
      <c r="AW39" s="132"/>
      <c r="AX39" s="132"/>
      <c r="AY39" s="132"/>
      <c r="AZ39" s="132"/>
      <c r="BA39" s="132" t="s">
        <v>442</v>
      </c>
      <c r="BB39" s="132" t="s">
        <v>334</v>
      </c>
      <c r="BC39" s="132" t="s">
        <v>442</v>
      </c>
      <c r="BD39" s="132" t="s">
        <v>334</v>
      </c>
      <c r="BE39" s="132" t="s">
        <v>442</v>
      </c>
      <c r="BF39" s="132" t="s">
        <v>334</v>
      </c>
      <c r="BG39" s="132" t="s">
        <v>442</v>
      </c>
      <c r="BH39" s="132" t="s">
        <v>334</v>
      </c>
      <c r="BI39" s="132" t="s">
        <v>442</v>
      </c>
      <c r="BJ39" s="132" t="s">
        <v>334</v>
      </c>
      <c r="BK39" s="132" t="s">
        <v>442</v>
      </c>
      <c r="BL39" s="132" t="s">
        <v>334</v>
      </c>
      <c r="BM39" s="132" t="s">
        <v>442</v>
      </c>
      <c r="BN39" s="132" t="s">
        <v>334</v>
      </c>
      <c r="BO39" s="132" t="s">
        <v>442</v>
      </c>
      <c r="BP39" s="132" t="s">
        <v>334</v>
      </c>
      <c r="BQ39" s="132" t="s">
        <v>442</v>
      </c>
      <c r="BR39" s="132" t="s">
        <v>334</v>
      </c>
      <c r="BS39" s="132" t="s">
        <v>442</v>
      </c>
      <c r="BT39" s="132" t="s">
        <v>334</v>
      </c>
      <c r="BU39" s="132" t="s">
        <v>442</v>
      </c>
      <c r="BV39" s="132" t="s">
        <v>334</v>
      </c>
      <c r="BW39" s="132" t="s">
        <v>442</v>
      </c>
      <c r="BX39" s="132" t="s">
        <v>334</v>
      </c>
      <c r="BY39" s="132" t="s">
        <v>442</v>
      </c>
      <c r="BZ39" s="132" t="s">
        <v>334</v>
      </c>
    </row>
    <row r="40" spans="1:78" s="147" customFormat="1" ht="27.75" customHeight="1">
      <c r="A40" s="334" t="s">
        <v>582</v>
      </c>
      <c r="B40" s="335" t="s">
        <v>625</v>
      </c>
      <c r="C40" s="255" t="s">
        <v>685</v>
      </c>
      <c r="D40" s="255" t="s">
        <v>626</v>
      </c>
      <c r="E40" s="336"/>
      <c r="F40" s="336" t="s">
        <v>349</v>
      </c>
      <c r="G40" s="336" t="s">
        <v>627</v>
      </c>
      <c r="H40" s="336" t="s">
        <v>628</v>
      </c>
      <c r="I40" s="245" t="str">
        <f t="shared" ref="I40:R40" si="12">K3</f>
        <v>EDTA</v>
      </c>
      <c r="J40" s="245" t="str">
        <f t="shared" si="12"/>
        <v>Phosphoric acid</v>
      </c>
      <c r="K40" s="245" t="str">
        <f t="shared" si="12"/>
        <v xml:space="preserve">L-Glutamic acid </v>
      </c>
      <c r="L40" s="245" t="str">
        <f t="shared" si="12"/>
        <v>Acetic acid</v>
      </c>
      <c r="M40" s="245" t="str">
        <f t="shared" si="12"/>
        <v>Ammonia</v>
      </c>
      <c r="N40" s="245" t="str">
        <f t="shared" si="12"/>
        <v>HCl</v>
      </c>
      <c r="O40" s="245" t="str">
        <f t="shared" si="12"/>
        <v>Carbonic acid</v>
      </c>
      <c r="P40" s="255" t="str">
        <f t="shared" si="12"/>
        <v>Strong ACID</v>
      </c>
      <c r="Q40" s="255" t="str">
        <f t="shared" si="12"/>
        <v>Strong BASE</v>
      </c>
      <c r="R40" s="255" t="str">
        <f t="shared" si="12"/>
        <v>Carbonic ac.</v>
      </c>
      <c r="S40" s="743" t="s">
        <v>1009</v>
      </c>
      <c r="T40" s="743" t="s">
        <v>1008</v>
      </c>
      <c r="U40" s="743" t="s">
        <v>921</v>
      </c>
      <c r="V40" s="743" t="s">
        <v>334</v>
      </c>
      <c r="W40" s="149"/>
      <c r="X40" s="149"/>
      <c r="Y40" s="149"/>
      <c r="Z40" s="149"/>
      <c r="AA40" s="149"/>
      <c r="AB40" s="149"/>
      <c r="AC40" s="149"/>
      <c r="AD40" s="149"/>
      <c r="AE40" s="149"/>
      <c r="AF40" s="149"/>
      <c r="AG40" s="149"/>
      <c r="AH40" s="149"/>
      <c r="AI40" s="149"/>
      <c r="AJ40" s="149"/>
      <c r="AK40" s="149"/>
      <c r="AL40" s="149"/>
      <c r="AM40" s="149"/>
      <c r="AN40" s="149"/>
      <c r="AO40" s="149"/>
      <c r="AP40" s="149"/>
      <c r="AQ40" s="149"/>
      <c r="AR40" s="149"/>
      <c r="AS40" s="149"/>
      <c r="AT40" s="149"/>
      <c r="AU40" s="149"/>
      <c r="AV40" s="149"/>
      <c r="AW40" s="149"/>
      <c r="AX40" s="149"/>
      <c r="AY40" s="149"/>
      <c r="AZ40" s="149"/>
      <c r="BA40" s="149">
        <v>1</v>
      </c>
      <c r="BB40" s="149">
        <v>1</v>
      </c>
      <c r="BC40" s="149">
        <v>2</v>
      </c>
      <c r="BD40" s="149">
        <v>2</v>
      </c>
      <c r="BE40" s="149">
        <v>3</v>
      </c>
      <c r="BF40" s="149">
        <v>3</v>
      </c>
      <c r="BG40" s="149">
        <v>4</v>
      </c>
      <c r="BH40" s="149">
        <v>4</v>
      </c>
      <c r="BI40" s="149">
        <v>5</v>
      </c>
      <c r="BJ40" s="149">
        <v>5</v>
      </c>
      <c r="BK40" s="149">
        <v>6</v>
      </c>
      <c r="BL40" s="149">
        <v>6</v>
      </c>
      <c r="BM40" s="149">
        <v>7</v>
      </c>
      <c r="BN40" s="149">
        <v>7</v>
      </c>
      <c r="BO40" s="149">
        <v>8</v>
      </c>
      <c r="BP40" s="149">
        <v>8</v>
      </c>
      <c r="BQ40" s="149">
        <v>9</v>
      </c>
      <c r="BR40" s="149">
        <v>9</v>
      </c>
      <c r="BS40" s="149">
        <v>10</v>
      </c>
      <c r="BT40" s="149">
        <v>10</v>
      </c>
      <c r="BU40" s="149">
        <v>11</v>
      </c>
      <c r="BV40" s="149">
        <v>11</v>
      </c>
      <c r="BW40" s="149">
        <v>12</v>
      </c>
      <c r="BX40" s="149">
        <v>12</v>
      </c>
      <c r="BY40" s="149">
        <v>13</v>
      </c>
      <c r="BZ40" s="149">
        <v>13</v>
      </c>
    </row>
    <row r="41" spans="1:78">
      <c r="A41" s="19">
        <v>0</v>
      </c>
      <c r="B41" s="19">
        <v>1.8171072800722754</v>
      </c>
      <c r="C41" s="133"/>
      <c r="D41" s="19"/>
      <c r="E41" s="134">
        <v>1.7357854342666009E-2</v>
      </c>
      <c r="F41" s="134">
        <v>0.15000000000091443</v>
      </c>
      <c r="G41" s="134">
        <v>1</v>
      </c>
      <c r="H41" s="134">
        <v>0</v>
      </c>
      <c r="I41" s="136"/>
      <c r="J41" s="136">
        <v>2.6528429128077948</v>
      </c>
      <c r="K41" s="136"/>
      <c r="L41" s="136"/>
      <c r="M41" s="136"/>
      <c r="N41" s="136"/>
      <c r="O41" s="136"/>
      <c r="P41" s="136"/>
      <c r="Q41" s="136">
        <v>0.99999999999998657</v>
      </c>
      <c r="R41" s="136"/>
      <c r="S41" s="136">
        <v>1.7357960874914532E-2</v>
      </c>
      <c r="T41" s="136">
        <v>0</v>
      </c>
      <c r="U41" s="136">
        <v>0.87780223548545</v>
      </c>
      <c r="V41" s="136">
        <v>1.7605039603076875</v>
      </c>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v>0</v>
      </c>
      <c r="BB41" s="17">
        <v>3.353082640741027</v>
      </c>
      <c r="BC41" s="17">
        <v>0</v>
      </c>
      <c r="BD41" s="17">
        <v>1.3864116955262979</v>
      </c>
      <c r="BE41" s="17"/>
      <c r="BF41" s="17"/>
      <c r="BG41" s="17"/>
      <c r="BH41" s="17"/>
      <c r="BI41" s="17"/>
      <c r="BJ41" s="17"/>
      <c r="BK41" s="17"/>
      <c r="BL41" s="17"/>
      <c r="BM41" s="17"/>
      <c r="BN41" s="17"/>
      <c r="BO41" s="17"/>
      <c r="BP41" s="17"/>
      <c r="BQ41" s="17"/>
      <c r="BR41" s="17"/>
      <c r="BS41" s="17"/>
      <c r="BT41" s="17"/>
      <c r="BU41" s="17"/>
      <c r="BV41" s="17"/>
      <c r="BW41" s="17"/>
      <c r="BX41" s="17"/>
      <c r="BY41" s="17"/>
      <c r="BZ41" s="17"/>
    </row>
    <row r="42" spans="1:78">
      <c r="A42" s="19">
        <v>2.3004448812571354</v>
      </c>
      <c r="B42" s="19">
        <v>2.03204784726322</v>
      </c>
      <c r="C42" s="133"/>
      <c r="D42" s="19"/>
      <c r="E42" s="134">
        <v>1.0695067146970083E-2</v>
      </c>
      <c r="F42" s="134">
        <v>0.13452646419593262</v>
      </c>
      <c r="G42" s="134">
        <v>0.8968430946193513</v>
      </c>
      <c r="H42" s="134">
        <v>0.1031569053806487</v>
      </c>
      <c r="I42" s="136"/>
      <c r="J42" s="136">
        <v>2.5314507563962625</v>
      </c>
      <c r="K42" s="136"/>
      <c r="L42" s="136"/>
      <c r="M42" s="136"/>
      <c r="N42" s="136"/>
      <c r="O42" s="136"/>
      <c r="P42" s="136"/>
      <c r="Q42" s="136">
        <v>0.99999999999997768</v>
      </c>
      <c r="R42" s="136"/>
      <c r="S42" s="136">
        <v>2.1010976044158899E-2</v>
      </c>
      <c r="T42" s="136">
        <v>5.1578452690324355E-3</v>
      </c>
      <c r="U42" s="136">
        <v>0.86849763399392244</v>
      </c>
      <c r="V42" s="136">
        <v>1.9708164844475686</v>
      </c>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v>0.68944716913392767</v>
      </c>
      <c r="BB42" s="17">
        <v>3.5408274918499165</v>
      </c>
      <c r="BC42" s="17">
        <v>3.1178095916402526</v>
      </c>
      <c r="BD42" s="17">
        <v>1.6072509629846639</v>
      </c>
      <c r="BE42" s="17"/>
      <c r="BF42" s="17"/>
      <c r="BG42" s="17"/>
      <c r="BH42" s="17"/>
      <c r="BI42" s="17"/>
      <c r="BJ42" s="17"/>
      <c r="BK42" s="17"/>
      <c r="BL42" s="17"/>
      <c r="BM42" s="17"/>
      <c r="BN42" s="17"/>
      <c r="BO42" s="17"/>
      <c r="BP42" s="17"/>
      <c r="BQ42" s="17"/>
      <c r="BR42" s="17"/>
      <c r="BS42" s="17"/>
      <c r="BT42" s="17"/>
      <c r="BU42" s="17"/>
      <c r="BV42" s="17"/>
      <c r="BW42" s="17"/>
      <c r="BX42" s="17"/>
      <c r="BY42" s="17"/>
      <c r="BZ42" s="17"/>
    </row>
    <row r="43" spans="1:78">
      <c r="A43" s="19">
        <v>4.3254298929241486</v>
      </c>
      <c r="B43" s="19">
        <v>2.2461396194374883</v>
      </c>
      <c r="C43" s="133"/>
      <c r="D43" s="19"/>
      <c r="E43" s="134">
        <v>6.5897811457628786E-3</v>
      </c>
      <c r="F43" s="134">
        <v>0.1233277279462475</v>
      </c>
      <c r="G43" s="134">
        <v>0.82218485292304011</v>
      </c>
      <c r="H43" s="134">
        <v>0.17781514707695992</v>
      </c>
      <c r="I43" s="136"/>
      <c r="J43" s="136">
        <v>2.4071577515211979</v>
      </c>
      <c r="K43" s="136"/>
      <c r="L43" s="136"/>
      <c r="M43" s="136"/>
      <c r="N43" s="136"/>
      <c r="O43" s="136"/>
      <c r="P43" s="136"/>
      <c r="Q43" s="136">
        <v>0.99999999999996314</v>
      </c>
      <c r="R43" s="136"/>
      <c r="S43" s="136">
        <v>2.437172148209207E-2</v>
      </c>
      <c r="T43" s="136">
        <v>8.8907573538479969E-3</v>
      </c>
      <c r="U43" s="136">
        <v>0.86097272151573478</v>
      </c>
      <c r="V43" s="136">
        <v>2.1811290085874497</v>
      </c>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v>1.4582087154849432</v>
      </c>
      <c r="BB43" s="17">
        <v>3.7289556504310046</v>
      </c>
      <c r="BC43" s="17">
        <v>5.4830842549563386</v>
      </c>
      <c r="BD43" s="17">
        <v>1.8295767720077105</v>
      </c>
      <c r="BE43" s="17"/>
      <c r="BF43" s="17"/>
      <c r="BG43" s="17"/>
      <c r="BH43" s="17"/>
      <c r="BI43" s="17"/>
      <c r="BJ43" s="17"/>
      <c r="BK43" s="17"/>
      <c r="BL43" s="17"/>
      <c r="BM43" s="17"/>
      <c r="BN43" s="17"/>
      <c r="BO43" s="17"/>
      <c r="BP43" s="17"/>
      <c r="BQ43" s="17"/>
      <c r="BR43" s="17"/>
      <c r="BS43" s="17"/>
      <c r="BT43" s="17"/>
      <c r="BU43" s="17"/>
      <c r="BV43" s="17"/>
      <c r="BW43" s="17"/>
      <c r="BX43" s="17"/>
      <c r="BY43" s="17"/>
      <c r="BZ43" s="17"/>
    </row>
    <row r="44" spans="1:78">
      <c r="A44" s="19">
        <v>5.9982889695675112</v>
      </c>
      <c r="B44" s="19">
        <v>2.4592837415154789</v>
      </c>
      <c r="C44" s="133"/>
      <c r="D44" s="19"/>
      <c r="E44" s="134">
        <v>4.0603032175776741E-3</v>
      </c>
      <c r="F44" s="134">
        <v>0.11539220921424431</v>
      </c>
      <c r="G44" s="134">
        <v>0.76928139472146395</v>
      </c>
      <c r="H44" s="134">
        <v>0.23071860527853599</v>
      </c>
      <c r="I44" s="136"/>
      <c r="J44" s="136">
        <v>2.2946101667819598</v>
      </c>
      <c r="K44" s="136"/>
      <c r="L44" s="136"/>
      <c r="M44" s="136"/>
      <c r="N44" s="136"/>
      <c r="O44" s="136"/>
      <c r="P44" s="136"/>
      <c r="Q44" s="136">
        <v>0.99999999999993949</v>
      </c>
      <c r="R44" s="136"/>
      <c r="S44" s="136">
        <v>2.7132953092291068E-2</v>
      </c>
      <c r="T44" s="136">
        <v>1.15359302639268E-2</v>
      </c>
      <c r="U44" s="136">
        <v>0.85537744414091221</v>
      </c>
      <c r="V44" s="136">
        <v>2.3914415327273311</v>
      </c>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v>2.3542375754914246</v>
      </c>
      <c r="BB44" s="17">
        <v>3.9171403658690189</v>
      </c>
      <c r="BC44" s="17">
        <v>7.1361621594405733</v>
      </c>
      <c r="BD44" s="17">
        <v>2.0529474593634975</v>
      </c>
      <c r="BE44" s="17"/>
      <c r="BF44" s="17"/>
      <c r="BG44" s="17"/>
      <c r="BH44" s="17"/>
      <c r="BI44" s="17"/>
      <c r="BJ44" s="17"/>
      <c r="BK44" s="17"/>
      <c r="BL44" s="17"/>
      <c r="BM44" s="17"/>
      <c r="BN44" s="17"/>
      <c r="BO44" s="17"/>
      <c r="BP44" s="17"/>
      <c r="BQ44" s="17"/>
      <c r="BR44" s="17"/>
      <c r="BS44" s="17"/>
      <c r="BT44" s="17"/>
      <c r="BU44" s="17"/>
      <c r="BV44" s="17"/>
      <c r="BW44" s="17"/>
      <c r="BX44" s="17"/>
      <c r="BY44" s="17"/>
      <c r="BZ44" s="17"/>
    </row>
    <row r="45" spans="1:78">
      <c r="A45" s="19">
        <v>7.2857926934375428</v>
      </c>
      <c r="B45" s="19">
        <v>2.6715840969865385</v>
      </c>
      <c r="C45" s="133"/>
      <c r="D45" s="19"/>
      <c r="E45" s="134">
        <v>2.501761720762441E-3</v>
      </c>
      <c r="F45" s="134">
        <v>0.10994732803930028</v>
      </c>
      <c r="G45" s="134">
        <v>0.73298218694877038</v>
      </c>
      <c r="H45" s="134">
        <v>0.26701781305122962</v>
      </c>
      <c r="I45" s="136"/>
      <c r="J45" s="136">
        <v>2.2031581791935801</v>
      </c>
      <c r="K45" s="136"/>
      <c r="L45" s="136"/>
      <c r="M45" s="136"/>
      <c r="N45" s="136"/>
      <c r="O45" s="136"/>
      <c r="P45" s="136"/>
      <c r="Q45" s="136">
        <v>0.99999999999990086</v>
      </c>
      <c r="R45" s="136"/>
      <c r="S45" s="136">
        <v>2.9204947353505425E-2</v>
      </c>
      <c r="T45" s="136">
        <v>1.3350890652561481E-2</v>
      </c>
      <c r="U45" s="136">
        <v>0.85147119930955684</v>
      </c>
      <c r="V45" s="136">
        <v>2.601754056867212</v>
      </c>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v>3.3856183566967957</v>
      </c>
      <c r="BB45" s="17">
        <v>4.104981039261852</v>
      </c>
      <c r="BC45" s="17">
        <v>8.2263623175094835</v>
      </c>
      <c r="BD45" s="17">
        <v>2.2770093808906511</v>
      </c>
      <c r="BE45" s="17"/>
      <c r="BF45" s="17"/>
      <c r="BG45" s="17"/>
      <c r="BH45" s="17"/>
      <c r="BI45" s="17"/>
      <c r="BJ45" s="17"/>
      <c r="BK45" s="17"/>
      <c r="BL45" s="17"/>
      <c r="BM45" s="17"/>
      <c r="BN45" s="17"/>
      <c r="BO45" s="17"/>
      <c r="BP45" s="17"/>
      <c r="BQ45" s="17"/>
      <c r="BR45" s="17"/>
      <c r="BS45" s="17"/>
      <c r="BT45" s="17"/>
      <c r="BU45" s="17"/>
      <c r="BV45" s="17"/>
      <c r="BW45" s="17"/>
      <c r="BX45" s="17"/>
      <c r="BY45" s="17"/>
      <c r="BZ45" s="17"/>
    </row>
    <row r="46" spans="1:78">
      <c r="A46" s="19">
        <v>8.2150732792797498</v>
      </c>
      <c r="B46" s="19">
        <v>2.8832299762264122</v>
      </c>
      <c r="C46" s="133"/>
      <c r="D46" s="19"/>
      <c r="E46" s="134">
        <v>1.5414641153835233E-3</v>
      </c>
      <c r="F46" s="134">
        <v>0.10632614596959959</v>
      </c>
      <c r="G46" s="134">
        <v>0.70884097315879957</v>
      </c>
      <c r="H46" s="134">
        <v>0.29115902684120043</v>
      </c>
      <c r="I46" s="136"/>
      <c r="J46" s="136">
        <v>2.1350001493837012</v>
      </c>
      <c r="K46" s="136"/>
      <c r="L46" s="136"/>
      <c r="M46" s="136"/>
      <c r="N46" s="136"/>
      <c r="O46" s="136"/>
      <c r="P46" s="136"/>
      <c r="Q46" s="136">
        <v>0.99999999999983802</v>
      </c>
      <c r="R46" s="136"/>
      <c r="S46" s="136">
        <v>3.0659788869863612E-2</v>
      </c>
      <c r="T46" s="136">
        <v>1.4557951342060022E-2</v>
      </c>
      <c r="U46" s="136">
        <v>0.8488610523913126</v>
      </c>
      <c r="V46" s="136">
        <v>2.8120665810070933</v>
      </c>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v>4.5085039237164892</v>
      </c>
      <c r="BB46" s="17">
        <v>4.2921165891014637</v>
      </c>
      <c r="BC46" s="17">
        <v>8.9180936905904673</v>
      </c>
      <c r="BD46" s="17">
        <v>2.5015107349928822</v>
      </c>
      <c r="BE46" s="17"/>
      <c r="BF46" s="17"/>
      <c r="BG46" s="17"/>
      <c r="BH46" s="17"/>
      <c r="BI46" s="17"/>
      <c r="BJ46" s="17"/>
      <c r="BK46" s="17"/>
      <c r="BL46" s="17"/>
      <c r="BM46" s="17"/>
      <c r="BN46" s="17"/>
      <c r="BO46" s="17"/>
      <c r="BP46" s="17"/>
      <c r="BQ46" s="17"/>
      <c r="BR46" s="17"/>
      <c r="BS46" s="17"/>
      <c r="BT46" s="17"/>
      <c r="BU46" s="17"/>
      <c r="BV46" s="17"/>
      <c r="BW46" s="17"/>
      <c r="BX46" s="17"/>
      <c r="BY46" s="17"/>
      <c r="BZ46" s="17"/>
    </row>
    <row r="47" spans="1:78">
      <c r="A47" s="19">
        <v>8.852646873856429</v>
      </c>
      <c r="B47" s="19">
        <v>3.0944106420923969</v>
      </c>
      <c r="C47" s="133"/>
      <c r="D47" s="19"/>
      <c r="E47" s="134">
        <v>9.4977535202311772E-4</v>
      </c>
      <c r="F47" s="134">
        <v>0.10397659574092094</v>
      </c>
      <c r="G47" s="134">
        <v>0.69317730489099161</v>
      </c>
      <c r="H47" s="134">
        <v>0.30682269510900839</v>
      </c>
      <c r="I47" s="136"/>
      <c r="J47" s="136">
        <v>2.0873317802623101</v>
      </c>
      <c r="K47" s="136"/>
      <c r="L47" s="136"/>
      <c r="M47" s="136"/>
      <c r="N47" s="136"/>
      <c r="O47" s="136"/>
      <c r="P47" s="136"/>
      <c r="Q47" s="136">
        <v>0.9999999999997361</v>
      </c>
      <c r="R47" s="136"/>
      <c r="S47" s="136">
        <v>3.1636132947344041E-2</v>
      </c>
      <c r="T47" s="136">
        <v>1.534113475545042E-2</v>
      </c>
      <c r="U47" s="136">
        <v>0.84716589935920295</v>
      </c>
      <c r="V47" s="136">
        <v>3.0223791051469746</v>
      </c>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v>5.6376073000137694</v>
      </c>
      <c r="BB47" s="17">
        <v>4.478332619621276</v>
      </c>
      <c r="BC47" s="17">
        <v>9.346292847476434</v>
      </c>
      <c r="BD47" s="17">
        <v>2.7262844425341055</v>
      </c>
      <c r="BE47" s="17"/>
      <c r="BF47" s="17"/>
      <c r="BG47" s="17"/>
      <c r="BH47" s="17"/>
      <c r="BI47" s="17"/>
      <c r="BJ47" s="17"/>
      <c r="BK47" s="17"/>
      <c r="BL47" s="17"/>
      <c r="BM47" s="17"/>
      <c r="BN47" s="17"/>
      <c r="BO47" s="17"/>
      <c r="BP47" s="17"/>
      <c r="BQ47" s="17"/>
      <c r="BR47" s="17"/>
      <c r="BS47" s="17"/>
      <c r="BT47" s="17"/>
      <c r="BU47" s="17"/>
      <c r="BV47" s="17"/>
      <c r="BW47" s="17"/>
      <c r="BX47" s="17"/>
      <c r="BY47" s="17"/>
      <c r="BZ47" s="17"/>
    </row>
    <row r="48" spans="1:78">
      <c r="A48" s="19">
        <v>9.2745251997257583</v>
      </c>
      <c r="B48" s="19">
        <v>3.3052786795679925</v>
      </c>
      <c r="C48" s="133"/>
      <c r="D48" s="19"/>
      <c r="E48" s="134">
        <v>5.8520546168290024E-4</v>
      </c>
      <c r="F48" s="134">
        <v>0.10247817785199111</v>
      </c>
      <c r="G48" s="134">
        <v>0.68318785239193314</v>
      </c>
      <c r="H48" s="134">
        <v>0.31681214760806681</v>
      </c>
      <c r="I48" s="136"/>
      <c r="J48" s="136">
        <v>2.0554158686437547</v>
      </c>
      <c r="K48" s="136"/>
      <c r="L48" s="136"/>
      <c r="M48" s="136"/>
      <c r="N48" s="136"/>
      <c r="O48" s="136"/>
      <c r="P48" s="136"/>
      <c r="Q48" s="136">
        <v>0.99999999999957057</v>
      </c>
      <c r="R48" s="136"/>
      <c r="S48" s="136">
        <v>3.2273221769324241E-2</v>
      </c>
      <c r="T48" s="136">
        <v>1.584060738040334E-2</v>
      </c>
      <c r="U48" s="136">
        <v>0.84608296807697225</v>
      </c>
      <c r="V48" s="136">
        <v>3.2326916292868555</v>
      </c>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v>6.6790875498554669</v>
      </c>
      <c r="BB48" s="17">
        <v>4.6635941782915484</v>
      </c>
      <c r="BC48" s="17">
        <v>9.6073197331861593</v>
      </c>
      <c r="BD48" s="17">
        <v>2.9512243027203571</v>
      </c>
      <c r="BE48" s="17"/>
      <c r="BF48" s="17"/>
      <c r="BG48" s="17"/>
      <c r="BH48" s="17"/>
      <c r="BI48" s="17"/>
      <c r="BJ48" s="17"/>
      <c r="BK48" s="17"/>
      <c r="BL48" s="17"/>
      <c r="BM48" s="17"/>
      <c r="BN48" s="17"/>
      <c r="BO48" s="17"/>
      <c r="BP48" s="17"/>
      <c r="BQ48" s="17"/>
      <c r="BR48" s="17"/>
      <c r="BS48" s="17"/>
      <c r="BT48" s="17"/>
      <c r="BU48" s="17"/>
      <c r="BV48" s="17"/>
      <c r="BW48" s="17"/>
      <c r="BX48" s="17"/>
      <c r="BY48" s="17"/>
      <c r="BZ48" s="17"/>
    </row>
    <row r="49" spans="1:78">
      <c r="A49" s="19">
        <v>9.5472193221212365</v>
      </c>
      <c r="B49" s="19">
        <v>3.5159445293883027</v>
      </c>
      <c r="C49" s="133"/>
      <c r="D49" s="19"/>
      <c r="E49" s="134">
        <v>3.6057519460155532E-4</v>
      </c>
      <c r="F49" s="134">
        <v>0.10153239692097531</v>
      </c>
      <c r="G49" s="134">
        <v>0.67688264607835791</v>
      </c>
      <c r="H49" s="134">
        <v>0.32311735392164215</v>
      </c>
      <c r="I49" s="136"/>
      <c r="J49" s="136">
        <v>2.0346240747124833</v>
      </c>
      <c r="K49" s="136"/>
      <c r="L49" s="136"/>
      <c r="M49" s="136"/>
      <c r="N49" s="136"/>
      <c r="O49" s="136"/>
      <c r="P49" s="136"/>
      <c r="Q49" s="136">
        <v>0.999999999999302</v>
      </c>
      <c r="R49" s="136"/>
      <c r="S49" s="136">
        <v>3.2683521659557908E-2</v>
      </c>
      <c r="T49" s="136">
        <v>1.6155867696082109E-2</v>
      </c>
      <c r="U49" s="136">
        <v>0.84539490670520601</v>
      </c>
      <c r="V49" s="136">
        <v>3.4430041534267364</v>
      </c>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v>7.5649809048627503</v>
      </c>
      <c r="BB49" s="17">
        <v>4.8480013819512893</v>
      </c>
      <c r="BC49" s="17">
        <v>9.7649527495377697</v>
      </c>
      <c r="BD49" s="17">
        <v>3.1762645496567417</v>
      </c>
      <c r="BE49" s="17"/>
      <c r="BF49" s="17"/>
      <c r="BG49" s="17"/>
      <c r="BH49" s="17"/>
      <c r="BI49" s="17"/>
      <c r="BJ49" s="17"/>
      <c r="BK49" s="17"/>
      <c r="BL49" s="17"/>
      <c r="BM49" s="17"/>
      <c r="BN49" s="17"/>
      <c r="BO49" s="17"/>
      <c r="BP49" s="17"/>
      <c r="BQ49" s="17"/>
      <c r="BR49" s="17"/>
      <c r="BS49" s="17"/>
      <c r="BT49" s="17"/>
      <c r="BU49" s="17"/>
      <c r="BV49" s="17"/>
      <c r="BW49" s="17"/>
      <c r="BX49" s="17"/>
      <c r="BY49" s="17"/>
      <c r="BZ49" s="17"/>
    </row>
    <row r="50" spans="1:78">
      <c r="A50" s="19">
        <v>9.7213898246991448</v>
      </c>
      <c r="B50" s="19">
        <v>3.7264837975794283</v>
      </c>
      <c r="C50" s="133"/>
      <c r="D50" s="19"/>
      <c r="E50" s="134">
        <v>2.2216892950394077E-4</v>
      </c>
      <c r="F50" s="134">
        <v>0.10093740628264757</v>
      </c>
      <c r="G50" s="134">
        <v>0.67291604191264198</v>
      </c>
      <c r="H50" s="134">
        <v>0.32708395808735796</v>
      </c>
      <c r="I50" s="136"/>
      <c r="J50" s="136">
        <v>2.0212578500768035</v>
      </c>
      <c r="K50" s="136"/>
      <c r="L50" s="136"/>
      <c r="M50" s="136"/>
      <c r="N50" s="136"/>
      <c r="O50" s="136"/>
      <c r="P50" s="136"/>
      <c r="Q50" s="136">
        <v>0.99999999999886591</v>
      </c>
      <c r="R50" s="136"/>
      <c r="S50" s="136">
        <v>3.294893433349292E-2</v>
      </c>
      <c r="T50" s="136">
        <v>1.6354197904367897E-2</v>
      </c>
      <c r="U50" s="136">
        <v>0.84495364338038104</v>
      </c>
      <c r="V50" s="136">
        <v>3.6533166775666177</v>
      </c>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v>8.2683403175906278</v>
      </c>
      <c r="BB50" s="17">
        <v>5.031717381531374</v>
      </c>
      <c r="BC50" s="17">
        <v>9.8596074545639567</v>
      </c>
      <c r="BD50" s="17">
        <v>3.4013650938911701</v>
      </c>
      <c r="BE50" s="17"/>
      <c r="BF50" s="17"/>
      <c r="BG50" s="17"/>
      <c r="BH50" s="17"/>
      <c r="BI50" s="17"/>
      <c r="BJ50" s="17"/>
      <c r="BK50" s="17"/>
      <c r="BL50" s="17"/>
      <c r="BM50" s="17"/>
      <c r="BN50" s="17"/>
      <c r="BO50" s="17"/>
      <c r="BP50" s="17"/>
      <c r="BQ50" s="17"/>
      <c r="BR50" s="17"/>
      <c r="BS50" s="17"/>
      <c r="BT50" s="17"/>
      <c r="BU50" s="17"/>
      <c r="BV50" s="17"/>
      <c r="BW50" s="17"/>
      <c r="BX50" s="17"/>
      <c r="BY50" s="17"/>
      <c r="BZ50" s="17"/>
    </row>
    <row r="51" spans="1:78">
      <c r="A51" s="19">
        <v>9.8327682426315732</v>
      </c>
      <c r="B51" s="19">
        <v>3.9369472311575628</v>
      </c>
      <c r="C51" s="133"/>
      <c r="D51" s="19"/>
      <c r="E51" s="134">
        <v>1.3688970837683379E-4</v>
      </c>
      <c r="F51" s="134">
        <v>0.10056056399098963</v>
      </c>
      <c r="G51" s="134">
        <v>0.6704037599314725</v>
      </c>
      <c r="H51" s="134">
        <v>0.3295962400685275</v>
      </c>
      <c r="I51" s="136"/>
      <c r="J51" s="136">
        <v>2.0126393797617834</v>
      </c>
      <c r="K51" s="136"/>
      <c r="L51" s="136"/>
      <c r="M51" s="136"/>
      <c r="N51" s="136"/>
      <c r="O51" s="136"/>
      <c r="P51" s="136"/>
      <c r="Q51" s="136">
        <v>0.99999999999815814</v>
      </c>
      <c r="R51" s="136"/>
      <c r="S51" s="136">
        <v>3.3126498154292562E-2</v>
      </c>
      <c r="T51" s="136">
        <v>1.6479812003426377E-2</v>
      </c>
      <c r="U51" s="136">
        <v>0.84466008836542694</v>
      </c>
      <c r="V51" s="136">
        <v>3.863629201706499</v>
      </c>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v>8.7971470828051679</v>
      </c>
      <c r="BB51" s="17">
        <v>5.2149114594288255</v>
      </c>
      <c r="BC51" s="17">
        <v>9.9162514918134548</v>
      </c>
      <c r="BD51" s="17">
        <v>3.6265017280784404</v>
      </c>
      <c r="BE51" s="17"/>
      <c r="BF51" s="17"/>
      <c r="BG51" s="17"/>
      <c r="BH51" s="17"/>
      <c r="BI51" s="17"/>
      <c r="BJ51" s="17"/>
      <c r="BK51" s="17"/>
      <c r="BL51" s="17"/>
      <c r="BM51" s="17"/>
      <c r="BN51" s="17"/>
      <c r="BO51" s="17"/>
      <c r="BP51" s="17"/>
      <c r="BQ51" s="17"/>
      <c r="BR51" s="17"/>
      <c r="BS51" s="17"/>
      <c r="BT51" s="17"/>
      <c r="BU51" s="17"/>
      <c r="BV51" s="17"/>
      <c r="BW51" s="17"/>
      <c r="BX51" s="17"/>
      <c r="BY51" s="17"/>
      <c r="BZ51" s="17"/>
    </row>
    <row r="52" spans="1:78">
      <c r="A52" s="19">
        <v>9.9056407503667288</v>
      </c>
      <c r="B52" s="19">
        <v>4.1473695514894615</v>
      </c>
      <c r="C52" s="133"/>
      <c r="D52" s="19"/>
      <c r="E52" s="134">
        <v>8.4344792502419799E-5</v>
      </c>
      <c r="F52" s="134">
        <v>0.10031552325141381</v>
      </c>
      <c r="G52" s="134">
        <v>0.66877015503263981</v>
      </c>
      <c r="H52" s="134">
        <v>0.33122984496736019</v>
      </c>
      <c r="I52" s="136"/>
      <c r="J52" s="136">
        <v>2.0069135449507414</v>
      </c>
      <c r="K52" s="136"/>
      <c r="L52" s="136"/>
      <c r="M52" s="136"/>
      <c r="N52" s="136"/>
      <c r="O52" s="136"/>
      <c r="P52" s="136"/>
      <c r="Q52" s="136">
        <v>0.99999999999700917</v>
      </c>
      <c r="R52" s="136"/>
      <c r="S52" s="136">
        <v>3.3256150452565782E-2</v>
      </c>
      <c r="T52" s="136">
        <v>1.6561492248368011E-2</v>
      </c>
      <c r="U52" s="136">
        <v>0.84444657256159816</v>
      </c>
      <c r="V52" s="136">
        <v>4.0739417258463799</v>
      </c>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v>9.1788289413671009</v>
      </c>
      <c r="BB52" s="17">
        <v>5.3977294222803902</v>
      </c>
      <c r="BC52" s="17">
        <v>9.9500796364736743</v>
      </c>
      <c r="BD52" s="17">
        <v>3.8516599176710975</v>
      </c>
      <c r="BE52" s="17"/>
      <c r="BF52" s="17"/>
      <c r="BG52" s="17"/>
      <c r="BH52" s="17"/>
      <c r="BI52" s="17"/>
      <c r="BJ52" s="17"/>
      <c r="BK52" s="17"/>
      <c r="BL52" s="17"/>
      <c r="BM52" s="17"/>
      <c r="BN52" s="17"/>
      <c r="BO52" s="17"/>
      <c r="BP52" s="17"/>
      <c r="BQ52" s="17"/>
      <c r="BR52" s="17"/>
      <c r="BS52" s="17"/>
      <c r="BT52" s="17"/>
      <c r="BU52" s="17"/>
      <c r="BV52" s="17"/>
      <c r="BW52" s="17"/>
      <c r="BX52" s="17"/>
      <c r="BY52" s="17"/>
      <c r="BZ52" s="17"/>
    </row>
    <row r="53" spans="1:78">
      <c r="A53" s="19">
        <v>9.956512633652892</v>
      </c>
      <c r="B53" s="19">
        <v>4.3577764259656462</v>
      </c>
      <c r="C53" s="133"/>
      <c r="D53" s="19"/>
      <c r="E53" s="134">
        <v>5.1969166321053877E-5</v>
      </c>
      <c r="F53" s="134">
        <v>0.10014516831969518</v>
      </c>
      <c r="G53" s="134">
        <v>0.66763445550413325</v>
      </c>
      <c r="H53" s="134">
        <v>0.3323655444958668</v>
      </c>
      <c r="I53" s="136"/>
      <c r="J53" s="136">
        <v>2.0027919297632981</v>
      </c>
      <c r="K53" s="136"/>
      <c r="L53" s="136"/>
      <c r="M53" s="136"/>
      <c r="N53" s="136"/>
      <c r="O53" s="136"/>
      <c r="P53" s="136"/>
      <c r="Q53" s="136">
        <v>0.99999999999514377</v>
      </c>
      <c r="R53" s="136"/>
      <c r="S53" s="136">
        <v>3.3367876375984901E-2</v>
      </c>
      <c r="T53" s="136">
        <v>1.6618277224793341E-2</v>
      </c>
      <c r="U53" s="136">
        <v>0.8442631367495288</v>
      </c>
      <c r="V53" s="136">
        <v>4.2842542499862617</v>
      </c>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v>9.4463911591446958</v>
      </c>
      <c r="BB53" s="17">
        <v>5.5802847581417367</v>
      </c>
      <c r="BC53" s="17">
        <v>9.9702573395916261</v>
      </c>
      <c r="BD53" s="17">
        <v>4.0768309653786892</v>
      </c>
      <c r="BE53" s="17"/>
      <c r="BF53" s="17"/>
      <c r="BG53" s="17"/>
      <c r="BH53" s="17"/>
      <c r="BI53" s="17"/>
      <c r="BJ53" s="17"/>
      <c r="BK53" s="17"/>
      <c r="BL53" s="17"/>
      <c r="BM53" s="17"/>
      <c r="BN53" s="17"/>
      <c r="BO53" s="17"/>
      <c r="BP53" s="17"/>
      <c r="BQ53" s="17"/>
      <c r="BR53" s="17"/>
      <c r="BS53" s="17"/>
      <c r="BT53" s="17"/>
      <c r="BU53" s="17"/>
      <c r="BV53" s="17"/>
      <c r="BW53" s="17"/>
      <c r="BX53" s="17"/>
      <c r="BY53" s="17"/>
      <c r="BZ53" s="17"/>
    </row>
    <row r="54" spans="1:78">
      <c r="A54" s="19">
        <v>9.9971799951163121</v>
      </c>
      <c r="B54" s="19">
        <v>4.568190022913047</v>
      </c>
      <c r="C54" s="133"/>
      <c r="D54" s="19"/>
      <c r="E54" s="134">
        <v>3.2020877258402024E-5</v>
      </c>
      <c r="F54" s="134">
        <v>0.10000940089965143</v>
      </c>
      <c r="G54" s="134">
        <v>0.66672933930075695</v>
      </c>
      <c r="H54" s="134">
        <v>0.3332706606992431</v>
      </c>
      <c r="I54" s="136"/>
      <c r="J54" s="136">
        <v>1.9993214777082624</v>
      </c>
      <c r="K54" s="136"/>
      <c r="L54" s="136"/>
      <c r="M54" s="136"/>
      <c r="N54" s="136"/>
      <c r="O54" s="136"/>
      <c r="P54" s="136"/>
      <c r="Q54" s="136">
        <v>0.99999999999211475</v>
      </c>
      <c r="R54" s="136"/>
      <c r="S54" s="136">
        <v>3.3487884426478237E-2</v>
      </c>
      <c r="T54" s="136">
        <v>1.6663533034962156E-2</v>
      </c>
      <c r="U54" s="136">
        <v>0.84406667532349733</v>
      </c>
      <c r="V54" s="136">
        <v>4.4945667741261417</v>
      </c>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v>9.6302381294663064</v>
      </c>
      <c r="BB54" s="17">
        <v>5.7626606426347093</v>
      </c>
      <c r="BC54" s="17">
        <v>9.9822841104469262</v>
      </c>
      <c r="BD54" s="17">
        <v>4.3020096773616689</v>
      </c>
      <c r="BE54" s="17"/>
      <c r="BF54" s="17"/>
      <c r="BG54" s="17"/>
      <c r="BH54" s="17"/>
      <c r="BI54" s="17"/>
      <c r="BJ54" s="17"/>
      <c r="BK54" s="17"/>
      <c r="BL54" s="17"/>
      <c r="BM54" s="17"/>
      <c r="BN54" s="17"/>
      <c r="BO54" s="17"/>
      <c r="BP54" s="17"/>
      <c r="BQ54" s="17"/>
      <c r="BR54" s="17"/>
      <c r="BS54" s="17"/>
      <c r="BT54" s="17"/>
      <c r="BU54" s="17"/>
      <c r="BV54" s="17"/>
      <c r="BW54" s="17"/>
      <c r="BX54" s="17"/>
      <c r="BY54" s="17"/>
      <c r="BZ54" s="17"/>
    </row>
    <row r="55" spans="1:78">
      <c r="A55" s="19">
        <v>10.037190483126324</v>
      </c>
      <c r="B55" s="19">
        <v>4.7786339196049799</v>
      </c>
      <c r="C55" s="133"/>
      <c r="D55" s="19"/>
      <c r="E55" s="134">
        <v>1.9729709998874018E-5</v>
      </c>
      <c r="F55" s="134">
        <v>9.9876185217381522E-2</v>
      </c>
      <c r="G55" s="134">
        <v>0.66584123479205271</v>
      </c>
      <c r="H55" s="134">
        <v>0.33415876520794724</v>
      </c>
      <c r="I55" s="136"/>
      <c r="J55" s="136">
        <v>1.9956883482757002</v>
      </c>
      <c r="K55" s="136"/>
      <c r="L55" s="136"/>
      <c r="M55" s="136"/>
      <c r="N55" s="136"/>
      <c r="O55" s="136"/>
      <c r="P55" s="136"/>
      <c r="Q55" s="136">
        <v>0.99999999998719469</v>
      </c>
      <c r="R55" s="136"/>
      <c r="S55" s="136">
        <v>3.3644367396273751E-2</v>
      </c>
      <c r="T55" s="136">
        <v>1.6707938260397362E-2</v>
      </c>
      <c r="U55" s="136">
        <v>0.84381138674954648</v>
      </c>
      <c r="V55" s="136">
        <v>4.7048792982660235</v>
      </c>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v>9.7549627986154519</v>
      </c>
      <c r="BB55" s="17">
        <v>5.9449158555196302</v>
      </c>
      <c r="BC55" s="17">
        <v>9.9894494880572893</v>
      </c>
      <c r="BD55" s="17">
        <v>4.5271929557213983</v>
      </c>
      <c r="BE55" s="17"/>
      <c r="BF55" s="17"/>
      <c r="BG55" s="17"/>
      <c r="BH55" s="17"/>
      <c r="BI55" s="17"/>
      <c r="BJ55" s="17"/>
      <c r="BK55" s="17"/>
      <c r="BL55" s="17"/>
      <c r="BM55" s="17"/>
      <c r="BN55" s="17"/>
      <c r="BO55" s="17"/>
      <c r="BP55" s="17"/>
      <c r="BQ55" s="17"/>
      <c r="BR55" s="17"/>
      <c r="BS55" s="17"/>
      <c r="BT55" s="17"/>
      <c r="BU55" s="17"/>
      <c r="BV55" s="17"/>
      <c r="BW55" s="17"/>
      <c r="BX55" s="17"/>
      <c r="BY55" s="17"/>
      <c r="BZ55" s="17"/>
    </row>
    <row r="56" spans="1:78">
      <c r="A56" s="19">
        <v>10.085949620406609</v>
      </c>
      <c r="B56" s="19">
        <v>4.989138153184598</v>
      </c>
      <c r="C56" s="133"/>
      <c r="D56" s="19"/>
      <c r="E56" s="134">
        <v>1.2156489452128646E-5</v>
      </c>
      <c r="F56" s="134">
        <v>9.9714319740156113E-2</v>
      </c>
      <c r="G56" s="134">
        <v>0.66476213160317921</v>
      </c>
      <c r="H56" s="134">
        <v>0.33523786839682085</v>
      </c>
      <c r="I56" s="136"/>
      <c r="J56" s="136">
        <v>1.9910393336176375</v>
      </c>
      <c r="K56" s="136"/>
      <c r="L56" s="136"/>
      <c r="M56" s="136"/>
      <c r="N56" s="136"/>
      <c r="O56" s="136"/>
      <c r="P56" s="136"/>
      <c r="Q56" s="136">
        <v>0.99999999997919897</v>
      </c>
      <c r="R56" s="136"/>
      <c r="S56" s="136">
        <v>3.3873735482340829E-2</v>
      </c>
      <c r="T56" s="136">
        <v>1.6761893419841044E-2</v>
      </c>
      <c r="U56" s="136">
        <v>0.843438987583632</v>
      </c>
      <c r="V56" s="136">
        <v>4.9151918224059044</v>
      </c>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v>9.8390408456907608</v>
      </c>
      <c r="BB56" s="17">
        <v>6.1270910859581083</v>
      </c>
      <c r="BC56" s="17">
        <v>9.9937174454680644</v>
      </c>
      <c r="BD56" s="17">
        <v>4.7523789540175265</v>
      </c>
      <c r="BE56" s="17"/>
      <c r="BF56" s="17"/>
      <c r="BG56" s="17"/>
      <c r="BH56" s="17"/>
      <c r="BI56" s="17"/>
      <c r="BJ56" s="17"/>
      <c r="BK56" s="17"/>
      <c r="BL56" s="17"/>
      <c r="BM56" s="17"/>
      <c r="BN56" s="17"/>
      <c r="BO56" s="17"/>
      <c r="BP56" s="17"/>
      <c r="BQ56" s="17"/>
      <c r="BR56" s="17"/>
      <c r="BS56" s="17"/>
      <c r="BT56" s="17"/>
      <c r="BU56" s="17"/>
      <c r="BV56" s="17"/>
      <c r="BW56" s="17"/>
      <c r="BX56" s="17"/>
      <c r="BY56" s="17"/>
      <c r="BZ56" s="17"/>
    </row>
    <row r="57" spans="1:78">
      <c r="A57" s="19">
        <v>10.154803957266267</v>
      </c>
      <c r="B57" s="19">
        <v>5.1997450596983432</v>
      </c>
      <c r="C57" s="133"/>
      <c r="D57" s="19"/>
      <c r="E57" s="134">
        <v>7.4902386202406884E-6</v>
      </c>
      <c r="F57" s="134">
        <v>9.9486635840429175E-2</v>
      </c>
      <c r="G57" s="134">
        <v>0.66324423893811579</v>
      </c>
      <c r="H57" s="134">
        <v>0.33675576106188421</v>
      </c>
      <c r="I57" s="136"/>
      <c r="J57" s="136">
        <v>1.9842937948287349</v>
      </c>
      <c r="K57" s="136"/>
      <c r="L57" s="136"/>
      <c r="M57" s="136"/>
      <c r="N57" s="136"/>
      <c r="O57" s="136"/>
      <c r="P57" s="136"/>
      <c r="Q57" s="136">
        <v>0.9999999999661946</v>
      </c>
      <c r="R57" s="136"/>
      <c r="S57" s="136">
        <v>3.4228304520139044E-2</v>
      </c>
      <c r="T57" s="136">
        <v>1.6837788053094212E-2</v>
      </c>
      <c r="U57" s="136">
        <v>0.84286746425328307</v>
      </c>
      <c r="V57" s="136">
        <v>5.1255043465457852</v>
      </c>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v>9.8957675087149255</v>
      </c>
      <c r="BB57" s="17">
        <v>6.309214284576151</v>
      </c>
      <c r="BC57" s="17">
        <v>9.9962592605152167</v>
      </c>
      <c r="BD57" s="17">
        <v>4.9775665722206686</v>
      </c>
      <c r="BE57" s="17"/>
      <c r="BF57" s="17"/>
      <c r="BG57" s="17"/>
      <c r="BH57" s="17"/>
      <c r="BI57" s="17"/>
      <c r="BJ57" s="17"/>
      <c r="BK57" s="17"/>
      <c r="BL57" s="17"/>
      <c r="BM57" s="17"/>
      <c r="BN57" s="17"/>
      <c r="BO57" s="17"/>
      <c r="BP57" s="17"/>
      <c r="BQ57" s="17"/>
      <c r="BR57" s="17"/>
      <c r="BS57" s="17"/>
      <c r="BT57" s="17"/>
      <c r="BU57" s="17"/>
      <c r="BV57" s="17"/>
      <c r="BW57" s="17"/>
      <c r="BX57" s="17"/>
      <c r="BY57" s="17"/>
      <c r="BZ57" s="17"/>
    </row>
    <row r="58" spans="1:78">
      <c r="A58" s="19">
        <v>10.259427917480934</v>
      </c>
      <c r="B58" s="19">
        <v>5.4105160650546065</v>
      </c>
      <c r="C58" s="133"/>
      <c r="D58" s="19"/>
      <c r="E58" s="134">
        <v>4.6151213974295064E-6</v>
      </c>
      <c r="F58" s="134">
        <v>9.9142654253474599E-2</v>
      </c>
      <c r="G58" s="134">
        <v>0.66095102833996899</v>
      </c>
      <c r="H58" s="134">
        <v>0.33904897166003101</v>
      </c>
      <c r="I58" s="136"/>
      <c r="J58" s="136">
        <v>1.9739176504316283</v>
      </c>
      <c r="K58" s="136"/>
      <c r="L58" s="136"/>
      <c r="M58" s="136"/>
      <c r="N58" s="136"/>
      <c r="O58" s="136"/>
      <c r="P58" s="136"/>
      <c r="Q58" s="136">
        <v>0.99999999994501865</v>
      </c>
      <c r="R58" s="136"/>
      <c r="S58" s="136">
        <v>3.4786262993398223E-2</v>
      </c>
      <c r="T58" s="136">
        <v>1.6952448583001552E-2</v>
      </c>
      <c r="U58" s="136">
        <v>0.84197812535469474</v>
      </c>
      <c r="V58" s="136">
        <v>5.335816870685667</v>
      </c>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v>9.9345023700152524</v>
      </c>
      <c r="BB58" s="17">
        <v>6.4913047943471502</v>
      </c>
      <c r="BC58" s="17">
        <v>9.9977730118553154</v>
      </c>
      <c r="BD58" s="17">
        <v>5.202755155161106</v>
      </c>
      <c r="BE58" s="17"/>
      <c r="BF58" s="17"/>
      <c r="BG58" s="17"/>
      <c r="BH58" s="17"/>
      <c r="BI58" s="17"/>
      <c r="BJ58" s="17"/>
      <c r="BK58" s="17"/>
      <c r="BL58" s="17"/>
      <c r="BM58" s="17"/>
      <c r="BN58" s="17"/>
      <c r="BO58" s="17"/>
      <c r="BP58" s="17"/>
      <c r="BQ58" s="17"/>
      <c r="BR58" s="17"/>
      <c r="BS58" s="17"/>
      <c r="BT58" s="17"/>
      <c r="BU58" s="17"/>
      <c r="BV58" s="17"/>
      <c r="BW58" s="17"/>
      <c r="BX58" s="17"/>
      <c r="BY58" s="17"/>
      <c r="BZ58" s="17"/>
    </row>
    <row r="59" spans="1:78">
      <c r="A59" s="19">
        <v>10.422738817578647</v>
      </c>
      <c r="B59" s="19">
        <v>5.6215382068211683</v>
      </c>
      <c r="C59" s="133"/>
      <c r="D59" s="19"/>
      <c r="E59" s="134">
        <v>2.843613747558726E-6</v>
      </c>
      <c r="F59" s="134">
        <v>9.8610451153121198E-2</v>
      </c>
      <c r="G59" s="134">
        <v>0.65740300763082837</v>
      </c>
      <c r="H59" s="134">
        <v>0.34259699236917168</v>
      </c>
      <c r="I59" s="136"/>
      <c r="J59" s="136">
        <v>1.9576397603863638</v>
      </c>
      <c r="K59" s="136"/>
      <c r="L59" s="136"/>
      <c r="M59" s="136"/>
      <c r="N59" s="136"/>
      <c r="O59" s="136"/>
      <c r="P59" s="136"/>
      <c r="Q59" s="136">
        <v>0.9999999999104745</v>
      </c>
      <c r="R59" s="136"/>
      <c r="S59" s="136">
        <v>3.5663819069777836E-2</v>
      </c>
      <c r="T59" s="136">
        <v>1.7129849618458586E-2</v>
      </c>
      <c r="U59" s="136">
        <v>0.84060349441692406</v>
      </c>
      <c r="V59" s="136">
        <v>5.5461293948255479</v>
      </c>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v>9.9618181542609818</v>
      </c>
      <c r="BB59" s="17">
        <v>6.6733764198713299</v>
      </c>
      <c r="BC59" s="17">
        <v>9.9986746281501837</v>
      </c>
      <c r="BD59" s="17">
        <v>5.427944312752996</v>
      </c>
      <c r="BE59" s="17"/>
      <c r="BF59" s="17"/>
      <c r="BG59" s="17"/>
      <c r="BH59" s="17"/>
      <c r="BI59" s="17"/>
      <c r="BJ59" s="17"/>
      <c r="BK59" s="17"/>
      <c r="BL59" s="17"/>
      <c r="BM59" s="17"/>
      <c r="BN59" s="17"/>
      <c r="BO59" s="17"/>
      <c r="BP59" s="17"/>
      <c r="BQ59" s="17"/>
      <c r="BR59" s="17"/>
      <c r="BS59" s="17"/>
      <c r="BT59" s="17"/>
      <c r="BU59" s="17"/>
      <c r="BV59" s="17"/>
      <c r="BW59" s="17"/>
      <c r="BX59" s="17"/>
      <c r="BY59" s="17"/>
      <c r="BZ59" s="17"/>
    </row>
    <row r="60" spans="1:78">
      <c r="A60" s="19">
        <v>10.678157336951699</v>
      </c>
      <c r="B60" s="19">
        <v>5.8329258111339772</v>
      </c>
      <c r="C60" s="133"/>
      <c r="D60" s="19"/>
      <c r="E60" s="134">
        <v>1.7520967378688534E-6</v>
      </c>
      <c r="F60" s="134">
        <v>9.7789445660043037E-2</v>
      </c>
      <c r="G60" s="134">
        <v>0.65192963779668656</v>
      </c>
      <c r="H60" s="134">
        <v>0.3480703622033135</v>
      </c>
      <c r="I60" s="136"/>
      <c r="J60" s="136">
        <v>1.9321307659655258</v>
      </c>
      <c r="K60" s="136"/>
      <c r="L60" s="136"/>
      <c r="M60" s="136"/>
      <c r="N60" s="136"/>
      <c r="O60" s="136"/>
      <c r="P60" s="136"/>
      <c r="Q60" s="136">
        <v>0.99999999985398091</v>
      </c>
      <c r="R60" s="136"/>
      <c r="S60" s="136">
        <v>3.7026349438433581E-2</v>
      </c>
      <c r="T60" s="136">
        <v>1.7403518110165675E-2</v>
      </c>
      <c r="U60" s="136">
        <v>0.83852518461666548</v>
      </c>
      <c r="V60" s="136">
        <v>5.7564419189654288</v>
      </c>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v>9.9824373712181114</v>
      </c>
      <c r="BB60" s="17">
        <v>6.8554397171627715</v>
      </c>
      <c r="BC60" s="17">
        <v>9.9992118965019472</v>
      </c>
      <c r="BD60" s="17">
        <v>5.6531338128240902</v>
      </c>
      <c r="BE60" s="17"/>
      <c r="BF60" s="17"/>
      <c r="BG60" s="17"/>
      <c r="BH60" s="17"/>
      <c r="BI60" s="17"/>
      <c r="BJ60" s="17"/>
      <c r="BK60" s="17"/>
      <c r="BL60" s="17"/>
      <c r="BM60" s="17"/>
      <c r="BN60" s="17"/>
      <c r="BO60" s="17"/>
      <c r="BP60" s="17"/>
      <c r="BQ60" s="17"/>
      <c r="BR60" s="17"/>
      <c r="BS60" s="17"/>
      <c r="BT60" s="17"/>
      <c r="BU60" s="17"/>
      <c r="BV60" s="17"/>
      <c r="BW60" s="17"/>
      <c r="BX60" s="17"/>
      <c r="BY60" s="17"/>
      <c r="BZ60" s="17"/>
    </row>
    <row r="61" spans="1:78">
      <c r="A61" s="19">
        <v>11.071775054733735</v>
      </c>
      <c r="B61" s="19">
        <v>6.0448065155412518</v>
      </c>
      <c r="C61" s="133"/>
      <c r="D61" s="19"/>
      <c r="E61" s="134">
        <v>1.079556948086274E-6</v>
      </c>
      <c r="F61" s="134">
        <v>9.6550647484383495E-2</v>
      </c>
      <c r="G61" s="134">
        <v>0.64367098325429262</v>
      </c>
      <c r="H61" s="134">
        <v>0.35632901674570738</v>
      </c>
      <c r="I61" s="136"/>
      <c r="J61" s="136">
        <v>1.8927893662376822</v>
      </c>
      <c r="K61" s="136"/>
      <c r="L61" s="136"/>
      <c r="M61" s="136"/>
      <c r="N61" s="136"/>
      <c r="O61" s="136"/>
      <c r="P61" s="136"/>
      <c r="Q61" s="136">
        <v>0.99999999976129661</v>
      </c>
      <c r="R61" s="136"/>
      <c r="S61" s="136">
        <v>3.9087448050732512E-2</v>
      </c>
      <c r="T61" s="136">
        <v>1.7816450837285371E-2</v>
      </c>
      <c r="U61" s="136">
        <v>0.83550284048490508</v>
      </c>
      <c r="V61" s="136">
        <v>5.9667544431053106</v>
      </c>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v>9.999968706688378</v>
      </c>
      <c r="BB61" s="17">
        <v>7.0375037897783503</v>
      </c>
      <c r="BC61" s="17">
        <v>9.9995325042982586</v>
      </c>
      <c r="BD61" s="17">
        <v>5.8783235173525084</v>
      </c>
      <c r="BE61" s="17"/>
      <c r="BF61" s="17"/>
      <c r="BG61" s="17"/>
      <c r="BH61" s="17"/>
      <c r="BI61" s="17"/>
      <c r="BJ61" s="17"/>
      <c r="BK61" s="17"/>
      <c r="BL61" s="17"/>
      <c r="BM61" s="17"/>
      <c r="BN61" s="17"/>
      <c r="BO61" s="17"/>
      <c r="BP61" s="17"/>
      <c r="BQ61" s="17"/>
      <c r="BR61" s="17"/>
      <c r="BS61" s="17"/>
      <c r="BT61" s="17"/>
      <c r="BU61" s="17"/>
      <c r="BV61" s="17"/>
      <c r="BW61" s="17"/>
      <c r="BX61" s="17"/>
      <c r="BY61" s="17"/>
      <c r="BZ61" s="17"/>
    </row>
    <row r="62" spans="1:78">
      <c r="A62" s="19">
        <v>11.659035268530715</v>
      </c>
      <c r="B62" s="19">
        <v>6.2572748607294768</v>
      </c>
      <c r="C62" s="133"/>
      <c r="D62" s="19"/>
      <c r="E62" s="134">
        <v>6.6517058046630964E-7</v>
      </c>
      <c r="F62" s="134">
        <v>9.4759678380543721E-2</v>
      </c>
      <c r="G62" s="134">
        <v>0.63173118919895954</v>
      </c>
      <c r="H62" s="134">
        <v>0.36826881080104046</v>
      </c>
      <c r="I62" s="136"/>
      <c r="J62" s="136">
        <v>1.8340761082154369</v>
      </c>
      <c r="K62" s="136"/>
      <c r="L62" s="136"/>
      <c r="M62" s="136"/>
      <c r="N62" s="136"/>
      <c r="O62" s="136"/>
      <c r="P62" s="136"/>
      <c r="Q62" s="136">
        <v>0.99999999960872443</v>
      </c>
      <c r="R62" s="136"/>
      <c r="S62" s="136">
        <v>4.2070224608764181E-2</v>
      </c>
      <c r="T62" s="136">
        <v>1.8413440540052024E-2</v>
      </c>
      <c r="U62" s="136">
        <v>0.83136571355906042</v>
      </c>
      <c r="V62" s="136">
        <v>6.1770669672451914</v>
      </c>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v>10.017501802940387</v>
      </c>
      <c r="BB62" s="17">
        <v>7.2195778494024481</v>
      </c>
      <c r="BC62" s="17">
        <v>9.9997245837585069</v>
      </c>
      <c r="BD62" s="17">
        <v>6.1035133445166174</v>
      </c>
      <c r="BE62" s="17"/>
      <c r="BF62" s="17"/>
      <c r="BG62" s="17"/>
      <c r="BH62" s="17"/>
      <c r="BI62" s="17"/>
      <c r="BJ62" s="17"/>
      <c r="BK62" s="17"/>
      <c r="BL62" s="17"/>
      <c r="BM62" s="17"/>
      <c r="BN62" s="17"/>
      <c r="BO62" s="17"/>
      <c r="BP62" s="17"/>
      <c r="BQ62" s="17"/>
      <c r="BR62" s="17"/>
      <c r="BS62" s="17"/>
      <c r="BT62" s="17"/>
      <c r="BU62" s="17"/>
      <c r="BV62" s="17"/>
      <c r="BW62" s="17"/>
      <c r="BX62" s="17"/>
      <c r="BY62" s="17"/>
      <c r="BZ62" s="17"/>
    </row>
    <row r="63" spans="1:78">
      <c r="A63" s="19">
        <v>12.487507292826194</v>
      </c>
      <c r="B63" s="19">
        <v>6.4703073210120445</v>
      </c>
      <c r="C63" s="133"/>
      <c r="D63" s="19"/>
      <c r="E63" s="134">
        <v>4.0984581860384471E-7</v>
      </c>
      <c r="F63" s="134">
        <v>9.2343188200550042E-2</v>
      </c>
      <c r="G63" s="134">
        <v>0.61562125462055683</v>
      </c>
      <c r="H63" s="134">
        <v>0.38437874537944311</v>
      </c>
      <c r="I63" s="136"/>
      <c r="J63" s="136">
        <v>1.7512371261172854</v>
      </c>
      <c r="K63" s="136"/>
      <c r="L63" s="136"/>
      <c r="M63" s="136"/>
      <c r="N63" s="136"/>
      <c r="O63" s="136"/>
      <c r="P63" s="136"/>
      <c r="Q63" s="136">
        <v>0.99999999935696426</v>
      </c>
      <c r="R63" s="136"/>
      <c r="S63" s="136">
        <v>4.6096405729461054E-2</v>
      </c>
      <c r="T63" s="136">
        <v>1.9218937268972155E-2</v>
      </c>
      <c r="U63" s="136">
        <v>0.82617523704025875</v>
      </c>
      <c r="V63" s="136">
        <v>6.3873794913850723</v>
      </c>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v>10.038132137560751</v>
      </c>
      <c r="BB63" s="17">
        <v>7.4016727738094703</v>
      </c>
      <c r="BC63" s="17">
        <v>9.9998409408726729</v>
      </c>
      <c r="BD63" s="17">
        <v>6.3287032462111243</v>
      </c>
      <c r="BE63" s="17"/>
      <c r="BF63" s="17"/>
      <c r="BG63" s="17"/>
      <c r="BH63" s="17"/>
      <c r="BI63" s="17"/>
      <c r="BJ63" s="17"/>
      <c r="BK63" s="17"/>
      <c r="BL63" s="17"/>
      <c r="BM63" s="17"/>
      <c r="BN63" s="17"/>
      <c r="BO63" s="17"/>
      <c r="BP63" s="17"/>
      <c r="BQ63" s="17"/>
      <c r="BR63" s="17"/>
      <c r="BS63" s="17"/>
      <c r="BT63" s="17"/>
      <c r="BU63" s="17"/>
      <c r="BV63" s="17"/>
      <c r="BW63" s="17"/>
      <c r="BX63" s="17"/>
      <c r="BY63" s="17"/>
      <c r="BZ63" s="17"/>
    </row>
    <row r="64" spans="1:78">
      <c r="A64" s="19">
        <v>13.560292513284367</v>
      </c>
      <c r="B64" s="19">
        <v>6.6836852438660559</v>
      </c>
      <c r="C64" s="133"/>
      <c r="D64" s="19"/>
      <c r="E64" s="134">
        <v>2.5252709599588691E-7</v>
      </c>
      <c r="F64" s="134">
        <v>8.9391354344866128E-2</v>
      </c>
      <c r="G64" s="134">
        <v>0.5959423623304384</v>
      </c>
      <c r="H64" s="134">
        <v>0.40405763766956165</v>
      </c>
      <c r="I64" s="136"/>
      <c r="J64" s="136">
        <v>1.6439642636135208</v>
      </c>
      <c r="K64" s="136"/>
      <c r="L64" s="136"/>
      <c r="M64" s="136"/>
      <c r="N64" s="136"/>
      <c r="O64" s="136"/>
      <c r="P64" s="136"/>
      <c r="Q64" s="136">
        <v>0.99999999894153024</v>
      </c>
      <c r="R64" s="136"/>
      <c r="S64" s="136">
        <v>5.1015375250874871E-2</v>
      </c>
      <c r="T64" s="136">
        <v>2.0202881883478085E-2</v>
      </c>
      <c r="U64" s="136">
        <v>0.82036434217435161</v>
      </c>
      <c r="V64" s="136">
        <v>6.5976920155249532</v>
      </c>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v>10.065490762644913</v>
      </c>
      <c r="BB64" s="17">
        <v>7.583802879029677</v>
      </c>
      <c r="BC64" s="17">
        <v>9.9999135694815777</v>
      </c>
      <c r="BD64" s="17">
        <v>6.5538931948217449</v>
      </c>
      <c r="BE64" s="17"/>
      <c r="BF64" s="17"/>
      <c r="BG64" s="17"/>
      <c r="BH64" s="17"/>
      <c r="BI64" s="17"/>
      <c r="BJ64" s="17"/>
      <c r="BK64" s="17"/>
      <c r="BL64" s="17"/>
      <c r="BM64" s="17"/>
      <c r="BN64" s="17"/>
      <c r="BO64" s="17"/>
      <c r="BP64" s="17"/>
      <c r="BQ64" s="17"/>
      <c r="BR64" s="17"/>
      <c r="BS64" s="17"/>
      <c r="BT64" s="17"/>
      <c r="BU64" s="17"/>
      <c r="BV64" s="17"/>
      <c r="BW64" s="17"/>
      <c r="BX64" s="17"/>
      <c r="BY64" s="17"/>
      <c r="BZ64" s="17"/>
    </row>
    <row r="65" spans="1:78">
      <c r="A65" s="19">
        <v>14.799194350780454</v>
      </c>
      <c r="B65" s="19">
        <v>6.8970304591995308</v>
      </c>
      <c r="C65" s="133"/>
      <c r="D65" s="19"/>
      <c r="E65" s="134">
        <v>1.5559493672364509E-7</v>
      </c>
      <c r="F65" s="134">
        <v>8.6208892356089029E-2</v>
      </c>
      <c r="G65" s="134">
        <v>0.57472594909047914</v>
      </c>
      <c r="H65" s="134">
        <v>0.42527405090952086</v>
      </c>
      <c r="I65" s="136"/>
      <c r="J65" s="136">
        <v>1.5200785461325177</v>
      </c>
      <c r="K65" s="136"/>
      <c r="L65" s="136"/>
      <c r="M65" s="136"/>
      <c r="N65" s="136"/>
      <c r="O65" s="136"/>
      <c r="P65" s="136"/>
      <c r="Q65" s="136">
        <v>0.99999999825796704</v>
      </c>
      <c r="R65" s="136"/>
      <c r="S65" s="136">
        <v>5.63190787741501E-2</v>
      </c>
      <c r="T65" s="136">
        <v>2.1263702545476045E-2</v>
      </c>
      <c r="U65" s="136">
        <v>0.81465566908873022</v>
      </c>
      <c r="V65" s="136">
        <v>6.808004539664835</v>
      </c>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c r="BA65" s="17">
        <v>10.104356806550641</v>
      </c>
      <c r="BB65" s="17">
        <v>7.7659881028362863</v>
      </c>
      <c r="BC65" s="17">
        <v>9.9999624319025315</v>
      </c>
      <c r="BD65" s="17">
        <v>6.7790831756342191</v>
      </c>
      <c r="BE65" s="17"/>
      <c r="BF65" s="17"/>
      <c r="BG65" s="17"/>
      <c r="BH65" s="17"/>
      <c r="BI65" s="17"/>
      <c r="BJ65" s="17"/>
      <c r="BK65" s="17"/>
      <c r="BL65" s="17"/>
      <c r="BM65" s="17"/>
      <c r="BN65" s="17"/>
      <c r="BO65" s="17"/>
      <c r="BP65" s="17"/>
      <c r="BQ65" s="17"/>
      <c r="BR65" s="17"/>
      <c r="BS65" s="17"/>
      <c r="BT65" s="17"/>
      <c r="BU65" s="17"/>
      <c r="BV65" s="17"/>
      <c r="BW65" s="17"/>
      <c r="BX65" s="17"/>
      <c r="BY65" s="17"/>
      <c r="BZ65" s="17"/>
    </row>
    <row r="66" spans="1:78">
      <c r="A66" s="19">
        <v>16.054576211899985</v>
      </c>
      <c r="B66" s="19">
        <v>7.1099804688999608</v>
      </c>
      <c r="C66" s="133"/>
      <c r="D66" s="19"/>
      <c r="E66" s="134">
        <v>9.5870046097665088E-8</v>
      </c>
      <c r="F66" s="134">
        <v>8.3207190746726917E-2</v>
      </c>
      <c r="G66" s="134">
        <v>0.55471460492695202</v>
      </c>
      <c r="H66" s="134">
        <v>0.44528539507304793</v>
      </c>
      <c r="I66" s="136"/>
      <c r="J66" s="136">
        <v>1.394544702677335</v>
      </c>
      <c r="K66" s="136"/>
      <c r="L66" s="136"/>
      <c r="M66" s="136"/>
      <c r="N66" s="136"/>
      <c r="O66" s="136"/>
      <c r="P66" s="136"/>
      <c r="Q66" s="136">
        <v>0.99999999713816978</v>
      </c>
      <c r="R66" s="136"/>
      <c r="S66" s="136">
        <v>6.132175448387242E-2</v>
      </c>
      <c r="T66" s="136">
        <v>2.2264269753652397E-2</v>
      </c>
      <c r="U66" s="136">
        <v>0.80972322954836573</v>
      </c>
      <c r="V66" s="136">
        <v>7.0183170638047159</v>
      </c>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c r="BA66" s="17">
        <v>10.161435448389966</v>
      </c>
      <c r="BB66" s="17">
        <v>7.9482567330789253</v>
      </c>
      <c r="BC66" s="17">
        <v>10.000000968284439</v>
      </c>
      <c r="BD66" s="17">
        <v>7.0042731827829474</v>
      </c>
      <c r="BE66" s="17"/>
      <c r="BF66" s="17"/>
      <c r="BG66" s="17"/>
      <c r="BH66" s="17"/>
      <c r="BI66" s="17"/>
      <c r="BJ66" s="17"/>
      <c r="BK66" s="17"/>
      <c r="BL66" s="17"/>
      <c r="BM66" s="17"/>
      <c r="BN66" s="17"/>
      <c r="BO66" s="17"/>
      <c r="BP66" s="17"/>
      <c r="BQ66" s="17"/>
      <c r="BR66" s="17"/>
      <c r="BS66" s="17"/>
      <c r="BT66" s="17"/>
      <c r="BU66" s="17"/>
      <c r="BV66" s="17"/>
      <c r="BW66" s="17"/>
      <c r="BX66" s="17"/>
      <c r="BY66" s="17"/>
      <c r="BZ66" s="17"/>
    </row>
    <row r="67" spans="1:78">
      <c r="A67" s="19">
        <v>17.173922529036645</v>
      </c>
      <c r="B67" s="19">
        <v>7.322349098093679</v>
      </c>
      <c r="C67" s="133"/>
      <c r="D67" s="19"/>
      <c r="E67" s="134">
        <v>5.9070468051880387E-8</v>
      </c>
      <c r="F67" s="134">
        <v>8.0701733796409311E-2</v>
      </c>
      <c r="G67" s="134">
        <v>0.53801155860254024</v>
      </c>
      <c r="H67" s="134">
        <v>0.46198844139745976</v>
      </c>
      <c r="I67" s="136"/>
      <c r="J67" s="136">
        <v>1.2826153161372773</v>
      </c>
      <c r="K67" s="136"/>
      <c r="L67" s="136"/>
      <c r="M67" s="136"/>
      <c r="N67" s="136"/>
      <c r="O67" s="136"/>
      <c r="P67" s="136"/>
      <c r="Q67" s="136">
        <v>0.9999999953111256</v>
      </c>
      <c r="R67" s="136"/>
      <c r="S67" s="136">
        <v>6.5497539457913548E-2</v>
      </c>
      <c r="T67" s="136">
        <v>2.3099422069872991E-2</v>
      </c>
      <c r="U67" s="136">
        <v>0.80589877130568754</v>
      </c>
      <c r="V67" s="136">
        <v>7.2286295879445968</v>
      </c>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c r="BA67" s="17">
        <v>10.24638257076731</v>
      </c>
      <c r="BB67" s="17">
        <v>8.1306486159801228</v>
      </c>
      <c r="BC67" s="17">
        <v>10.000039772421587</v>
      </c>
      <c r="BD67" s="17">
        <v>7.2294632176513396</v>
      </c>
      <c r="BE67" s="17"/>
      <c r="BF67" s="17"/>
      <c r="BG67" s="17"/>
      <c r="BH67" s="17"/>
      <c r="BI67" s="17"/>
      <c r="BJ67" s="17"/>
      <c r="BK67" s="17"/>
      <c r="BL67" s="17"/>
      <c r="BM67" s="17"/>
      <c r="BN67" s="17"/>
      <c r="BO67" s="17"/>
      <c r="BP67" s="17"/>
      <c r="BQ67" s="17"/>
      <c r="BR67" s="17"/>
      <c r="BS67" s="17"/>
      <c r="BT67" s="17"/>
      <c r="BU67" s="17"/>
      <c r="BV67" s="17"/>
      <c r="BW67" s="17"/>
      <c r="BX67" s="17"/>
      <c r="BY67" s="17"/>
      <c r="BZ67" s="17"/>
    </row>
    <row r="68" spans="1:78">
      <c r="A68" s="19">
        <v>18.068469061108772</v>
      </c>
      <c r="B68" s="19">
        <v>7.5341386806955644</v>
      </c>
      <c r="C68" s="133"/>
      <c r="D68" s="19"/>
      <c r="E68" s="134">
        <v>3.63963546269036E-8</v>
      </c>
      <c r="F68" s="134">
        <v>7.8805375527832094E-2</v>
      </c>
      <c r="G68" s="134">
        <v>0.52536917014264017</v>
      </c>
      <c r="H68" s="134">
        <v>0.47463082985735983</v>
      </c>
      <c r="I68" s="136"/>
      <c r="J68" s="136">
        <v>1.1931680490631926</v>
      </c>
      <c r="K68" s="136"/>
      <c r="L68" s="136"/>
      <c r="M68" s="136"/>
      <c r="N68" s="136"/>
      <c r="O68" s="136"/>
      <c r="P68" s="136"/>
      <c r="Q68" s="136">
        <v>0.99999999233812187</v>
      </c>
      <c r="R68" s="136"/>
      <c r="S68" s="136">
        <v>6.8658336704621972E-2</v>
      </c>
      <c r="T68" s="136">
        <v>2.3731541492867991E-2</v>
      </c>
      <c r="U68" s="136">
        <v>0.8031625228469671</v>
      </c>
      <c r="V68" s="136">
        <v>7.4389421120844785</v>
      </c>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c r="BA68" s="17">
        <v>10.373125404294115</v>
      </c>
      <c r="BB68" s="17">
        <v>8.3132182670395611</v>
      </c>
      <c r="BC68" s="17">
        <v>10.000089510867838</v>
      </c>
      <c r="BD68" s="17">
        <v>7.454653289233244</v>
      </c>
      <c r="BE68" s="17"/>
      <c r="BF68" s="17"/>
      <c r="BG68" s="17"/>
      <c r="BH68" s="17"/>
      <c r="BI68" s="17"/>
      <c r="BJ68" s="17"/>
      <c r="BK68" s="17"/>
      <c r="BL68" s="17"/>
      <c r="BM68" s="17"/>
      <c r="BN68" s="17"/>
      <c r="BO68" s="17"/>
      <c r="BP68" s="17"/>
      <c r="BQ68" s="17"/>
      <c r="BR68" s="17"/>
      <c r="BS68" s="17"/>
      <c r="BT68" s="17"/>
      <c r="BU68" s="17"/>
      <c r="BV68" s="17"/>
      <c r="BW68" s="17"/>
      <c r="BX68" s="17"/>
      <c r="BY68" s="17"/>
      <c r="BZ68" s="17"/>
    </row>
    <row r="69" spans="1:78">
      <c r="A69" s="19">
        <v>18.725484058086295</v>
      </c>
      <c r="B69" s="19">
        <v>7.7454546772478645</v>
      </c>
      <c r="C69" s="133"/>
      <c r="D69" s="19"/>
      <c r="E69" s="134">
        <v>2.2425666730181951E-8</v>
      </c>
      <c r="F69" s="134">
        <v>7.7468366709987968E-2</v>
      </c>
      <c r="G69" s="134">
        <v>0.51645577804139142</v>
      </c>
      <c r="H69" s="134">
        <v>0.48354422195860858</v>
      </c>
      <c r="I69" s="136"/>
      <c r="J69" s="136">
        <v>1.1274778293216763</v>
      </c>
      <c r="K69" s="136"/>
      <c r="L69" s="136"/>
      <c r="M69" s="136"/>
      <c r="N69" s="136"/>
      <c r="O69" s="136"/>
      <c r="P69" s="136"/>
      <c r="Q69" s="136">
        <v>0.9999999875073462</v>
      </c>
      <c r="R69" s="136"/>
      <c r="S69" s="136">
        <v>7.0887102111862943E-2</v>
      </c>
      <c r="T69" s="136">
        <v>2.4177211097930432E-2</v>
      </c>
      <c r="U69" s="136">
        <v>0.8013088934681164</v>
      </c>
      <c r="V69" s="136">
        <v>7.6492546362243594</v>
      </c>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c r="BA69" s="17">
        <v>10.561402533494402</v>
      </c>
      <c r="BB69" s="17">
        <v>8.4960361896367385</v>
      </c>
      <c r="BC69" s="17">
        <v>10.000163859513123</v>
      </c>
      <c r="BD69" s="17">
        <v>7.6798434166235827</v>
      </c>
      <c r="BE69" s="17"/>
      <c r="BF69" s="17"/>
      <c r="BG69" s="17"/>
      <c r="BH69" s="17"/>
      <c r="BI69" s="17"/>
      <c r="BJ69" s="17"/>
      <c r="BK69" s="17"/>
      <c r="BL69" s="17"/>
      <c r="BM69" s="17"/>
      <c r="BN69" s="17"/>
      <c r="BO69" s="17"/>
      <c r="BP69" s="17"/>
      <c r="BQ69" s="17"/>
      <c r="BR69" s="17"/>
      <c r="BS69" s="17"/>
      <c r="BT69" s="17"/>
      <c r="BU69" s="17"/>
      <c r="BV69" s="17"/>
      <c r="BW69" s="17"/>
      <c r="BX69" s="17"/>
      <c r="BY69" s="17"/>
      <c r="BZ69" s="17"/>
    </row>
    <row r="70" spans="1:78">
      <c r="A70" s="19">
        <v>19.179874857945833</v>
      </c>
      <c r="B70" s="19">
        <v>7.9564249462523851</v>
      </c>
      <c r="C70" s="133"/>
      <c r="D70" s="19"/>
      <c r="E70" s="134">
        <v>1.3817607105120531E-8</v>
      </c>
      <c r="F70" s="134">
        <v>7.65699229764885E-2</v>
      </c>
      <c r="G70" s="134">
        <v>0.5104661531403818</v>
      </c>
      <c r="H70" s="134">
        <v>0.48953384685961815</v>
      </c>
      <c r="I70" s="136"/>
      <c r="J70" s="136">
        <v>1.0820566130267448</v>
      </c>
      <c r="K70" s="136"/>
      <c r="L70" s="136"/>
      <c r="M70" s="136"/>
      <c r="N70" s="136"/>
      <c r="O70" s="136"/>
      <c r="P70" s="136"/>
      <c r="Q70" s="136">
        <v>0.99999997966319543</v>
      </c>
      <c r="R70" s="136"/>
      <c r="S70" s="136">
        <v>7.2385239007992153E-2</v>
      </c>
      <c r="T70" s="136">
        <v>2.4476692342980909E-2</v>
      </c>
      <c r="U70" s="136">
        <v>0.80009621890179861</v>
      </c>
      <c r="V70" s="136">
        <v>7.8595671603642403</v>
      </c>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c r="BA70" s="17">
        <v>10.838089119351935</v>
      </c>
      <c r="BB70" s="17">
        <v>8.6791847181656561</v>
      </c>
      <c r="BC70" s="17">
        <v>10.000283257977571</v>
      </c>
      <c r="BD70" s="17">
        <v>7.9050336342567364</v>
      </c>
      <c r="BE70" s="17"/>
      <c r="BF70" s="17"/>
      <c r="BG70" s="17"/>
      <c r="BH70" s="17"/>
      <c r="BI70" s="17"/>
      <c r="BJ70" s="17"/>
      <c r="BK70" s="17"/>
      <c r="BL70" s="17"/>
      <c r="BM70" s="17"/>
      <c r="BN70" s="17"/>
      <c r="BO70" s="17"/>
      <c r="BP70" s="17"/>
      <c r="BQ70" s="17"/>
      <c r="BR70" s="17"/>
      <c r="BS70" s="17"/>
      <c r="BT70" s="17"/>
      <c r="BU70" s="17"/>
      <c r="BV70" s="17"/>
      <c r="BW70" s="17"/>
      <c r="BX70" s="17"/>
      <c r="BY70" s="17"/>
      <c r="BZ70" s="17"/>
    </row>
    <row r="71" spans="1:78">
      <c r="A71" s="19">
        <v>19.48181740444852</v>
      </c>
      <c r="B71" s="19">
        <v>8.1671594790759396</v>
      </c>
      <c r="C71" s="133"/>
      <c r="D71" s="19"/>
      <c r="E71" s="134">
        <v>8.5137386731301119E-9</v>
      </c>
      <c r="F71" s="134">
        <v>7.5984344118970593E-2</v>
      </c>
      <c r="G71" s="134">
        <v>0.50656229412792164</v>
      </c>
      <c r="H71" s="134">
        <v>0.49343770587207841</v>
      </c>
      <c r="I71" s="136"/>
      <c r="J71" s="136">
        <v>1.0518910743528711</v>
      </c>
      <c r="K71" s="136"/>
      <c r="L71" s="136"/>
      <c r="M71" s="136"/>
      <c r="N71" s="136"/>
      <c r="O71" s="136"/>
      <c r="P71" s="136"/>
      <c r="Q71" s="136">
        <v>0.99999996692961501</v>
      </c>
      <c r="R71" s="136"/>
      <c r="S71" s="136">
        <v>7.3362420595501188E-2</v>
      </c>
      <c r="T71" s="136">
        <v>2.4671885293603923E-2</v>
      </c>
      <c r="U71" s="136">
        <v>0.79931913432483592</v>
      </c>
      <c r="V71" s="136">
        <v>8.0698796845041212</v>
      </c>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A71" s="17">
        <v>11.237055245146621</v>
      </c>
      <c r="BB71" s="17">
        <v>8.8627423063257744</v>
      </c>
      <c r="BC71" s="17">
        <v>10.000480541202705</v>
      </c>
      <c r="BD71" s="17">
        <v>8.1302240013857006</v>
      </c>
      <c r="BE71" s="17"/>
      <c r="BF71" s="17"/>
      <c r="BG71" s="17"/>
      <c r="BH71" s="17"/>
      <c r="BI71" s="17"/>
      <c r="BJ71" s="17"/>
      <c r="BK71" s="17"/>
      <c r="BL71" s="17"/>
      <c r="BM71" s="17"/>
      <c r="BN71" s="17"/>
      <c r="BO71" s="17"/>
      <c r="BP71" s="17"/>
      <c r="BQ71" s="17"/>
      <c r="BR71" s="17"/>
      <c r="BS71" s="17"/>
      <c r="BT71" s="17"/>
      <c r="BU71" s="17"/>
      <c r="BV71" s="17"/>
      <c r="BW71" s="17"/>
      <c r="BX71" s="17"/>
      <c r="BY71" s="17"/>
      <c r="BZ71" s="17"/>
    </row>
    <row r="72" spans="1:78">
      <c r="A72" s="19">
        <v>19.677734184369911</v>
      </c>
      <c r="B72" s="19">
        <v>8.377740060160809</v>
      </c>
      <c r="C72" s="133"/>
      <c r="D72" s="19"/>
      <c r="E72" s="134">
        <v>5.2457524405575323E-9</v>
      </c>
      <c r="F72" s="134">
        <v>7.5609156158262886E-2</v>
      </c>
      <c r="G72" s="134">
        <v>0.50406104104465255</v>
      </c>
      <c r="H72" s="134">
        <v>0.49593895895534745</v>
      </c>
      <c r="I72" s="136"/>
      <c r="J72" s="136">
        <v>1.0323458324781427</v>
      </c>
      <c r="K72" s="136"/>
      <c r="L72" s="136"/>
      <c r="M72" s="136"/>
      <c r="N72" s="136"/>
      <c r="O72" s="136"/>
      <c r="P72" s="136"/>
      <c r="Q72" s="136">
        <v>0.99999994626121036</v>
      </c>
      <c r="R72" s="136"/>
      <c r="S72" s="136">
        <v>7.3989726593303135E-2</v>
      </c>
      <c r="T72" s="136">
        <v>2.4796947947767375E-2</v>
      </c>
      <c r="U72" s="136">
        <v>0.79882592767598981</v>
      </c>
      <c r="V72" s="136">
        <v>8.280192208644003</v>
      </c>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v>11.794926707807463</v>
      </c>
      <c r="BB72" s="17">
        <v>9.04675039255517</v>
      </c>
      <c r="BC72" s="17">
        <v>10.000809955818113</v>
      </c>
      <c r="BD72" s="17">
        <v>8.3554146183559563</v>
      </c>
      <c r="BE72" s="17"/>
      <c r="BF72" s="17"/>
      <c r="BG72" s="17"/>
      <c r="BH72" s="17"/>
      <c r="BI72" s="17"/>
      <c r="BJ72" s="17"/>
      <c r="BK72" s="17"/>
      <c r="BL72" s="17"/>
      <c r="BM72" s="17"/>
      <c r="BN72" s="17"/>
      <c r="BO72" s="17"/>
      <c r="BP72" s="17"/>
      <c r="BQ72" s="17"/>
      <c r="BR72" s="17"/>
      <c r="BS72" s="17"/>
      <c r="BT72" s="17"/>
      <c r="BU72" s="17"/>
      <c r="BV72" s="17"/>
      <c r="BW72" s="17"/>
      <c r="BX72" s="17"/>
      <c r="BY72" s="17"/>
      <c r="BZ72" s="17"/>
    </row>
    <row r="73" spans="1:78">
      <c r="A73" s="19">
        <v>19.803712518478278</v>
      </c>
      <c r="B73" s="19">
        <v>8.5882232426729104</v>
      </c>
      <c r="C73" s="133"/>
      <c r="D73" s="19"/>
      <c r="E73" s="134">
        <v>3.2321779800998213E-9</v>
      </c>
      <c r="F73" s="134">
        <v>7.5369853973835776E-2</v>
      </c>
      <c r="G73" s="134">
        <v>0.50246569311805067</v>
      </c>
      <c r="H73" s="134">
        <v>0.49753430688194938</v>
      </c>
      <c r="I73" s="136"/>
      <c r="J73" s="136">
        <v>1.0198232681474633</v>
      </c>
      <c r="K73" s="136"/>
      <c r="L73" s="136"/>
      <c r="M73" s="136"/>
      <c r="N73" s="136"/>
      <c r="O73" s="136"/>
      <c r="P73" s="136"/>
      <c r="Q73" s="136">
        <v>0.99999991271457989</v>
      </c>
      <c r="R73" s="136"/>
      <c r="S73" s="136">
        <v>7.4391807070381372E-2</v>
      </c>
      <c r="T73" s="136">
        <v>2.487671534409747E-2</v>
      </c>
      <c r="U73" s="136">
        <v>0.79851208637451476</v>
      </c>
      <c r="V73" s="136">
        <v>8.490504732783883</v>
      </c>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v>12.539179688610602</v>
      </c>
      <c r="BB73" s="17">
        <v>9.231166912280317</v>
      </c>
      <c r="BC73" s="17">
        <v>10.001362081675325</v>
      </c>
      <c r="BD73" s="17">
        <v>8.5806056541966989</v>
      </c>
      <c r="BE73" s="17"/>
      <c r="BF73" s="17"/>
      <c r="BG73" s="17"/>
      <c r="BH73" s="17"/>
      <c r="BI73" s="17"/>
      <c r="BJ73" s="17"/>
      <c r="BK73" s="17"/>
      <c r="BL73" s="17"/>
      <c r="BM73" s="17"/>
      <c r="BN73" s="17"/>
      <c r="BO73" s="17"/>
      <c r="BP73" s="17"/>
      <c r="BQ73" s="17"/>
      <c r="BR73" s="17"/>
      <c r="BS73" s="17"/>
      <c r="BT73" s="17"/>
      <c r="BU73" s="17"/>
      <c r="BV73" s="17"/>
      <c r="BW73" s="17"/>
      <c r="BX73" s="17"/>
      <c r="BY73" s="17"/>
      <c r="BZ73" s="17"/>
    </row>
    <row r="74" spans="1:78">
      <c r="A74" s="19">
        <v>19.885540132236201</v>
      </c>
      <c r="B74" s="19">
        <v>8.7986468997393832</v>
      </c>
      <c r="C74" s="133"/>
      <c r="D74" s="19"/>
      <c r="E74" s="134">
        <v>1.991511153723409E-9</v>
      </c>
      <c r="F74" s="134">
        <v>7.5215228127087114E-2</v>
      </c>
      <c r="G74" s="134">
        <v>0.50143485415923861</v>
      </c>
      <c r="H74" s="134">
        <v>0.49856514584076145</v>
      </c>
      <c r="I74" s="136"/>
      <c r="J74" s="136">
        <v>1.0117626296371105</v>
      </c>
      <c r="K74" s="136"/>
      <c r="L74" s="136"/>
      <c r="M74" s="136"/>
      <c r="N74" s="136"/>
      <c r="O74" s="136"/>
      <c r="P74" s="136"/>
      <c r="Q74" s="136">
        <v>0.99999985826520721</v>
      </c>
      <c r="R74" s="136"/>
      <c r="S74" s="136">
        <v>7.4654783005522612E-2</v>
      </c>
      <c r="T74" s="136">
        <v>2.4928257292038073E-2</v>
      </c>
      <c r="U74" s="136">
        <v>0.79830777885493742</v>
      </c>
      <c r="V74" s="136">
        <v>8.7008172569237647</v>
      </c>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v>13.468123345228378</v>
      </c>
      <c r="BB74" s="17">
        <v>9.4158342111909406</v>
      </c>
      <c r="BC74" s="17">
        <v>10.002288770920131</v>
      </c>
      <c r="BD74" s="17">
        <v>8.8057973930797129</v>
      </c>
      <c r="BE74" s="17"/>
      <c r="BF74" s="17"/>
      <c r="BG74" s="17"/>
      <c r="BH74" s="17"/>
      <c r="BI74" s="17"/>
      <c r="BJ74" s="17"/>
      <c r="BK74" s="17"/>
      <c r="BL74" s="17"/>
      <c r="BM74" s="17"/>
      <c r="BN74" s="17"/>
      <c r="BO74" s="17"/>
      <c r="BP74" s="17"/>
      <c r="BQ74" s="17"/>
      <c r="BR74" s="17"/>
      <c r="BS74" s="17"/>
      <c r="BT74" s="17"/>
      <c r="BU74" s="17"/>
      <c r="BV74" s="17"/>
      <c r="BW74" s="17"/>
      <c r="BX74" s="17"/>
      <c r="BY74" s="17"/>
      <c r="BZ74" s="17"/>
    </row>
    <row r="75" spans="1:78">
      <c r="A75" s="19">
        <v>19.941073826339561</v>
      </c>
      <c r="B75" s="19">
        <v>9.0090364657241615</v>
      </c>
      <c r="C75" s="133"/>
      <c r="D75" s="19"/>
      <c r="E75" s="134">
        <v>1.2270724879086809E-9</v>
      </c>
      <c r="F75" s="134">
        <v>7.511064958031835E-2</v>
      </c>
      <c r="G75" s="134">
        <v>0.50073766384523488</v>
      </c>
      <c r="H75" s="134">
        <v>0.49926233615476506</v>
      </c>
      <c r="I75" s="136"/>
      <c r="J75" s="136">
        <v>1.0064075005687112</v>
      </c>
      <c r="K75" s="136"/>
      <c r="L75" s="136"/>
      <c r="M75" s="136"/>
      <c r="N75" s="136"/>
      <c r="O75" s="136"/>
      <c r="P75" s="136"/>
      <c r="Q75" s="136">
        <v>0.99999976988599959</v>
      </c>
      <c r="R75" s="136"/>
      <c r="S75" s="136">
        <v>7.4837619280061482E-2</v>
      </c>
      <c r="T75" s="136">
        <v>2.4963116807738255E-2</v>
      </c>
      <c r="U75" s="136">
        <v>0.79816617529031508</v>
      </c>
      <c r="V75" s="136">
        <v>8.9111297810636465</v>
      </c>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v>14.532993528700899</v>
      </c>
      <c r="BB75" s="17">
        <v>9.60050443993714</v>
      </c>
      <c r="BC75" s="17">
        <v>10.003844932361972</v>
      </c>
      <c r="BD75" s="17">
        <v>9.0309903124075408</v>
      </c>
      <c r="BE75" s="17"/>
      <c r="BF75" s="17"/>
      <c r="BG75" s="17"/>
      <c r="BH75" s="17"/>
      <c r="BI75" s="17"/>
      <c r="BJ75" s="17"/>
      <c r="BK75" s="17"/>
      <c r="BL75" s="17"/>
      <c r="BM75" s="17"/>
      <c r="BN75" s="17"/>
      <c r="BO75" s="17"/>
      <c r="BP75" s="17"/>
      <c r="BQ75" s="17"/>
      <c r="BR75" s="17"/>
      <c r="BS75" s="17"/>
      <c r="BT75" s="17"/>
      <c r="BU75" s="17"/>
      <c r="BV75" s="17"/>
      <c r="BW75" s="17"/>
      <c r="BX75" s="17"/>
      <c r="BY75" s="17"/>
      <c r="BZ75" s="17"/>
    </row>
    <row r="76" spans="1:78">
      <c r="A76" s="19">
        <v>19.982924718351569</v>
      </c>
      <c r="B76" s="19">
        <v>9.2194099000282304</v>
      </c>
      <c r="C76" s="133"/>
      <c r="D76" s="19"/>
      <c r="E76" s="134">
        <v>7.5606249443658725E-10</v>
      </c>
      <c r="F76" s="134">
        <v>7.5032029822032276E-2</v>
      </c>
      <c r="G76" s="134">
        <v>0.50021353219186093</v>
      </c>
      <c r="H76" s="134">
        <v>0.49978646780813901</v>
      </c>
      <c r="I76" s="136"/>
      <c r="J76" s="136">
        <v>1.0025443324299399</v>
      </c>
      <c r="K76" s="136"/>
      <c r="L76" s="136"/>
      <c r="M76" s="136"/>
      <c r="N76" s="136"/>
      <c r="O76" s="136"/>
      <c r="P76" s="136"/>
      <c r="Q76" s="136">
        <v>0.99999962642541329</v>
      </c>
      <c r="R76" s="136"/>
      <c r="S76" s="136">
        <v>7.4982480405201793E-2</v>
      </c>
      <c r="T76" s="136">
        <v>2.4989323390406951E-2</v>
      </c>
      <c r="U76" s="136">
        <v>0.79805423967114386</v>
      </c>
      <c r="V76" s="136">
        <v>9.1214423052035265</v>
      </c>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c r="BA76" s="17">
        <v>15.64163693547016</v>
      </c>
      <c r="BB76" s="17">
        <v>9.7849285539922946</v>
      </c>
      <c r="BC76" s="17">
        <v>10.006458779389504</v>
      </c>
      <c r="BD76" s="17">
        <v>9.2561852139633451</v>
      </c>
      <c r="BE76" s="17"/>
      <c r="BF76" s="17"/>
      <c r="BG76" s="17"/>
      <c r="BH76" s="17"/>
      <c r="BI76" s="17"/>
      <c r="BJ76" s="17"/>
      <c r="BK76" s="17"/>
      <c r="BL76" s="17"/>
      <c r="BM76" s="17"/>
      <c r="BN76" s="17"/>
      <c r="BO76" s="17"/>
      <c r="BP76" s="17"/>
      <c r="BQ76" s="17"/>
      <c r="BR76" s="17"/>
      <c r="BS76" s="17"/>
      <c r="BT76" s="17"/>
      <c r="BU76" s="17"/>
      <c r="BV76" s="17"/>
      <c r="BW76" s="17"/>
      <c r="BX76" s="17"/>
      <c r="BY76" s="17"/>
      <c r="BZ76" s="17"/>
    </row>
    <row r="77" spans="1:78">
      <c r="A77" s="19">
        <v>20.020832466252614</v>
      </c>
      <c r="B77" s="19">
        <v>9.4297815209616029</v>
      </c>
      <c r="C77" s="133"/>
      <c r="D77" s="19"/>
      <c r="E77" s="134">
        <v>4.6584900332001656E-10</v>
      </c>
      <c r="F77" s="134">
        <v>7.4960959461030541E-2</v>
      </c>
      <c r="G77" s="134">
        <v>0.4997397297054651</v>
      </c>
      <c r="H77" s="134">
        <v>0.5002602702945349</v>
      </c>
      <c r="I77" s="136"/>
      <c r="J77" s="136">
        <v>0.99927655747917676</v>
      </c>
      <c r="K77" s="136"/>
      <c r="L77" s="136"/>
      <c r="M77" s="136"/>
      <c r="N77" s="136"/>
      <c r="O77" s="136"/>
      <c r="P77" s="136"/>
      <c r="Q77" s="136">
        <v>0.99999939353192902</v>
      </c>
      <c r="R77" s="136"/>
      <c r="S77" s="136">
        <v>7.5123290084742375E-2</v>
      </c>
      <c r="T77" s="136">
        <v>2.5013013514726748E-2</v>
      </c>
      <c r="U77" s="136">
        <v>0.79794565151730268</v>
      </c>
      <c r="V77" s="136">
        <v>9.3317548293434083</v>
      </c>
      <c r="W77" s="17"/>
      <c r="X77" s="17"/>
      <c r="Y77" s="1039"/>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c r="BA77" s="17">
        <v>16.690479229146149</v>
      </c>
      <c r="BB77" s="17">
        <v>9.9689466492654955</v>
      </c>
      <c r="BC77" s="17">
        <v>10.010849985701498</v>
      </c>
      <c r="BD77" s="17">
        <v>9.4813834440142948</v>
      </c>
      <c r="BE77" s="17"/>
      <c r="BF77" s="17"/>
      <c r="BG77" s="17"/>
      <c r="BH77" s="17"/>
      <c r="BI77" s="17"/>
      <c r="BJ77" s="17"/>
      <c r="BK77" s="17"/>
      <c r="BL77" s="17"/>
      <c r="BM77" s="17"/>
      <c r="BN77" s="17"/>
      <c r="BO77" s="17"/>
      <c r="BP77" s="17"/>
      <c r="BQ77" s="17"/>
      <c r="BR77" s="17"/>
      <c r="BS77" s="17"/>
      <c r="BT77" s="17"/>
      <c r="BU77" s="17"/>
      <c r="BV77" s="17"/>
      <c r="BW77" s="17"/>
      <c r="BX77" s="17"/>
      <c r="BY77" s="17"/>
      <c r="BZ77" s="17"/>
    </row>
    <row r="78" spans="1:78">
      <c r="A78" s="19">
        <v>20.063731157279108</v>
      </c>
      <c r="B78" s="19">
        <v>9.6401651822701666</v>
      </c>
      <c r="C78" s="133"/>
      <c r="D78" s="19"/>
      <c r="E78" s="134">
        <v>2.8703353954354157E-10</v>
      </c>
      <c r="F78" s="134">
        <v>7.488069417186588E-2</v>
      </c>
      <c r="G78" s="134">
        <v>0.4992046277656742</v>
      </c>
      <c r="H78" s="134">
        <v>0.5007953722343258</v>
      </c>
      <c r="I78" s="136"/>
      <c r="J78" s="136">
        <v>0.99583692632100484</v>
      </c>
      <c r="K78" s="136"/>
      <c r="L78" s="136"/>
      <c r="M78" s="136"/>
      <c r="N78" s="136"/>
      <c r="O78" s="136"/>
      <c r="P78" s="136"/>
      <c r="Q78" s="136">
        <v>0.99999901539377878</v>
      </c>
      <c r="R78" s="136"/>
      <c r="S78" s="136">
        <v>7.5293130508879105E-2</v>
      </c>
      <c r="T78" s="136">
        <v>2.5039768611716293E-2</v>
      </c>
      <c r="U78" s="136">
        <v>0.79781495922021595</v>
      </c>
      <c r="V78" s="136">
        <v>9.54206735348329</v>
      </c>
      <c r="W78" s="17"/>
      <c r="X78" s="17"/>
      <c r="Y78" s="1039"/>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c r="BA78" s="17">
        <v>17.603331759164575</v>
      </c>
      <c r="BB78" s="17">
        <v>10.152515464383894</v>
      </c>
      <c r="BC78" s="17">
        <v>10.018228740955237</v>
      </c>
      <c r="BD78" s="17">
        <v>9.7065872625598999</v>
      </c>
      <c r="BE78" s="17"/>
      <c r="BF78" s="17"/>
      <c r="BG78" s="17"/>
      <c r="BH78" s="17"/>
      <c r="BI78" s="17"/>
      <c r="BJ78" s="17"/>
      <c r="BK78" s="17"/>
      <c r="BL78" s="17"/>
      <c r="BM78" s="17"/>
      <c r="BN78" s="17"/>
      <c r="BO78" s="17"/>
      <c r="BP78" s="17"/>
      <c r="BQ78" s="17"/>
      <c r="BR78" s="17"/>
      <c r="BS78" s="17"/>
      <c r="BT78" s="17"/>
      <c r="BU78" s="17"/>
      <c r="BV78" s="17"/>
      <c r="BW78" s="17"/>
      <c r="BX78" s="17"/>
      <c r="BY78" s="17"/>
      <c r="BZ78" s="17"/>
    </row>
    <row r="79" spans="1:78">
      <c r="A79" s="19">
        <v>20.121755062427837</v>
      </c>
      <c r="B79" s="19">
        <v>9.8505773086917063</v>
      </c>
      <c r="C79" s="133"/>
      <c r="D79" s="19"/>
      <c r="E79" s="134">
        <v>1.7685613199927204E-10</v>
      </c>
      <c r="F79" s="134">
        <v>7.4772402042438943E-2</v>
      </c>
      <c r="G79" s="134">
        <v>0.49848268023558334</v>
      </c>
      <c r="H79" s="134">
        <v>0.50151731976441671</v>
      </c>
      <c r="I79" s="136"/>
      <c r="J79" s="136">
        <v>0.99141820142861292</v>
      </c>
      <c r="K79" s="136"/>
      <c r="L79" s="136"/>
      <c r="M79" s="136"/>
      <c r="N79" s="136"/>
      <c r="O79" s="136"/>
      <c r="P79" s="136"/>
      <c r="Q79" s="136">
        <v>0.99999840127400152</v>
      </c>
      <c r="R79" s="136"/>
      <c r="S79" s="136">
        <v>7.5531561737755368E-2</v>
      </c>
      <c r="T79" s="136">
        <v>2.5075865988220838E-2</v>
      </c>
      <c r="U79" s="136">
        <v>0.79763200714780247</v>
      </c>
      <c r="V79" s="136">
        <v>9.75237987762317</v>
      </c>
      <c r="W79" s="17"/>
      <c r="X79" s="17"/>
      <c r="Y79" s="1039"/>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c r="BA79" s="17">
        <v>18.35030156216817</v>
      </c>
      <c r="BB79" s="17">
        <v>10.335676962617459</v>
      </c>
      <c r="BC79" s="17">
        <v>10.03063188836677</v>
      </c>
      <c r="BD79" s="17">
        <v>9.9318004621133511</v>
      </c>
      <c r="BE79" s="17"/>
      <c r="BF79" s="17"/>
      <c r="BG79" s="17"/>
      <c r="BH79" s="17"/>
      <c r="BI79" s="17"/>
      <c r="BJ79" s="17"/>
      <c r="BK79" s="17"/>
      <c r="BL79" s="17"/>
      <c r="BM79" s="17"/>
      <c r="BN79" s="17"/>
      <c r="BO79" s="17"/>
      <c r="BP79" s="17"/>
      <c r="BQ79" s="17"/>
      <c r="BR79" s="17"/>
      <c r="BS79" s="17"/>
      <c r="BT79" s="17"/>
      <c r="BU79" s="17"/>
      <c r="BV79" s="17"/>
      <c r="BW79" s="17"/>
      <c r="BX79" s="17"/>
      <c r="BY79" s="17"/>
      <c r="BZ79" s="17"/>
    </row>
    <row r="80" spans="1:78">
      <c r="A80" s="19">
        <v>20.208536063728388</v>
      </c>
      <c r="B80" s="19">
        <v>10.061040246754805</v>
      </c>
      <c r="C80" s="133"/>
      <c r="D80" s="19"/>
      <c r="E80" s="134">
        <v>1.0897016242591079E-10</v>
      </c>
      <c r="F80" s="134">
        <v>7.4611022773565766E-2</v>
      </c>
      <c r="G80" s="134">
        <v>0.49740681851796065</v>
      </c>
      <c r="H80" s="134">
        <v>0.50259318148203935</v>
      </c>
      <c r="I80" s="136"/>
      <c r="J80" s="136">
        <v>0.98499558438512225</v>
      </c>
      <c r="K80" s="136"/>
      <c r="L80" s="136"/>
      <c r="M80" s="136"/>
      <c r="N80" s="136"/>
      <c r="O80" s="136"/>
      <c r="P80" s="136"/>
      <c r="Q80" s="136">
        <v>0.99999740350819533</v>
      </c>
      <c r="R80" s="136"/>
      <c r="S80" s="136">
        <v>7.5893027406051666E-2</v>
      </c>
      <c r="T80" s="136">
        <v>2.512965907410197E-2</v>
      </c>
      <c r="U80" s="136">
        <v>0.79735580243897941</v>
      </c>
      <c r="V80" s="136">
        <v>9.9626924017630518</v>
      </c>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c r="AZ80" s="17"/>
      <c r="BA80" s="17">
        <v>18.942612658429425</v>
      </c>
      <c r="BB80" s="17">
        <v>10.518511475237084</v>
      </c>
      <c r="BC80" s="17">
        <v>10.051492501224857</v>
      </c>
      <c r="BD80" s="17">
        <v>10.157029403192565</v>
      </c>
      <c r="BE80" s="17"/>
      <c r="BF80" s="17"/>
      <c r="BG80" s="17"/>
      <c r="BH80" s="17"/>
      <c r="BI80" s="17"/>
      <c r="BJ80" s="17"/>
      <c r="BK80" s="17"/>
      <c r="BL80" s="17"/>
      <c r="BM80" s="17"/>
      <c r="BN80" s="17"/>
      <c r="BO80" s="17"/>
      <c r="BP80" s="17"/>
      <c r="BQ80" s="17"/>
      <c r="BR80" s="17"/>
      <c r="BS80" s="17"/>
      <c r="BT80" s="17"/>
      <c r="BU80" s="17"/>
      <c r="BV80" s="17"/>
      <c r="BW80" s="17"/>
      <c r="BX80" s="17"/>
      <c r="BY80" s="17"/>
      <c r="BZ80" s="17"/>
    </row>
    <row r="81" spans="1:78">
      <c r="A81" s="19">
        <v>20.344214436772745</v>
      </c>
      <c r="B81" s="19">
        <v>10.271586190317612</v>
      </c>
      <c r="C81" s="133"/>
      <c r="D81" s="19"/>
      <c r="E81" s="134">
        <v>6.7142123741450222E-11</v>
      </c>
      <c r="F81" s="134">
        <v>7.4360104459015516E-2</v>
      </c>
      <c r="G81" s="134">
        <v>0.4957340297718596</v>
      </c>
      <c r="H81" s="134">
        <v>0.50426597022814035</v>
      </c>
      <c r="I81" s="136"/>
      <c r="J81" s="136">
        <v>0.97511397230698849</v>
      </c>
      <c r="K81" s="136"/>
      <c r="L81" s="136"/>
      <c r="M81" s="136"/>
      <c r="N81" s="136"/>
      <c r="O81" s="136"/>
      <c r="P81" s="136"/>
      <c r="Q81" s="136">
        <v>0.99999578142655376</v>
      </c>
      <c r="R81" s="136"/>
      <c r="S81" s="136">
        <v>7.645732489524365E-2</v>
      </c>
      <c r="T81" s="136">
        <v>2.5213298511407019E-2</v>
      </c>
      <c r="U81" s="136">
        <v>0.7969273643073892</v>
      </c>
      <c r="V81" s="136">
        <v>10.173004925902934</v>
      </c>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c r="BA81" s="17">
        <v>19.416979695961345</v>
      </c>
      <c r="BB81" s="17">
        <v>10.701104280413743</v>
      </c>
      <c r="BC81" s="17">
        <v>10.086610914731864</v>
      </c>
      <c r="BD81" s="17">
        <v>10.38228474269382</v>
      </c>
      <c r="BE81" s="17"/>
      <c r="BF81" s="17"/>
      <c r="BG81" s="17"/>
      <c r="BH81" s="17"/>
      <c r="BI81" s="17"/>
      <c r="BJ81" s="17"/>
      <c r="BK81" s="17"/>
      <c r="BL81" s="17"/>
      <c r="BM81" s="17"/>
      <c r="BN81" s="17"/>
      <c r="BO81" s="17"/>
      <c r="BP81" s="17"/>
      <c r="BQ81" s="17"/>
      <c r="BR81" s="17"/>
      <c r="BS81" s="17"/>
      <c r="BT81" s="17"/>
      <c r="BU81" s="17"/>
      <c r="BV81" s="17"/>
      <c r="BW81" s="17"/>
      <c r="BX81" s="17"/>
      <c r="BY81" s="17"/>
      <c r="BZ81" s="17"/>
    </row>
    <row r="82" spans="1:78">
      <c r="A82" s="19">
        <v>20.55962798622204</v>
      </c>
      <c r="B82" s="19">
        <v>10.482261360601155</v>
      </c>
      <c r="C82" s="133"/>
      <c r="D82" s="19"/>
      <c r="E82" s="134">
        <v>4.1369716995487478E-11</v>
      </c>
      <c r="F82" s="134">
        <v>7.3965175443639355E-2</v>
      </c>
      <c r="G82" s="134">
        <v>0.49310116965351569</v>
      </c>
      <c r="H82" s="134">
        <v>0.50689883034648431</v>
      </c>
      <c r="I82" s="136"/>
      <c r="J82" s="136">
        <v>0.95962168013060034</v>
      </c>
      <c r="K82" s="136"/>
      <c r="L82" s="136"/>
      <c r="M82" s="136"/>
      <c r="N82" s="136"/>
      <c r="O82" s="136"/>
      <c r="P82" s="136"/>
      <c r="Q82" s="136">
        <v>0.99999314192413968</v>
      </c>
      <c r="R82" s="136"/>
      <c r="S82" s="136">
        <v>7.7342219722521796E-2</v>
      </c>
      <c r="T82" s="136">
        <v>2.5344941517324217E-2</v>
      </c>
      <c r="U82" s="136">
        <v>0.79626218893125955</v>
      </c>
      <c r="V82" s="136">
        <v>10.383317450042814</v>
      </c>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v>19.822495484550018</v>
      </c>
      <c r="BB82" s="17">
        <v>10.883530080759435</v>
      </c>
      <c r="BC82" s="17">
        <v>10.145826595544349</v>
      </c>
      <c r="BD82" s="17">
        <v>10.607584306646606</v>
      </c>
      <c r="BE82" s="17"/>
      <c r="BF82" s="17"/>
      <c r="BG82" s="17"/>
      <c r="BH82" s="17"/>
      <c r="BI82" s="17"/>
      <c r="BJ82" s="17"/>
      <c r="BK82" s="17"/>
      <c r="BL82" s="17"/>
      <c r="BM82" s="17"/>
      <c r="BN82" s="17"/>
      <c r="BO82" s="17"/>
      <c r="BP82" s="17"/>
      <c r="BQ82" s="17"/>
      <c r="BR82" s="17"/>
      <c r="BS82" s="17"/>
      <c r="BT82" s="17"/>
      <c r="BU82" s="17"/>
      <c r="BV82" s="17"/>
      <c r="BW82" s="17"/>
      <c r="BX82" s="17"/>
      <c r="BY82" s="17"/>
      <c r="BZ82" s="17"/>
    </row>
    <row r="83" spans="1:78">
      <c r="A83" s="19">
        <v>20.902049214055296</v>
      </c>
      <c r="B83" s="19">
        <v>10.693128606202979</v>
      </c>
      <c r="C83" s="133"/>
      <c r="D83" s="19"/>
      <c r="E83" s="134">
        <v>2.5490011172079618E-11</v>
      </c>
      <c r="F83" s="134">
        <v>7.3345958394929134E-2</v>
      </c>
      <c r="G83" s="134">
        <v>0.48897305599639462</v>
      </c>
      <c r="H83" s="134">
        <v>0.51102694400360538</v>
      </c>
      <c r="I83" s="136"/>
      <c r="J83" s="136">
        <v>0.9353673072859584</v>
      </c>
      <c r="K83" s="136"/>
      <c r="L83" s="136"/>
      <c r="M83" s="136"/>
      <c r="N83" s="136"/>
      <c r="O83" s="136"/>
      <c r="P83" s="136"/>
      <c r="Q83" s="136">
        <v>0.9999888410743516</v>
      </c>
      <c r="R83" s="136"/>
      <c r="S83" s="136">
        <v>7.871539705357937E-2</v>
      </c>
      <c r="T83" s="136">
        <v>2.555134720018027E-2</v>
      </c>
      <c r="U83" s="136">
        <v>0.79524577782414785</v>
      </c>
      <c r="V83" s="136">
        <v>10.593629974182695</v>
      </c>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c r="AZ83" s="17"/>
      <c r="BA83" s="17">
        <v>20.215055385779124</v>
      </c>
      <c r="BB83" s="17">
        <v>11.065849475536167</v>
      </c>
      <c r="BC83" s="17">
        <v>10.245943551126402</v>
      </c>
      <c r="BD83" s="17">
        <v>10.832957830787768</v>
      </c>
      <c r="BE83" s="17"/>
      <c r="BF83" s="17"/>
      <c r="BG83" s="17"/>
      <c r="BH83" s="17"/>
      <c r="BI83" s="17"/>
      <c r="BJ83" s="17"/>
      <c r="BK83" s="17"/>
      <c r="BL83" s="17"/>
      <c r="BM83" s="17"/>
      <c r="BN83" s="17"/>
      <c r="BO83" s="17"/>
      <c r="BP83" s="17"/>
      <c r="BQ83" s="17"/>
      <c r="BR83" s="17"/>
      <c r="BS83" s="17"/>
      <c r="BT83" s="17"/>
      <c r="BU83" s="17"/>
      <c r="BV83" s="17"/>
      <c r="BW83" s="17"/>
      <c r="BX83" s="17"/>
      <c r="BY83" s="17"/>
      <c r="BZ83" s="17"/>
    </row>
    <row r="84" spans="1:78">
      <c r="A84" s="19">
        <v>21.442285725788679</v>
      </c>
      <c r="B84" s="19">
        <v>10.904263374595613</v>
      </c>
      <c r="C84" s="133"/>
      <c r="D84" s="19"/>
      <c r="E84" s="134">
        <v>1.5705707380681772E-11</v>
      </c>
      <c r="F84" s="134">
        <v>7.2389829553114932E-2</v>
      </c>
      <c r="G84" s="134">
        <v>0.48259886370738203</v>
      </c>
      <c r="H84" s="134">
        <v>0.51740113629261797</v>
      </c>
      <c r="I84" s="136"/>
      <c r="J84" s="136">
        <v>0.89798277100715507</v>
      </c>
      <c r="K84" s="136"/>
      <c r="L84" s="136"/>
      <c r="M84" s="136"/>
      <c r="N84" s="136"/>
      <c r="O84" s="136"/>
      <c r="P84" s="136"/>
      <c r="Q84" s="136">
        <v>0.99998182073386488</v>
      </c>
      <c r="R84" s="136"/>
      <c r="S84" s="136">
        <v>8.0795532275501666E-2</v>
      </c>
      <c r="T84" s="136">
        <v>2.58700568146309E-2</v>
      </c>
      <c r="U84" s="136">
        <v>0.79374157350113383</v>
      </c>
      <c r="V84" s="136">
        <v>10.803942498322577</v>
      </c>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v>20.659375215473119</v>
      </c>
      <c r="BB84" s="17">
        <v>11.248111321477786</v>
      </c>
      <c r="BC84" s="17">
        <v>10.415984124119859</v>
      </c>
      <c r="BD84" s="17">
        <v>11.058454687920037</v>
      </c>
      <c r="BE84" s="17"/>
      <c r="BF84" s="17"/>
      <c r="BG84" s="17"/>
      <c r="BH84" s="17"/>
      <c r="BI84" s="17"/>
      <c r="BJ84" s="17"/>
      <c r="BK84" s="17"/>
      <c r="BL84" s="17"/>
      <c r="BM84" s="17"/>
      <c r="BN84" s="17"/>
      <c r="BO84" s="17"/>
      <c r="BP84" s="17"/>
      <c r="BQ84" s="17"/>
      <c r="BR84" s="17"/>
      <c r="BS84" s="17"/>
      <c r="BT84" s="17"/>
      <c r="BU84" s="17"/>
      <c r="BV84" s="17"/>
      <c r="BW84" s="17"/>
      <c r="BX84" s="17"/>
      <c r="BY84" s="17"/>
      <c r="BZ84" s="17"/>
    </row>
    <row r="85" spans="1:78">
      <c r="A85" s="19">
        <v>22.281442677194718</v>
      </c>
      <c r="B85" s="19">
        <v>11.115733453073027</v>
      </c>
      <c r="C85" s="133"/>
      <c r="D85" s="19"/>
      <c r="E85" s="134">
        <v>9.6770943983653881E-12</v>
      </c>
      <c r="F85" s="134">
        <v>7.0953113468927256E-2</v>
      </c>
      <c r="G85" s="134">
        <v>0.47302075645822361</v>
      </c>
      <c r="H85" s="134">
        <v>0.52697924354177639</v>
      </c>
      <c r="I85" s="136"/>
      <c r="J85" s="136">
        <v>0.84212579287720235</v>
      </c>
      <c r="K85" s="136"/>
      <c r="L85" s="136"/>
      <c r="M85" s="136"/>
      <c r="N85" s="136"/>
      <c r="O85" s="136"/>
      <c r="P85" s="136"/>
      <c r="Q85" s="136">
        <v>0.99997033809816438</v>
      </c>
      <c r="R85" s="136"/>
      <c r="S85" s="136">
        <v>8.3817936632166565E-2</v>
      </c>
      <c r="T85" s="136">
        <v>2.6348962177088819E-2</v>
      </c>
      <c r="U85" s="136">
        <v>0.79162877764201134</v>
      </c>
      <c r="V85" s="136">
        <v>11.014255022462457</v>
      </c>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A85" s="17">
        <v>21.238175708276685</v>
      </c>
      <c r="BB85" s="17">
        <v>11.430357396969191</v>
      </c>
      <c r="BC85" s="17">
        <v>10.707017914683092</v>
      </c>
      <c r="BD85" s="17">
        <v>11.284156219807242</v>
      </c>
      <c r="BE85" s="17"/>
      <c r="BF85" s="17"/>
      <c r="BG85" s="17"/>
      <c r="BH85" s="17"/>
      <c r="BI85" s="17"/>
      <c r="BJ85" s="17"/>
      <c r="BK85" s="17"/>
      <c r="BL85" s="17"/>
      <c r="BM85" s="17"/>
      <c r="BN85" s="17"/>
      <c r="BO85" s="17"/>
      <c r="BP85" s="17"/>
      <c r="BQ85" s="17"/>
      <c r="BR85" s="17"/>
      <c r="BS85" s="17"/>
      <c r="BT85" s="17"/>
      <c r="BU85" s="17"/>
      <c r="BV85" s="17"/>
      <c r="BW85" s="17"/>
      <c r="BX85" s="17"/>
      <c r="BY85" s="17"/>
      <c r="BZ85" s="17"/>
    </row>
    <row r="86" spans="1:78">
      <c r="A86" s="19">
        <v>23.553723619261291</v>
      </c>
      <c r="B86" s="19">
        <v>11.327553158845967</v>
      </c>
      <c r="C86" s="133"/>
      <c r="D86" s="19"/>
      <c r="E86" s="134">
        <v>5.962555759192383E-12</v>
      </c>
      <c r="F86" s="134">
        <v>6.8880448113995241E-2</v>
      </c>
      <c r="G86" s="134">
        <v>0.45920298745302657</v>
      </c>
      <c r="H86" s="134">
        <v>0.54079701254697343</v>
      </c>
      <c r="I86" s="136"/>
      <c r="J86" s="136">
        <v>0.76292727545114791</v>
      </c>
      <c r="K86" s="136"/>
      <c r="L86" s="136"/>
      <c r="M86" s="136"/>
      <c r="N86" s="136"/>
      <c r="O86" s="136"/>
      <c r="P86" s="136"/>
      <c r="Q86" s="136">
        <v>0.99995152501204465</v>
      </c>
      <c r="R86" s="136"/>
      <c r="S86" s="136">
        <v>8.7926940582393531E-2</v>
      </c>
      <c r="T86" s="136">
        <v>2.7039850627348674E-2</v>
      </c>
      <c r="U86" s="136">
        <v>0.78888625977979965</v>
      </c>
      <c r="V86" s="136">
        <v>11.224567546602339</v>
      </c>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c r="BA86" s="17">
        <v>22.070677862211596</v>
      </c>
      <c r="BB86" s="17">
        <v>11.612627884233907</v>
      </c>
      <c r="BC86" s="17">
        <v>11.211729601200204</v>
      </c>
      <c r="BD86" s="17">
        <v>11.510194694607463</v>
      </c>
      <c r="BE86" s="17"/>
      <c r="BF86" s="17"/>
      <c r="BG86" s="17"/>
      <c r="BH86" s="17"/>
      <c r="BI86" s="17"/>
      <c r="BJ86" s="17"/>
      <c r="BK86" s="17"/>
      <c r="BL86" s="17"/>
      <c r="BM86" s="17"/>
      <c r="BN86" s="17"/>
      <c r="BO86" s="17"/>
      <c r="BP86" s="17"/>
      <c r="BQ86" s="17"/>
      <c r="BR86" s="17"/>
      <c r="BS86" s="17"/>
      <c r="BT86" s="17"/>
      <c r="BU86" s="17"/>
      <c r="BV86" s="17"/>
      <c r="BW86" s="17"/>
      <c r="BX86" s="17"/>
      <c r="BY86" s="17"/>
      <c r="BZ86" s="17"/>
    </row>
    <row r="87" spans="1:78">
      <c r="A87" s="19">
        <v>25.425947584153619</v>
      </c>
      <c r="B87" s="19">
        <v>11.539624057245398</v>
      </c>
      <c r="C87" s="133"/>
      <c r="D87" s="19"/>
      <c r="E87" s="134">
        <v>3.6738373852675956E-12</v>
      </c>
      <c r="F87" s="134">
        <v>6.6041550249794773E-2</v>
      </c>
      <c r="G87" s="134">
        <v>0.44027700167596467</v>
      </c>
      <c r="H87" s="134">
        <v>0.55972299832403527</v>
      </c>
      <c r="I87" s="136"/>
      <c r="J87" s="136">
        <v>0.65929116878572014</v>
      </c>
      <c r="K87" s="136"/>
      <c r="L87" s="136"/>
      <c r="M87" s="136"/>
      <c r="N87" s="136"/>
      <c r="O87" s="136"/>
      <c r="P87" s="136"/>
      <c r="Q87" s="136">
        <v>0.99992068897008213</v>
      </c>
      <c r="R87" s="136"/>
      <c r="S87" s="136">
        <v>9.2987097476583611E-2</v>
      </c>
      <c r="T87" s="136">
        <v>2.7986149916201766E-2</v>
      </c>
      <c r="U87" s="136">
        <v>0.7856986695265562</v>
      </c>
      <c r="V87" s="136">
        <v>11.434880070742219</v>
      </c>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c r="AZ87" s="17"/>
      <c r="BA87" s="17">
        <v>23.348587220243644</v>
      </c>
      <c r="BB87" s="17">
        <v>11.794967391156714</v>
      </c>
      <c r="BC87" s="17">
        <v>12.107096232648473</v>
      </c>
      <c r="BD87" s="17">
        <v>11.736780505153671</v>
      </c>
      <c r="BE87" s="17"/>
      <c r="BF87" s="17"/>
      <c r="BG87" s="17"/>
      <c r="BH87" s="17"/>
      <c r="BI87" s="17"/>
      <c r="BJ87" s="17"/>
      <c r="BK87" s="17"/>
      <c r="BL87" s="17"/>
      <c r="BM87" s="17"/>
      <c r="BN87" s="17"/>
      <c r="BO87" s="17"/>
      <c r="BP87" s="17"/>
      <c r="BQ87" s="17"/>
      <c r="BR87" s="17"/>
      <c r="BS87" s="17"/>
      <c r="BT87" s="17"/>
      <c r="BU87" s="17"/>
      <c r="BV87" s="17"/>
      <c r="BW87" s="17"/>
      <c r="BX87" s="17"/>
      <c r="BY87" s="17"/>
      <c r="BZ87" s="17"/>
    </row>
    <row r="88" spans="1:78">
      <c r="A88" s="19">
        <v>28.122492051625159</v>
      </c>
      <c r="B88" s="19">
        <v>11.751718173325493</v>
      </c>
      <c r="C88" s="133"/>
      <c r="D88" s="19"/>
      <c r="E88" s="134">
        <v>2.2636402372559017E-12</v>
      </c>
      <c r="F88" s="134">
        <v>6.2340911122020691E-2</v>
      </c>
      <c r="G88" s="134">
        <v>0.41560607416484285</v>
      </c>
      <c r="H88" s="134">
        <v>0.58439392583515715</v>
      </c>
      <c r="I88" s="136"/>
      <c r="J88" s="136">
        <v>0.53773219641622449</v>
      </c>
      <c r="K88" s="136"/>
      <c r="L88" s="136"/>
      <c r="M88" s="136"/>
      <c r="N88" s="136"/>
      <c r="O88" s="136"/>
      <c r="P88" s="136"/>
      <c r="Q88" s="136">
        <v>0.99987022609311205</v>
      </c>
      <c r="R88" s="136"/>
      <c r="S88" s="136">
        <v>9.8431976939430718E-2</v>
      </c>
      <c r="T88" s="136">
        <v>2.9219696291757857E-2</v>
      </c>
      <c r="U88" s="136">
        <v>0.78248212596960776</v>
      </c>
      <c r="V88" s="136">
        <v>11.645192594882101</v>
      </c>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A88" s="17">
        <v>25.413084276078735</v>
      </c>
      <c r="BB88" s="17">
        <v>11.977431804206329</v>
      </c>
      <c r="BC88" s="17">
        <v>13.760415789147373</v>
      </c>
      <c r="BD88" s="17">
        <v>11.964236064627583</v>
      </c>
      <c r="BE88" s="17"/>
      <c r="BF88" s="17"/>
      <c r="BG88" s="17"/>
      <c r="BH88" s="17"/>
      <c r="BI88" s="17"/>
      <c r="BJ88" s="17"/>
      <c r="BK88" s="17"/>
      <c r="BL88" s="17"/>
      <c r="BM88" s="17"/>
      <c r="BN88" s="17"/>
      <c r="BO88" s="17"/>
      <c r="BP88" s="17"/>
      <c r="BQ88" s="17"/>
      <c r="BR88" s="17"/>
      <c r="BS88" s="17"/>
      <c r="BT88" s="17"/>
      <c r="BU88" s="17"/>
      <c r="BV88" s="17"/>
      <c r="BW88" s="17"/>
      <c r="BX88" s="17"/>
      <c r="BY88" s="17"/>
      <c r="BZ88" s="17"/>
    </row>
    <row r="89" spans="1:78">
      <c r="A89" s="19">
        <v>32.065280988172162</v>
      </c>
      <c r="B89" s="19">
        <v>11.963554366049292</v>
      </c>
      <c r="C89" s="133"/>
      <c r="D89" s="19"/>
      <c r="E89" s="134">
        <v>1.3947452177039479E-12</v>
      </c>
      <c r="F89" s="134">
        <v>5.7619971374200274E-2</v>
      </c>
      <c r="G89" s="134">
        <v>0.38413314246752028</v>
      </c>
      <c r="H89" s="134">
        <v>0.61586685753247972</v>
      </c>
      <c r="I89" s="136"/>
      <c r="J89" s="136">
        <v>0.4123844445227674</v>
      </c>
      <c r="K89" s="136"/>
      <c r="L89" s="136"/>
      <c r="M89" s="136"/>
      <c r="N89" s="136"/>
      <c r="O89" s="136"/>
      <c r="P89" s="136"/>
      <c r="Q89" s="136">
        <v>0.99978791425118463</v>
      </c>
      <c r="R89" s="136"/>
      <c r="S89" s="136">
        <v>0.10336566843707481</v>
      </c>
      <c r="T89" s="136">
        <v>3.0793342876623987E-2</v>
      </c>
      <c r="U89" s="136">
        <v>0.77974169416894912</v>
      </c>
      <c r="V89" s="136">
        <v>11.855505119021982</v>
      </c>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17"/>
      <c r="BA89" s="17">
        <v>28.945042788109276</v>
      </c>
      <c r="BB89" s="17">
        <v>12.160096419814815</v>
      </c>
      <c r="BC89" s="17">
        <v>17.047096470196266</v>
      </c>
      <c r="BD89" s="17">
        <v>12.193024702356251</v>
      </c>
      <c r="BE89" s="17"/>
      <c r="BF89" s="17"/>
      <c r="BG89" s="17"/>
      <c r="BH89" s="17"/>
      <c r="BI89" s="17"/>
      <c r="BJ89" s="17"/>
      <c r="BK89" s="17"/>
      <c r="BL89" s="17"/>
      <c r="BM89" s="17"/>
      <c r="BN89" s="17"/>
      <c r="BO89" s="17"/>
      <c r="BP89" s="17"/>
      <c r="BQ89" s="17"/>
      <c r="BR89" s="17"/>
      <c r="BS89" s="17"/>
      <c r="BT89" s="17"/>
      <c r="BU89" s="17"/>
      <c r="BV89" s="17"/>
      <c r="BW89" s="17"/>
      <c r="BX89" s="17"/>
      <c r="BY89" s="17"/>
      <c r="BZ89" s="17"/>
    </row>
    <row r="90" spans="1:78">
      <c r="A90" s="19">
        <v>38.31748273660196</v>
      </c>
      <c r="B90" s="19">
        <v>12.174908797581793</v>
      </c>
      <c r="C90" s="133"/>
      <c r="D90" s="19"/>
      <c r="E90" s="134">
        <v>8.5937429026542155E-13</v>
      </c>
      <c r="F90" s="134">
        <v>5.1442549629187533E-2</v>
      </c>
      <c r="G90" s="134">
        <v>0.34295033087816057</v>
      </c>
      <c r="H90" s="134">
        <v>0.65704966912183949</v>
      </c>
      <c r="I90" s="136"/>
      <c r="J90" s="136">
        <v>0.29884921710974371</v>
      </c>
      <c r="K90" s="136"/>
      <c r="L90" s="136"/>
      <c r="M90" s="136"/>
      <c r="N90" s="136"/>
      <c r="O90" s="136"/>
      <c r="P90" s="136"/>
      <c r="Q90" s="136">
        <v>0.99965418030006237</v>
      </c>
      <c r="R90" s="136"/>
      <c r="S90" s="136">
        <v>0.10689849825255272</v>
      </c>
      <c r="T90" s="136">
        <v>3.2852483456091978E-2</v>
      </c>
      <c r="U90" s="136">
        <v>0.77787327334712963</v>
      </c>
      <c r="V90" s="136">
        <v>12.065817643161862</v>
      </c>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17"/>
      <c r="BA90" s="17">
        <v>35.536279213556554</v>
      </c>
      <c r="BB90" s="17">
        <v>12.343065535500466</v>
      </c>
      <c r="BC90" s="17">
        <v>24.627392178808805</v>
      </c>
      <c r="BD90" s="17">
        <v>12.423738905573176</v>
      </c>
      <c r="BE90" s="17"/>
      <c r="BF90" s="17"/>
      <c r="BG90" s="17"/>
      <c r="BH90" s="17"/>
      <c r="BI90" s="17"/>
      <c r="BJ90" s="17"/>
      <c r="BK90" s="17"/>
      <c r="BL90" s="17"/>
      <c r="BM90" s="17"/>
      <c r="BN90" s="17"/>
      <c r="BO90" s="17"/>
      <c r="BP90" s="17"/>
      <c r="BQ90" s="17"/>
      <c r="BR90" s="17"/>
      <c r="BS90" s="17"/>
      <c r="BT90" s="17"/>
      <c r="BU90" s="17"/>
      <c r="BV90" s="17"/>
      <c r="BW90" s="17"/>
      <c r="BX90" s="17"/>
      <c r="BY90" s="17"/>
      <c r="BZ90" s="17"/>
    </row>
    <row r="91" spans="1:78">
      <c r="A91" s="19">
        <v>49.999999998544808</v>
      </c>
      <c r="B91" s="19">
        <v>12.385643935645515</v>
      </c>
      <c r="C91" s="133"/>
      <c r="D91" s="19"/>
      <c r="E91" s="134">
        <v>5.2950471626994674E-13</v>
      </c>
      <c r="F91" s="134">
        <v>4.2857142834530203E-2</v>
      </c>
      <c r="G91" s="134">
        <v>0.28571428572616481</v>
      </c>
      <c r="H91" s="134">
        <v>0.71428571427383514</v>
      </c>
      <c r="I91" s="136"/>
      <c r="J91" s="136">
        <v>0.20703518744374916</v>
      </c>
      <c r="K91" s="136"/>
      <c r="L91" s="136"/>
      <c r="M91" s="136"/>
      <c r="N91" s="136"/>
      <c r="O91" s="136"/>
      <c r="P91" s="136"/>
      <c r="Q91" s="136">
        <v>0.99943777072752749</v>
      </c>
      <c r="R91" s="136"/>
      <c r="S91" s="136">
        <v>0.10837043226051853</v>
      </c>
      <c r="T91" s="136">
        <v>3.5714285713691757E-2</v>
      </c>
      <c r="U91" s="136">
        <v>0.77711668955578594</v>
      </c>
      <c r="V91" s="136">
        <v>12.276130167301744</v>
      </c>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17"/>
      <c r="BA91" s="17">
        <v>49.999999986903276</v>
      </c>
      <c r="BB91" s="17">
        <v>12.52648266198166</v>
      </c>
      <c r="BC91" s="17">
        <v>49.999999998544808</v>
      </c>
      <c r="BD91" s="17">
        <v>12.656969396779232</v>
      </c>
      <c r="BE91" s="17"/>
      <c r="BF91" s="17"/>
      <c r="BG91" s="17"/>
      <c r="BH91" s="17"/>
      <c r="BI91" s="17"/>
      <c r="BJ91" s="17"/>
      <c r="BK91" s="17"/>
      <c r="BL91" s="17"/>
      <c r="BM91" s="17"/>
      <c r="BN91" s="17"/>
      <c r="BO91" s="17"/>
      <c r="BP91" s="17"/>
      <c r="BQ91" s="17"/>
      <c r="BR91" s="17"/>
      <c r="BS91" s="17"/>
      <c r="BT91" s="17"/>
      <c r="BU91" s="17"/>
      <c r="BV91" s="17"/>
      <c r="BW91" s="17"/>
      <c r="BX91" s="17"/>
      <c r="BY91" s="17"/>
      <c r="BZ91" s="17"/>
    </row>
    <row r="92" spans="1:78">
      <c r="A92" s="19"/>
      <c r="B92" s="19"/>
      <c r="C92" s="19"/>
      <c r="D92" s="19"/>
      <c r="E92" s="134"/>
      <c r="F92" s="134"/>
      <c r="G92" s="134"/>
      <c r="H92" s="134"/>
      <c r="I92" s="136"/>
      <c r="J92" s="136"/>
      <c r="K92" s="136"/>
      <c r="L92" s="136"/>
      <c r="M92" s="136"/>
      <c r="N92" s="136"/>
      <c r="O92" s="136"/>
      <c r="P92" s="136"/>
      <c r="Q92" s="136"/>
      <c r="R92" s="136"/>
      <c r="S92" s="136"/>
      <c r="T92" s="136"/>
      <c r="U92" s="136"/>
      <c r="V92" s="136"/>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7"/>
      <c r="AY92" s="17"/>
      <c r="AZ92" s="17"/>
      <c r="BA92" s="17"/>
      <c r="BB92" s="17"/>
      <c r="BC92" s="17"/>
      <c r="BD92" s="17"/>
      <c r="BE92" s="17"/>
      <c r="BF92" s="17"/>
      <c r="BG92" s="17"/>
      <c r="BH92" s="17"/>
      <c r="BI92" s="17"/>
      <c r="BJ92" s="17"/>
      <c r="BK92" s="17"/>
      <c r="BL92" s="17"/>
      <c r="BM92" s="17"/>
      <c r="BN92" s="17"/>
      <c r="BO92" s="17"/>
      <c r="BP92" s="17"/>
      <c r="BQ92" s="17"/>
      <c r="BR92" s="17"/>
      <c r="BS92" s="17"/>
      <c r="BT92" s="17"/>
      <c r="BU92" s="17"/>
      <c r="BV92" s="17"/>
      <c r="BW92" s="17"/>
      <c r="BX92" s="17"/>
      <c r="BY92" s="17"/>
      <c r="BZ92" s="17"/>
    </row>
    <row r="93" spans="1:78">
      <c r="A93" s="19"/>
      <c r="B93" s="19"/>
      <c r="C93" s="19"/>
      <c r="D93" s="19"/>
      <c r="E93" s="134"/>
      <c r="F93" s="134"/>
      <c r="G93" s="134"/>
      <c r="H93" s="134"/>
      <c r="I93" s="136"/>
      <c r="J93" s="136"/>
      <c r="K93" s="136"/>
      <c r="L93" s="136"/>
      <c r="M93" s="136"/>
      <c r="N93" s="136"/>
      <c r="O93" s="136"/>
      <c r="P93" s="136"/>
      <c r="Q93" s="136"/>
      <c r="R93" s="136"/>
      <c r="S93" s="136"/>
      <c r="T93" s="136"/>
      <c r="U93" s="136"/>
      <c r="V93" s="136"/>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7"/>
      <c r="AY93" s="17"/>
      <c r="AZ93" s="17"/>
      <c r="BA93" s="17"/>
      <c r="BB93" s="17"/>
      <c r="BC93" s="17"/>
      <c r="BD93" s="17"/>
      <c r="BE93" s="17"/>
      <c r="BF93" s="17"/>
      <c r="BG93" s="17"/>
      <c r="BH93" s="17"/>
      <c r="BI93" s="17"/>
      <c r="BJ93" s="17"/>
      <c r="BK93" s="17"/>
      <c r="BL93" s="17"/>
      <c r="BM93" s="17"/>
      <c r="BN93" s="17"/>
      <c r="BO93" s="17"/>
      <c r="BP93" s="17"/>
      <c r="BQ93" s="17"/>
      <c r="BR93" s="17"/>
      <c r="BS93" s="17"/>
      <c r="BT93" s="17"/>
      <c r="BU93" s="17"/>
      <c r="BV93" s="17"/>
      <c r="BW93" s="17"/>
      <c r="BX93" s="17"/>
      <c r="BY93" s="17"/>
      <c r="BZ93" s="17"/>
    </row>
    <row r="94" spans="1:78">
      <c r="A94" s="19"/>
      <c r="B94" s="19"/>
      <c r="C94" s="19"/>
      <c r="D94" s="19"/>
      <c r="E94" s="134"/>
      <c r="F94" s="134"/>
      <c r="G94" s="134"/>
      <c r="H94" s="134"/>
      <c r="I94" s="136"/>
      <c r="J94" s="136"/>
      <c r="K94" s="136"/>
      <c r="L94" s="136"/>
      <c r="M94" s="136"/>
      <c r="N94" s="136"/>
      <c r="O94" s="136"/>
      <c r="P94" s="136"/>
      <c r="Q94" s="136"/>
      <c r="R94" s="136"/>
      <c r="S94" s="136"/>
      <c r="T94" s="136"/>
      <c r="U94" s="136"/>
      <c r="V94" s="136"/>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c r="AY94" s="17"/>
      <c r="AZ94" s="17"/>
      <c r="BA94" s="17"/>
      <c r="BB94" s="17"/>
      <c r="BC94" s="17"/>
      <c r="BD94" s="17"/>
      <c r="BE94" s="17"/>
      <c r="BF94" s="17"/>
      <c r="BG94" s="17"/>
      <c r="BH94" s="17"/>
      <c r="BI94" s="17"/>
      <c r="BJ94" s="17"/>
      <c r="BK94" s="17"/>
      <c r="BL94" s="17"/>
      <c r="BM94" s="17"/>
      <c r="BN94" s="17"/>
      <c r="BO94" s="17"/>
      <c r="BP94" s="17"/>
      <c r="BQ94" s="17"/>
      <c r="BR94" s="17"/>
      <c r="BS94" s="17"/>
      <c r="BT94" s="17"/>
      <c r="BU94" s="17"/>
      <c r="BV94" s="17"/>
      <c r="BW94" s="17"/>
      <c r="BX94" s="17"/>
      <c r="BY94" s="17"/>
      <c r="BZ94" s="17"/>
    </row>
    <row r="95" spans="1:78">
      <c r="A95" s="19"/>
      <c r="B95" s="19"/>
      <c r="C95" s="19"/>
      <c r="D95" s="19"/>
      <c r="E95" s="134"/>
      <c r="F95" s="134"/>
      <c r="G95" s="134"/>
      <c r="H95" s="134"/>
      <c r="I95" s="136"/>
      <c r="J95" s="136"/>
      <c r="K95" s="136"/>
      <c r="L95" s="136"/>
      <c r="M95" s="136"/>
      <c r="N95" s="136"/>
      <c r="O95" s="136"/>
      <c r="P95" s="136"/>
      <c r="Q95" s="136"/>
      <c r="R95" s="136"/>
      <c r="S95" s="136"/>
      <c r="T95" s="136"/>
      <c r="U95" s="136"/>
      <c r="V95" s="136"/>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c r="AY95" s="17"/>
      <c r="AZ95" s="17"/>
      <c r="BA95" s="17"/>
      <c r="BB95" s="17"/>
      <c r="BC95" s="17"/>
      <c r="BD95" s="17"/>
      <c r="BE95" s="17"/>
      <c r="BF95" s="17"/>
      <c r="BG95" s="17"/>
      <c r="BH95" s="17"/>
      <c r="BI95" s="17"/>
      <c r="BJ95" s="17"/>
      <c r="BK95" s="17"/>
      <c r="BL95" s="17"/>
      <c r="BM95" s="17"/>
      <c r="BN95" s="17"/>
      <c r="BO95" s="17"/>
      <c r="BP95" s="17"/>
      <c r="BQ95" s="17"/>
      <c r="BR95" s="17"/>
      <c r="BS95" s="17"/>
      <c r="BT95" s="17"/>
      <c r="BU95" s="17"/>
      <c r="BV95" s="17"/>
      <c r="BW95" s="17"/>
      <c r="BX95" s="17"/>
      <c r="BY95" s="17"/>
      <c r="BZ95" s="17"/>
    </row>
    <row r="96" spans="1:78">
      <c r="A96" s="19"/>
      <c r="B96" s="19"/>
      <c r="C96" s="19"/>
      <c r="D96" s="19"/>
      <c r="E96" s="134"/>
      <c r="F96" s="134"/>
      <c r="G96" s="134"/>
      <c r="H96" s="134"/>
      <c r="I96" s="136"/>
      <c r="J96" s="136"/>
      <c r="K96" s="136"/>
      <c r="L96" s="136"/>
      <c r="M96" s="136"/>
      <c r="N96" s="136"/>
      <c r="O96" s="136"/>
      <c r="P96" s="136"/>
      <c r="Q96" s="136"/>
      <c r="R96" s="136"/>
      <c r="S96" s="136"/>
      <c r="T96" s="136"/>
      <c r="U96" s="136"/>
      <c r="V96" s="136"/>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7"/>
      <c r="AY96" s="17"/>
      <c r="AZ96" s="17"/>
      <c r="BA96" s="17"/>
      <c r="BB96" s="17"/>
      <c r="BC96" s="17"/>
      <c r="BD96" s="17"/>
      <c r="BE96" s="17"/>
      <c r="BF96" s="17"/>
      <c r="BG96" s="17"/>
      <c r="BH96" s="17"/>
      <c r="BI96" s="17"/>
      <c r="BJ96" s="17"/>
      <c r="BK96" s="17"/>
      <c r="BL96" s="17"/>
      <c r="BM96" s="17"/>
      <c r="BN96" s="17"/>
      <c r="BO96" s="17"/>
      <c r="BP96" s="17"/>
      <c r="BQ96" s="17"/>
      <c r="BR96" s="17"/>
      <c r="BS96" s="17"/>
      <c r="BT96" s="17"/>
      <c r="BU96" s="17"/>
      <c r="BV96" s="17"/>
      <c r="BW96" s="17"/>
      <c r="BX96" s="17"/>
      <c r="BY96" s="17"/>
      <c r="BZ96" s="17"/>
    </row>
    <row r="97" spans="1:78">
      <c r="A97" s="19"/>
      <c r="B97" s="19"/>
      <c r="C97" s="19"/>
      <c r="D97" s="19"/>
      <c r="E97" s="134"/>
      <c r="F97" s="134"/>
      <c r="G97" s="134"/>
      <c r="H97" s="134"/>
      <c r="I97" s="136"/>
      <c r="J97" s="136"/>
      <c r="K97" s="136"/>
      <c r="L97" s="136"/>
      <c r="M97" s="136"/>
      <c r="N97" s="136"/>
      <c r="O97" s="136"/>
      <c r="P97" s="136"/>
      <c r="Q97" s="136"/>
      <c r="R97" s="136"/>
      <c r="S97" s="136"/>
      <c r="T97" s="136"/>
      <c r="U97" s="136"/>
      <c r="V97" s="136"/>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7"/>
      <c r="AY97" s="17"/>
      <c r="AZ97" s="17"/>
      <c r="BA97" s="17"/>
      <c r="BB97" s="17"/>
      <c r="BC97" s="17"/>
      <c r="BD97" s="17"/>
      <c r="BE97" s="17"/>
      <c r="BF97" s="17"/>
      <c r="BG97" s="17"/>
      <c r="BH97" s="17"/>
      <c r="BI97" s="17"/>
      <c r="BJ97" s="17"/>
      <c r="BK97" s="17"/>
      <c r="BL97" s="17"/>
      <c r="BM97" s="17"/>
      <c r="BN97" s="17"/>
      <c r="BO97" s="17"/>
      <c r="BP97" s="17"/>
      <c r="BQ97" s="17"/>
      <c r="BR97" s="17"/>
      <c r="BS97" s="17"/>
      <c r="BT97" s="17"/>
      <c r="BU97" s="17"/>
      <c r="BV97" s="17"/>
      <c r="BW97" s="17"/>
      <c r="BX97" s="17"/>
      <c r="BY97" s="17"/>
      <c r="BZ97" s="17"/>
    </row>
    <row r="98" spans="1:78">
      <c r="A98" s="19"/>
      <c r="B98" s="19"/>
      <c r="C98" s="19"/>
      <c r="D98" s="19"/>
      <c r="E98" s="134"/>
      <c r="F98" s="134"/>
      <c r="G98" s="134"/>
      <c r="H98" s="134"/>
      <c r="I98" s="136"/>
      <c r="J98" s="136"/>
      <c r="K98" s="136"/>
      <c r="L98" s="136"/>
      <c r="M98" s="136"/>
      <c r="N98" s="136"/>
      <c r="O98" s="136"/>
      <c r="P98" s="136"/>
      <c r="Q98" s="136"/>
      <c r="R98" s="136"/>
      <c r="S98" s="136"/>
      <c r="T98" s="136"/>
      <c r="U98" s="136"/>
      <c r="V98" s="136"/>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7"/>
      <c r="AY98" s="17"/>
      <c r="AZ98" s="17"/>
      <c r="BA98" s="17"/>
      <c r="BB98" s="17"/>
      <c r="BC98" s="17"/>
      <c r="BD98" s="17"/>
      <c r="BE98" s="17"/>
      <c r="BF98" s="17"/>
      <c r="BG98" s="17"/>
      <c r="BH98" s="17"/>
      <c r="BI98" s="17"/>
      <c r="BJ98" s="17"/>
      <c r="BK98" s="17"/>
      <c r="BL98" s="17"/>
      <c r="BM98" s="17"/>
      <c r="BN98" s="17"/>
      <c r="BO98" s="17"/>
      <c r="BP98" s="17"/>
      <c r="BQ98" s="17"/>
      <c r="BR98" s="17"/>
      <c r="BS98" s="17"/>
      <c r="BT98" s="17"/>
      <c r="BU98" s="17"/>
      <c r="BV98" s="17"/>
      <c r="BW98" s="17"/>
      <c r="BX98" s="17"/>
      <c r="BY98" s="17"/>
      <c r="BZ98" s="17"/>
    </row>
    <row r="99" spans="1:78">
      <c r="A99" s="19"/>
      <c r="B99" s="19"/>
      <c r="C99" s="19"/>
      <c r="D99" s="19"/>
      <c r="E99" s="134"/>
      <c r="F99" s="134"/>
      <c r="G99" s="134"/>
      <c r="H99" s="134"/>
      <c r="I99" s="136"/>
      <c r="J99" s="136"/>
      <c r="K99" s="136"/>
      <c r="L99" s="136"/>
      <c r="M99" s="136"/>
      <c r="N99" s="136"/>
      <c r="O99" s="136"/>
      <c r="P99" s="136"/>
      <c r="Q99" s="136"/>
      <c r="R99" s="136"/>
      <c r="S99" s="136"/>
      <c r="T99" s="136"/>
      <c r="U99" s="136"/>
      <c r="V99" s="136"/>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A99" s="17"/>
      <c r="BB99" s="17"/>
      <c r="BC99" s="17"/>
      <c r="BD99" s="17"/>
      <c r="BE99" s="17"/>
      <c r="BF99" s="17"/>
      <c r="BG99" s="17"/>
      <c r="BH99" s="17"/>
      <c r="BI99" s="17"/>
      <c r="BJ99" s="17"/>
      <c r="BK99" s="17"/>
      <c r="BL99" s="17"/>
      <c r="BM99" s="17"/>
      <c r="BN99" s="17"/>
      <c r="BO99" s="17"/>
      <c r="BP99" s="17"/>
      <c r="BQ99" s="17"/>
      <c r="BR99" s="17"/>
      <c r="BS99" s="17"/>
      <c r="BT99" s="17"/>
      <c r="BU99" s="17"/>
      <c r="BV99" s="17"/>
      <c r="BW99" s="17"/>
      <c r="BX99" s="17"/>
      <c r="BY99" s="17"/>
      <c r="BZ99" s="17"/>
    </row>
    <row r="100" spans="1:78">
      <c r="A100" s="19"/>
      <c r="B100" s="19"/>
      <c r="C100" s="19"/>
      <c r="D100" s="19"/>
      <c r="E100" s="134"/>
      <c r="F100" s="134"/>
      <c r="G100" s="134"/>
      <c r="H100" s="134"/>
      <c r="I100" s="136"/>
      <c r="J100" s="136"/>
      <c r="K100" s="136"/>
      <c r="L100" s="136"/>
      <c r="M100" s="136"/>
      <c r="N100" s="136"/>
      <c r="O100" s="136"/>
      <c r="P100" s="136"/>
      <c r="Q100" s="136"/>
      <c r="R100" s="136"/>
      <c r="S100" s="136"/>
      <c r="T100" s="136"/>
      <c r="U100" s="136"/>
      <c r="V100" s="136"/>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c r="BS100" s="17"/>
      <c r="BT100" s="17"/>
      <c r="BU100" s="17"/>
      <c r="BV100" s="17"/>
      <c r="BW100" s="17"/>
      <c r="BX100" s="17"/>
      <c r="BY100" s="17"/>
      <c r="BZ100" s="17"/>
    </row>
    <row r="101" spans="1:78">
      <c r="A101" s="19"/>
      <c r="B101" s="19"/>
      <c r="C101" s="19"/>
      <c r="D101" s="19"/>
      <c r="E101" s="134"/>
      <c r="F101" s="134"/>
      <c r="G101" s="134"/>
      <c r="H101" s="134"/>
      <c r="I101" s="136"/>
      <c r="J101" s="136"/>
      <c r="K101" s="136"/>
      <c r="L101" s="136"/>
      <c r="M101" s="136"/>
      <c r="N101" s="136"/>
      <c r="O101" s="136"/>
      <c r="P101" s="136"/>
      <c r="Q101" s="136"/>
      <c r="R101" s="136"/>
      <c r="S101" s="136"/>
      <c r="T101" s="136"/>
      <c r="U101" s="136"/>
      <c r="V101" s="136"/>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c r="BA101" s="17"/>
      <c r="BB101" s="17"/>
      <c r="BC101" s="17"/>
      <c r="BD101" s="17"/>
      <c r="BE101" s="17"/>
      <c r="BF101" s="17"/>
      <c r="BG101" s="17"/>
      <c r="BH101" s="17"/>
      <c r="BI101" s="17"/>
      <c r="BJ101" s="17"/>
      <c r="BK101" s="17"/>
      <c r="BL101" s="17"/>
      <c r="BM101" s="17"/>
      <c r="BN101" s="17"/>
      <c r="BO101" s="17"/>
      <c r="BP101" s="17"/>
      <c r="BQ101" s="17"/>
      <c r="BR101" s="17"/>
      <c r="BS101" s="17"/>
      <c r="BT101" s="17"/>
      <c r="BU101" s="17"/>
      <c r="BV101" s="17"/>
      <c r="BW101" s="17"/>
      <c r="BX101" s="17"/>
      <c r="BY101" s="17"/>
      <c r="BZ101" s="17"/>
    </row>
    <row r="102" spans="1:78">
      <c r="A102" s="19"/>
      <c r="B102" s="19"/>
      <c r="C102" s="19"/>
      <c r="D102" s="19"/>
      <c r="E102" s="134"/>
      <c r="F102" s="134"/>
      <c r="G102" s="134"/>
      <c r="H102" s="134"/>
      <c r="I102" s="136"/>
      <c r="J102" s="136"/>
      <c r="K102" s="136"/>
      <c r="L102" s="136"/>
      <c r="M102" s="136"/>
      <c r="N102" s="136"/>
      <c r="O102" s="136"/>
      <c r="P102" s="136"/>
      <c r="Q102" s="136"/>
      <c r="R102" s="136"/>
      <c r="S102" s="136"/>
      <c r="T102" s="136"/>
      <c r="U102" s="136"/>
      <c r="V102" s="136"/>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7"/>
      <c r="AY102" s="17"/>
      <c r="AZ102" s="17"/>
      <c r="BA102" s="17"/>
      <c r="BB102" s="17"/>
      <c r="BC102" s="17"/>
      <c r="BD102" s="17"/>
      <c r="BE102" s="17"/>
      <c r="BF102" s="17"/>
      <c r="BG102" s="17"/>
      <c r="BH102" s="17"/>
      <c r="BI102" s="17"/>
      <c r="BJ102" s="17"/>
      <c r="BK102" s="17"/>
      <c r="BL102" s="17"/>
      <c r="BM102" s="17"/>
      <c r="BN102" s="17"/>
      <c r="BO102" s="17"/>
      <c r="BP102" s="17"/>
      <c r="BQ102" s="17"/>
      <c r="BR102" s="17"/>
      <c r="BS102" s="17"/>
      <c r="BT102" s="17"/>
      <c r="BU102" s="17"/>
      <c r="BV102" s="17"/>
      <c r="BW102" s="17"/>
      <c r="BX102" s="17"/>
      <c r="BY102" s="17"/>
      <c r="BZ102" s="17"/>
    </row>
    <row r="103" spans="1:78">
      <c r="A103" s="19"/>
      <c r="B103" s="19"/>
      <c r="C103" s="19"/>
      <c r="D103" s="19"/>
      <c r="E103" s="134"/>
      <c r="F103" s="134"/>
      <c r="G103" s="134"/>
      <c r="H103" s="134"/>
      <c r="I103" s="136"/>
      <c r="J103" s="136"/>
      <c r="K103" s="136"/>
      <c r="L103" s="136"/>
      <c r="M103" s="136"/>
      <c r="N103" s="136"/>
      <c r="O103" s="136"/>
      <c r="P103" s="136"/>
      <c r="Q103" s="136"/>
      <c r="R103" s="136"/>
      <c r="S103" s="136"/>
      <c r="T103" s="136"/>
      <c r="U103" s="136"/>
      <c r="V103" s="136"/>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c r="AZ103" s="17"/>
      <c r="BA103" s="17"/>
      <c r="BB103" s="17"/>
      <c r="BC103" s="17"/>
      <c r="BD103" s="17"/>
      <c r="BE103" s="17"/>
      <c r="BF103" s="17"/>
      <c r="BG103" s="17"/>
      <c r="BH103" s="17"/>
      <c r="BI103" s="17"/>
      <c r="BJ103" s="17"/>
      <c r="BK103" s="17"/>
      <c r="BL103" s="17"/>
      <c r="BM103" s="17"/>
      <c r="BN103" s="17"/>
      <c r="BO103" s="17"/>
      <c r="BP103" s="17"/>
      <c r="BQ103" s="17"/>
      <c r="BR103" s="17"/>
      <c r="BS103" s="17"/>
      <c r="BT103" s="17"/>
      <c r="BU103" s="17"/>
      <c r="BV103" s="17"/>
      <c r="BW103" s="17"/>
      <c r="BX103" s="17"/>
      <c r="BY103" s="17"/>
      <c r="BZ103" s="17"/>
    </row>
    <row r="104" spans="1:78">
      <c r="A104" s="19"/>
      <c r="B104" s="19"/>
      <c r="C104" s="19"/>
      <c r="D104" s="19"/>
      <c r="E104" s="134"/>
      <c r="F104" s="134"/>
      <c r="G104" s="134"/>
      <c r="H104" s="134"/>
      <c r="I104" s="136"/>
      <c r="J104" s="136"/>
      <c r="K104" s="136"/>
      <c r="L104" s="136"/>
      <c r="M104" s="136"/>
      <c r="N104" s="136"/>
      <c r="O104" s="136"/>
      <c r="P104" s="136"/>
      <c r="Q104" s="136"/>
      <c r="R104" s="136"/>
      <c r="S104" s="136"/>
      <c r="T104" s="136"/>
      <c r="U104" s="136"/>
      <c r="V104" s="136"/>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c r="BA104" s="17"/>
      <c r="BB104" s="17"/>
      <c r="BC104" s="17"/>
      <c r="BD104" s="17"/>
      <c r="BE104" s="17"/>
      <c r="BF104" s="17"/>
      <c r="BG104" s="17"/>
      <c r="BH104" s="17"/>
      <c r="BI104" s="17"/>
      <c r="BJ104" s="17"/>
      <c r="BK104" s="17"/>
      <c r="BL104" s="17"/>
      <c r="BM104" s="17"/>
      <c r="BN104" s="17"/>
      <c r="BO104" s="17"/>
      <c r="BP104" s="17"/>
      <c r="BQ104" s="17"/>
      <c r="BR104" s="17"/>
      <c r="BS104" s="17"/>
      <c r="BT104" s="17"/>
      <c r="BU104" s="17"/>
      <c r="BV104" s="17"/>
      <c r="BW104" s="17"/>
      <c r="BX104" s="17"/>
      <c r="BY104" s="17"/>
      <c r="BZ104" s="17"/>
    </row>
    <row r="105" spans="1:78">
      <c r="A105" s="19"/>
      <c r="B105" s="19"/>
      <c r="C105" s="19"/>
      <c r="D105" s="19"/>
      <c r="E105" s="134"/>
      <c r="F105" s="134"/>
      <c r="G105" s="134"/>
      <c r="H105" s="134"/>
      <c r="I105" s="136"/>
      <c r="J105" s="136"/>
      <c r="K105" s="136"/>
      <c r="L105" s="136"/>
      <c r="M105" s="136"/>
      <c r="N105" s="136"/>
      <c r="O105" s="136"/>
      <c r="P105" s="136"/>
      <c r="Q105" s="136"/>
      <c r="R105" s="136"/>
      <c r="S105" s="136"/>
      <c r="T105" s="136"/>
      <c r="U105" s="136"/>
      <c r="V105" s="136"/>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7"/>
      <c r="AY105" s="17"/>
      <c r="AZ105" s="17"/>
      <c r="BA105" s="17"/>
      <c r="BB105" s="17"/>
      <c r="BC105" s="17"/>
      <c r="BD105" s="17"/>
      <c r="BE105" s="17"/>
      <c r="BF105" s="17"/>
      <c r="BG105" s="17"/>
      <c r="BH105" s="17"/>
      <c r="BI105" s="17"/>
      <c r="BJ105" s="17"/>
      <c r="BK105" s="17"/>
      <c r="BL105" s="17"/>
      <c r="BM105" s="17"/>
      <c r="BN105" s="17"/>
      <c r="BO105" s="17"/>
      <c r="BP105" s="17"/>
      <c r="BQ105" s="17"/>
      <c r="BR105" s="17"/>
      <c r="BS105" s="17"/>
      <c r="BT105" s="17"/>
      <c r="BU105" s="17"/>
      <c r="BV105" s="17"/>
      <c r="BW105" s="17"/>
      <c r="BX105" s="17"/>
      <c r="BY105" s="17"/>
      <c r="BZ105" s="17"/>
    </row>
    <row r="106" spans="1:78">
      <c r="A106" s="19"/>
      <c r="B106" s="19"/>
      <c r="C106" s="19"/>
      <c r="D106" s="19"/>
      <c r="E106" s="134"/>
      <c r="F106" s="134"/>
      <c r="G106" s="134"/>
      <c r="H106" s="134"/>
      <c r="I106" s="136"/>
      <c r="J106" s="136"/>
      <c r="K106" s="136"/>
      <c r="L106" s="136"/>
      <c r="M106" s="136"/>
      <c r="N106" s="136"/>
      <c r="O106" s="136"/>
      <c r="P106" s="136"/>
      <c r="Q106" s="136"/>
      <c r="R106" s="136"/>
      <c r="S106" s="136"/>
      <c r="T106" s="136"/>
      <c r="U106" s="136"/>
      <c r="V106" s="136"/>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c r="BA106" s="17"/>
      <c r="BB106" s="17"/>
      <c r="BC106" s="17"/>
      <c r="BD106" s="17"/>
      <c r="BE106" s="17"/>
      <c r="BF106" s="17"/>
      <c r="BG106" s="17"/>
      <c r="BH106" s="17"/>
      <c r="BI106" s="17"/>
      <c r="BJ106" s="17"/>
      <c r="BK106" s="17"/>
      <c r="BL106" s="17"/>
      <c r="BM106" s="17"/>
      <c r="BN106" s="17"/>
      <c r="BO106" s="17"/>
      <c r="BP106" s="17"/>
      <c r="BQ106" s="17"/>
      <c r="BR106" s="17"/>
      <c r="BS106" s="17"/>
      <c r="BT106" s="17"/>
      <c r="BU106" s="17"/>
      <c r="BV106" s="17"/>
      <c r="BW106" s="17"/>
      <c r="BX106" s="17"/>
      <c r="BY106" s="17"/>
      <c r="BZ106" s="17"/>
    </row>
    <row r="107" spans="1:78">
      <c r="A107" s="19"/>
      <c r="B107" s="19"/>
      <c r="C107" s="19"/>
      <c r="D107" s="19"/>
      <c r="E107" s="134"/>
      <c r="F107" s="134"/>
      <c r="G107" s="134"/>
      <c r="H107" s="134"/>
      <c r="I107" s="136"/>
      <c r="J107" s="136"/>
      <c r="K107" s="136"/>
      <c r="L107" s="136"/>
      <c r="M107" s="136"/>
      <c r="N107" s="136"/>
      <c r="O107" s="136"/>
      <c r="P107" s="136"/>
      <c r="Q107" s="136"/>
      <c r="R107" s="136"/>
      <c r="S107" s="136"/>
      <c r="T107" s="136"/>
      <c r="U107" s="136"/>
      <c r="V107" s="136"/>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c r="BA107" s="17"/>
      <c r="BB107" s="17"/>
      <c r="BC107" s="17"/>
      <c r="BD107" s="17"/>
      <c r="BE107" s="17"/>
      <c r="BF107" s="17"/>
      <c r="BG107" s="17"/>
      <c r="BH107" s="17"/>
      <c r="BI107" s="17"/>
      <c r="BJ107" s="17"/>
      <c r="BK107" s="17"/>
      <c r="BL107" s="17"/>
      <c r="BM107" s="17"/>
      <c r="BN107" s="17"/>
      <c r="BO107" s="17"/>
      <c r="BP107" s="17"/>
      <c r="BQ107" s="17"/>
      <c r="BR107" s="17"/>
      <c r="BS107" s="17"/>
      <c r="BT107" s="17"/>
      <c r="BU107" s="17"/>
      <c r="BV107" s="17"/>
      <c r="BW107" s="17"/>
      <c r="BX107" s="17"/>
      <c r="BY107" s="17"/>
      <c r="BZ107" s="17"/>
    </row>
    <row r="108" spans="1:78">
      <c r="A108" s="19"/>
      <c r="B108" s="19"/>
      <c r="C108" s="19"/>
      <c r="D108" s="19"/>
      <c r="E108" s="134"/>
      <c r="F108" s="134"/>
      <c r="G108" s="134"/>
      <c r="H108" s="134"/>
      <c r="I108" s="136"/>
      <c r="J108" s="136"/>
      <c r="K108" s="136"/>
      <c r="L108" s="136"/>
      <c r="M108" s="136"/>
      <c r="N108" s="136"/>
      <c r="O108" s="136"/>
      <c r="P108" s="136"/>
      <c r="Q108" s="136"/>
      <c r="R108" s="136"/>
      <c r="S108" s="136"/>
      <c r="T108" s="136"/>
      <c r="U108" s="136"/>
      <c r="V108" s="136"/>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AZ108" s="17"/>
      <c r="BA108" s="17"/>
      <c r="BB108" s="17"/>
      <c r="BC108" s="17"/>
      <c r="BD108" s="17"/>
      <c r="BE108" s="17"/>
      <c r="BF108" s="17"/>
      <c r="BG108" s="17"/>
      <c r="BH108" s="17"/>
      <c r="BI108" s="17"/>
      <c r="BJ108" s="17"/>
      <c r="BK108" s="17"/>
      <c r="BL108" s="17"/>
      <c r="BM108" s="17"/>
      <c r="BN108" s="17"/>
      <c r="BO108" s="17"/>
      <c r="BP108" s="17"/>
      <c r="BQ108" s="17"/>
      <c r="BR108" s="17"/>
      <c r="BS108" s="17"/>
      <c r="BT108" s="17"/>
      <c r="BU108" s="17"/>
      <c r="BV108" s="17"/>
      <c r="BW108" s="17"/>
      <c r="BX108" s="17"/>
      <c r="BY108" s="17"/>
      <c r="BZ108" s="17"/>
    </row>
    <row r="109" spans="1:78">
      <c r="A109" s="19"/>
      <c r="B109" s="19"/>
      <c r="C109" s="19"/>
      <c r="D109" s="19"/>
      <c r="E109" s="134"/>
      <c r="F109" s="134"/>
      <c r="G109" s="134"/>
      <c r="H109" s="134"/>
      <c r="I109" s="136"/>
      <c r="J109" s="136"/>
      <c r="K109" s="136"/>
      <c r="L109" s="136"/>
      <c r="M109" s="136"/>
      <c r="N109" s="136"/>
      <c r="O109" s="136"/>
      <c r="P109" s="136"/>
      <c r="Q109" s="136"/>
      <c r="R109" s="136"/>
      <c r="S109" s="136"/>
      <c r="T109" s="136"/>
      <c r="U109" s="136"/>
      <c r="V109" s="136"/>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AZ109" s="17"/>
      <c r="BA109" s="17"/>
      <c r="BB109" s="17"/>
      <c r="BC109" s="17"/>
      <c r="BD109" s="17"/>
      <c r="BE109" s="17"/>
      <c r="BF109" s="17"/>
      <c r="BG109" s="17"/>
      <c r="BH109" s="17"/>
      <c r="BI109" s="17"/>
      <c r="BJ109" s="17"/>
      <c r="BK109" s="17"/>
      <c r="BL109" s="17"/>
      <c r="BM109" s="17"/>
      <c r="BN109" s="17"/>
      <c r="BO109" s="17"/>
      <c r="BP109" s="17"/>
      <c r="BQ109" s="17"/>
      <c r="BR109" s="17"/>
      <c r="BS109" s="17"/>
      <c r="BT109" s="17"/>
      <c r="BU109" s="17"/>
      <c r="BV109" s="17"/>
      <c r="BW109" s="17"/>
      <c r="BX109" s="17"/>
      <c r="BY109" s="17"/>
      <c r="BZ109" s="17"/>
    </row>
    <row r="110" spans="1:78">
      <c r="A110" s="19"/>
      <c r="B110" s="19"/>
      <c r="C110" s="19"/>
      <c r="D110" s="19"/>
      <c r="E110" s="134"/>
      <c r="F110" s="134"/>
      <c r="G110" s="134"/>
      <c r="H110" s="134"/>
      <c r="I110" s="136"/>
      <c r="J110" s="136"/>
      <c r="K110" s="136"/>
      <c r="L110" s="136"/>
      <c r="M110" s="136"/>
      <c r="N110" s="136"/>
      <c r="O110" s="136"/>
      <c r="P110" s="136"/>
      <c r="Q110" s="136"/>
      <c r="R110" s="136"/>
      <c r="S110" s="136"/>
      <c r="T110" s="136"/>
      <c r="U110" s="136"/>
      <c r="V110" s="136"/>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AZ110" s="17"/>
      <c r="BA110" s="17"/>
      <c r="BB110" s="17"/>
      <c r="BC110" s="17"/>
      <c r="BD110" s="17"/>
      <c r="BE110" s="17"/>
      <c r="BF110" s="17"/>
      <c r="BG110" s="17"/>
      <c r="BH110" s="17"/>
      <c r="BI110" s="17"/>
      <c r="BJ110" s="17"/>
      <c r="BK110" s="17"/>
      <c r="BL110" s="17"/>
      <c r="BM110" s="17"/>
      <c r="BN110" s="17"/>
      <c r="BO110" s="17"/>
      <c r="BP110" s="17"/>
      <c r="BQ110" s="17"/>
      <c r="BR110" s="17"/>
      <c r="BS110" s="17"/>
      <c r="BT110" s="17"/>
      <c r="BU110" s="17"/>
      <c r="BV110" s="17"/>
      <c r="BW110" s="17"/>
      <c r="BX110" s="17"/>
      <c r="BY110" s="17"/>
      <c r="BZ110" s="17"/>
    </row>
    <row r="111" spans="1:78">
      <c r="A111" s="19"/>
      <c r="B111" s="19"/>
      <c r="C111" s="19"/>
      <c r="D111" s="19"/>
      <c r="E111" s="134"/>
      <c r="F111" s="134"/>
      <c r="G111" s="134"/>
      <c r="H111" s="134"/>
      <c r="I111" s="136"/>
      <c r="J111" s="136"/>
      <c r="K111" s="136"/>
      <c r="L111" s="136"/>
      <c r="M111" s="136"/>
      <c r="N111" s="136"/>
      <c r="O111" s="136"/>
      <c r="P111" s="136"/>
      <c r="Q111" s="136"/>
      <c r="R111" s="136"/>
      <c r="S111" s="136"/>
      <c r="T111" s="136"/>
      <c r="U111" s="136"/>
      <c r="V111" s="136"/>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c r="AZ111" s="17"/>
      <c r="BA111" s="17"/>
      <c r="BB111" s="17"/>
      <c r="BC111" s="17"/>
      <c r="BD111" s="17"/>
      <c r="BE111" s="17"/>
      <c r="BF111" s="17"/>
      <c r="BG111" s="17"/>
      <c r="BH111" s="17"/>
      <c r="BI111" s="17"/>
      <c r="BJ111" s="17"/>
      <c r="BK111" s="17"/>
      <c r="BL111" s="17"/>
      <c r="BM111" s="17"/>
      <c r="BN111" s="17"/>
      <c r="BO111" s="17"/>
      <c r="BP111" s="17"/>
      <c r="BQ111" s="17"/>
      <c r="BR111" s="17"/>
      <c r="BS111" s="17"/>
      <c r="BT111" s="17"/>
      <c r="BU111" s="17"/>
      <c r="BV111" s="17"/>
      <c r="BW111" s="17"/>
      <c r="BX111" s="17"/>
      <c r="BY111" s="17"/>
      <c r="BZ111" s="17"/>
    </row>
    <row r="112" spans="1:78">
      <c r="A112" s="19"/>
      <c r="B112" s="19"/>
      <c r="C112" s="19"/>
      <c r="D112" s="19"/>
      <c r="E112" s="134"/>
      <c r="F112" s="134"/>
      <c r="G112" s="134"/>
      <c r="H112" s="134"/>
      <c r="I112" s="136"/>
      <c r="J112" s="136"/>
      <c r="K112" s="136"/>
      <c r="L112" s="136"/>
      <c r="M112" s="136"/>
      <c r="N112" s="136"/>
      <c r="O112" s="136"/>
      <c r="P112" s="136"/>
      <c r="Q112" s="136"/>
      <c r="R112" s="136"/>
      <c r="S112" s="136"/>
      <c r="T112" s="136"/>
      <c r="U112" s="136"/>
      <c r="V112" s="136"/>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c r="AZ112" s="17"/>
      <c r="BA112" s="17"/>
      <c r="BB112" s="17"/>
      <c r="BC112" s="17"/>
      <c r="BD112" s="17"/>
      <c r="BE112" s="17"/>
      <c r="BF112" s="17"/>
      <c r="BG112" s="17"/>
      <c r="BH112" s="17"/>
      <c r="BI112" s="17"/>
      <c r="BJ112" s="17"/>
      <c r="BK112" s="17"/>
      <c r="BL112" s="17"/>
      <c r="BM112" s="17"/>
      <c r="BN112" s="17"/>
      <c r="BO112" s="17"/>
      <c r="BP112" s="17"/>
      <c r="BQ112" s="17"/>
      <c r="BR112" s="17"/>
      <c r="BS112" s="17"/>
      <c r="BT112" s="17"/>
      <c r="BU112" s="17"/>
      <c r="BV112" s="17"/>
      <c r="BW112" s="17"/>
      <c r="BX112" s="17"/>
      <c r="BY112" s="17"/>
      <c r="BZ112" s="17"/>
    </row>
    <row r="113" spans="1:78">
      <c r="A113" s="19"/>
      <c r="B113" s="19"/>
      <c r="C113" s="19"/>
      <c r="D113" s="19"/>
      <c r="E113" s="134"/>
      <c r="F113" s="134"/>
      <c r="G113" s="134"/>
      <c r="H113" s="134"/>
      <c r="I113" s="136"/>
      <c r="J113" s="136"/>
      <c r="K113" s="136"/>
      <c r="L113" s="136"/>
      <c r="M113" s="136"/>
      <c r="N113" s="136"/>
      <c r="O113" s="136"/>
      <c r="P113" s="136"/>
      <c r="Q113" s="136"/>
      <c r="R113" s="136"/>
      <c r="S113" s="136"/>
      <c r="T113" s="136"/>
      <c r="U113" s="136"/>
      <c r="V113" s="136"/>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c r="AZ113" s="17"/>
      <c r="BA113" s="17"/>
      <c r="BB113" s="17"/>
      <c r="BC113" s="17"/>
      <c r="BD113" s="17"/>
      <c r="BE113" s="17"/>
      <c r="BF113" s="17"/>
      <c r="BG113" s="17"/>
      <c r="BH113" s="17"/>
      <c r="BI113" s="17"/>
      <c r="BJ113" s="17"/>
      <c r="BK113" s="17"/>
      <c r="BL113" s="17"/>
      <c r="BM113" s="17"/>
      <c r="BN113" s="17"/>
      <c r="BO113" s="17"/>
      <c r="BP113" s="17"/>
      <c r="BQ113" s="17"/>
      <c r="BR113" s="17"/>
      <c r="BS113" s="17"/>
      <c r="BT113" s="17"/>
      <c r="BU113" s="17"/>
      <c r="BV113" s="17"/>
      <c r="BW113" s="17"/>
      <c r="BX113" s="17"/>
      <c r="BY113" s="17"/>
      <c r="BZ113" s="17"/>
    </row>
    <row r="114" spans="1:78">
      <c r="A114" s="19"/>
      <c r="B114" s="19"/>
      <c r="C114" s="19"/>
      <c r="D114" s="19"/>
      <c r="E114" s="134"/>
      <c r="F114" s="134"/>
      <c r="G114" s="134"/>
      <c r="H114" s="134"/>
      <c r="I114" s="136"/>
      <c r="J114" s="136"/>
      <c r="K114" s="136"/>
      <c r="L114" s="136"/>
      <c r="M114" s="136"/>
      <c r="N114" s="136"/>
      <c r="O114" s="136"/>
      <c r="P114" s="136"/>
      <c r="Q114" s="136"/>
      <c r="R114" s="136"/>
      <c r="S114" s="136"/>
      <c r="T114" s="136"/>
      <c r="U114" s="136"/>
      <c r="V114" s="136"/>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c r="AZ114" s="17"/>
      <c r="BA114" s="17"/>
      <c r="BB114" s="17"/>
      <c r="BC114" s="17"/>
      <c r="BD114" s="17"/>
      <c r="BE114" s="17"/>
      <c r="BF114" s="17"/>
      <c r="BG114" s="17"/>
      <c r="BH114" s="17"/>
      <c r="BI114" s="17"/>
      <c r="BJ114" s="17"/>
      <c r="BK114" s="17"/>
      <c r="BL114" s="17"/>
      <c r="BM114" s="17"/>
      <c r="BN114" s="17"/>
      <c r="BO114" s="17"/>
      <c r="BP114" s="17"/>
      <c r="BQ114" s="17"/>
      <c r="BR114" s="17"/>
      <c r="BS114" s="17"/>
      <c r="BT114" s="17"/>
      <c r="BU114" s="17"/>
      <c r="BV114" s="17"/>
      <c r="BW114" s="17"/>
      <c r="BX114" s="17"/>
      <c r="BY114" s="17"/>
      <c r="BZ114" s="17"/>
    </row>
    <row r="115" spans="1:78">
      <c r="A115" s="19"/>
      <c r="B115" s="19"/>
      <c r="C115" s="19"/>
      <c r="D115" s="19"/>
      <c r="E115" s="134"/>
      <c r="F115" s="134"/>
      <c r="G115" s="134"/>
      <c r="H115" s="134"/>
      <c r="I115" s="136"/>
      <c r="J115" s="136"/>
      <c r="K115" s="136"/>
      <c r="L115" s="136"/>
      <c r="M115" s="136"/>
      <c r="N115" s="136"/>
      <c r="O115" s="136"/>
      <c r="P115" s="136"/>
      <c r="Q115" s="136"/>
      <c r="R115" s="136"/>
      <c r="S115" s="136"/>
      <c r="T115" s="136"/>
      <c r="U115" s="136"/>
      <c r="V115" s="136"/>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c r="AZ115" s="17"/>
      <c r="BA115" s="17"/>
      <c r="BB115" s="17"/>
      <c r="BC115" s="17"/>
      <c r="BD115" s="17"/>
      <c r="BE115" s="17"/>
      <c r="BF115" s="17"/>
      <c r="BG115" s="17"/>
      <c r="BH115" s="17"/>
      <c r="BI115" s="17"/>
      <c r="BJ115" s="17"/>
      <c r="BK115" s="17"/>
      <c r="BL115" s="17"/>
      <c r="BM115" s="17"/>
      <c r="BN115" s="17"/>
      <c r="BO115" s="17"/>
      <c r="BP115" s="17"/>
      <c r="BQ115" s="17"/>
      <c r="BR115" s="17"/>
      <c r="BS115" s="17"/>
      <c r="BT115" s="17"/>
      <c r="BU115" s="17"/>
      <c r="BV115" s="17"/>
      <c r="BW115" s="17"/>
      <c r="BX115" s="17"/>
      <c r="BY115" s="17"/>
      <c r="BZ115" s="17"/>
    </row>
    <row r="116" spans="1:78">
      <c r="A116" s="19"/>
      <c r="B116" s="19"/>
      <c r="C116" s="19"/>
      <c r="D116" s="19"/>
      <c r="E116" s="134"/>
      <c r="F116" s="134"/>
      <c r="G116" s="134"/>
      <c r="H116" s="134"/>
      <c r="I116" s="136"/>
      <c r="J116" s="136"/>
      <c r="K116" s="136"/>
      <c r="L116" s="136"/>
      <c r="M116" s="136"/>
      <c r="N116" s="136"/>
      <c r="O116" s="136"/>
      <c r="P116" s="136"/>
      <c r="Q116" s="136"/>
      <c r="R116" s="136"/>
      <c r="S116" s="136"/>
      <c r="T116" s="136"/>
      <c r="U116" s="136"/>
      <c r="V116" s="136"/>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c r="AZ116" s="17"/>
      <c r="BA116" s="17"/>
      <c r="BB116" s="17"/>
      <c r="BC116" s="17"/>
      <c r="BD116" s="17"/>
      <c r="BE116" s="17"/>
      <c r="BF116" s="17"/>
      <c r="BG116" s="17"/>
      <c r="BH116" s="17"/>
      <c r="BI116" s="17"/>
      <c r="BJ116" s="17"/>
      <c r="BK116" s="17"/>
      <c r="BL116" s="17"/>
      <c r="BM116" s="17"/>
      <c r="BN116" s="17"/>
      <c r="BO116" s="17"/>
      <c r="BP116" s="17"/>
      <c r="BQ116" s="17"/>
      <c r="BR116" s="17"/>
      <c r="BS116" s="17"/>
      <c r="BT116" s="17"/>
      <c r="BU116" s="17"/>
      <c r="BV116" s="17"/>
      <c r="BW116" s="17"/>
      <c r="BX116" s="17"/>
      <c r="BY116" s="17"/>
      <c r="BZ116" s="17"/>
    </row>
    <row r="117" spans="1:78">
      <c r="A117" s="19"/>
      <c r="B117" s="19"/>
      <c r="C117" s="19"/>
      <c r="D117" s="19"/>
      <c r="E117" s="134"/>
      <c r="F117" s="134"/>
      <c r="G117" s="134"/>
      <c r="H117" s="134"/>
      <c r="I117" s="136"/>
      <c r="J117" s="136"/>
      <c r="K117" s="136"/>
      <c r="L117" s="136"/>
      <c r="M117" s="136"/>
      <c r="N117" s="136"/>
      <c r="O117" s="136"/>
      <c r="P117" s="136"/>
      <c r="Q117" s="136"/>
      <c r="R117" s="136"/>
      <c r="S117" s="136"/>
      <c r="T117" s="136"/>
      <c r="U117" s="136"/>
      <c r="V117" s="136"/>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c r="BA117" s="17"/>
      <c r="BB117" s="17"/>
      <c r="BC117" s="17"/>
      <c r="BD117" s="17"/>
      <c r="BE117" s="17"/>
      <c r="BF117" s="17"/>
      <c r="BG117" s="17"/>
      <c r="BH117" s="17"/>
      <c r="BI117" s="17"/>
      <c r="BJ117" s="17"/>
      <c r="BK117" s="17"/>
      <c r="BL117" s="17"/>
      <c r="BM117" s="17"/>
      <c r="BN117" s="17"/>
      <c r="BO117" s="17"/>
      <c r="BP117" s="17"/>
      <c r="BQ117" s="17"/>
      <c r="BR117" s="17"/>
      <c r="BS117" s="17"/>
      <c r="BT117" s="17"/>
      <c r="BU117" s="17"/>
      <c r="BV117" s="17"/>
      <c r="BW117" s="17"/>
      <c r="BX117" s="17"/>
      <c r="BY117" s="17"/>
      <c r="BZ117" s="17"/>
    </row>
    <row r="118" spans="1:78">
      <c r="A118" s="19"/>
      <c r="B118" s="19"/>
      <c r="C118" s="19"/>
      <c r="D118" s="19"/>
      <c r="E118" s="134"/>
      <c r="F118" s="134"/>
      <c r="G118" s="134"/>
      <c r="H118" s="134"/>
      <c r="I118" s="136"/>
      <c r="J118" s="136"/>
      <c r="K118" s="136"/>
      <c r="L118" s="136"/>
      <c r="M118" s="136"/>
      <c r="N118" s="136"/>
      <c r="O118" s="136"/>
      <c r="P118" s="136"/>
      <c r="Q118" s="136"/>
      <c r="R118" s="136"/>
      <c r="S118" s="136"/>
      <c r="T118" s="136"/>
      <c r="U118" s="136"/>
      <c r="V118" s="136"/>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c r="BA118" s="17"/>
      <c r="BB118" s="17"/>
      <c r="BC118" s="17"/>
      <c r="BD118" s="17"/>
      <c r="BE118" s="17"/>
      <c r="BF118" s="17"/>
      <c r="BG118" s="17"/>
      <c r="BH118" s="17"/>
      <c r="BI118" s="17"/>
      <c r="BJ118" s="17"/>
      <c r="BK118" s="17"/>
      <c r="BL118" s="17"/>
      <c r="BM118" s="17"/>
      <c r="BN118" s="17"/>
      <c r="BO118" s="17"/>
      <c r="BP118" s="17"/>
      <c r="BQ118" s="17"/>
      <c r="BR118" s="17"/>
      <c r="BS118" s="17"/>
      <c r="BT118" s="17"/>
      <c r="BU118" s="17"/>
      <c r="BV118" s="17"/>
      <c r="BW118" s="17"/>
      <c r="BX118" s="17"/>
      <c r="BY118" s="17"/>
      <c r="BZ118" s="17"/>
    </row>
    <row r="119" spans="1:78">
      <c r="A119" s="19"/>
      <c r="B119" s="19"/>
      <c r="C119" s="19"/>
      <c r="D119" s="19"/>
      <c r="E119" s="134"/>
      <c r="F119" s="134"/>
      <c r="G119" s="134"/>
      <c r="H119" s="134"/>
      <c r="I119" s="136"/>
      <c r="J119" s="136"/>
      <c r="K119" s="136"/>
      <c r="L119" s="136"/>
      <c r="M119" s="136"/>
      <c r="N119" s="136"/>
      <c r="O119" s="136"/>
      <c r="P119" s="136"/>
      <c r="Q119" s="136"/>
      <c r="R119" s="136"/>
      <c r="S119" s="136"/>
      <c r="T119" s="136"/>
      <c r="U119" s="136"/>
      <c r="V119" s="136"/>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17"/>
      <c r="AY119" s="17"/>
      <c r="AZ119" s="17"/>
      <c r="BA119" s="17"/>
      <c r="BB119" s="17"/>
      <c r="BC119" s="17"/>
      <c r="BD119" s="17"/>
      <c r="BE119" s="17"/>
      <c r="BF119" s="17"/>
      <c r="BG119" s="17"/>
      <c r="BH119" s="17"/>
      <c r="BI119" s="17"/>
      <c r="BJ119" s="17"/>
      <c r="BK119" s="17"/>
      <c r="BL119" s="17"/>
      <c r="BM119" s="17"/>
      <c r="BN119" s="17"/>
      <c r="BO119" s="17"/>
      <c r="BP119" s="17"/>
      <c r="BQ119" s="17"/>
      <c r="BR119" s="17"/>
      <c r="BS119" s="17"/>
      <c r="BT119" s="17"/>
      <c r="BU119" s="17"/>
      <c r="BV119" s="17"/>
      <c r="BW119" s="17"/>
      <c r="BX119" s="17"/>
      <c r="BY119" s="17"/>
      <c r="BZ119" s="17"/>
    </row>
    <row r="120" spans="1:78">
      <c r="A120" s="19"/>
      <c r="B120" s="19"/>
      <c r="C120" s="19"/>
      <c r="D120" s="19"/>
      <c r="E120" s="134"/>
      <c r="F120" s="134"/>
      <c r="G120" s="134"/>
      <c r="H120" s="134"/>
      <c r="I120" s="136"/>
      <c r="J120" s="136"/>
      <c r="K120" s="136"/>
      <c r="L120" s="136"/>
      <c r="M120" s="136"/>
      <c r="N120" s="136"/>
      <c r="O120" s="136"/>
      <c r="P120" s="136"/>
      <c r="Q120" s="136"/>
      <c r="R120" s="136"/>
      <c r="S120" s="136"/>
      <c r="T120" s="136"/>
      <c r="U120" s="136"/>
      <c r="V120" s="136"/>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c r="BR120" s="17"/>
      <c r="BS120" s="17"/>
      <c r="BT120" s="17"/>
      <c r="BU120" s="17"/>
      <c r="BV120" s="17"/>
      <c r="BW120" s="17"/>
      <c r="BX120" s="17"/>
      <c r="BY120" s="17"/>
      <c r="BZ120" s="17"/>
    </row>
    <row r="121" spans="1:78">
      <c r="A121" s="19"/>
      <c r="B121" s="19"/>
      <c r="C121" s="19"/>
      <c r="D121" s="19"/>
      <c r="E121" s="134"/>
      <c r="F121" s="134"/>
      <c r="G121" s="134"/>
      <c r="H121" s="134"/>
      <c r="I121" s="136"/>
      <c r="J121" s="136"/>
      <c r="K121" s="136"/>
      <c r="L121" s="136"/>
      <c r="M121" s="136"/>
      <c r="N121" s="136"/>
      <c r="O121" s="136"/>
      <c r="P121" s="136"/>
      <c r="Q121" s="136"/>
      <c r="R121" s="136"/>
      <c r="S121" s="136"/>
      <c r="T121" s="136"/>
      <c r="U121" s="136"/>
      <c r="V121" s="136"/>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c r="AX121" s="17"/>
      <c r="AY121" s="17"/>
      <c r="AZ121" s="17"/>
      <c r="BA121" s="17"/>
      <c r="BB121" s="17"/>
      <c r="BC121" s="17"/>
      <c r="BD121" s="17"/>
      <c r="BE121" s="17"/>
      <c r="BF121" s="17"/>
      <c r="BG121" s="17"/>
      <c r="BH121" s="17"/>
      <c r="BI121" s="17"/>
      <c r="BJ121" s="17"/>
      <c r="BK121" s="17"/>
      <c r="BL121" s="17"/>
      <c r="BM121" s="17"/>
      <c r="BN121" s="17"/>
      <c r="BO121" s="17"/>
      <c r="BP121" s="17"/>
      <c r="BQ121" s="17"/>
      <c r="BR121" s="17"/>
      <c r="BS121" s="17"/>
      <c r="BT121" s="17"/>
      <c r="BU121" s="17"/>
      <c r="BV121" s="17"/>
      <c r="BW121" s="17"/>
      <c r="BX121" s="17"/>
      <c r="BY121" s="17"/>
      <c r="BZ121" s="17"/>
    </row>
    <row r="122" spans="1:78">
      <c r="A122" s="19"/>
      <c r="B122" s="19"/>
      <c r="C122" s="19"/>
      <c r="D122" s="19"/>
      <c r="E122" s="134"/>
      <c r="F122" s="134"/>
      <c r="G122" s="134"/>
      <c r="H122" s="134"/>
      <c r="I122" s="136"/>
      <c r="J122" s="136"/>
      <c r="K122" s="136"/>
      <c r="L122" s="136"/>
      <c r="M122" s="136"/>
      <c r="N122" s="136"/>
      <c r="O122" s="136"/>
      <c r="P122" s="136"/>
      <c r="Q122" s="136"/>
      <c r="R122" s="136"/>
      <c r="S122" s="136"/>
      <c r="T122" s="136"/>
      <c r="U122" s="136"/>
      <c r="V122" s="136"/>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c r="AX122" s="17"/>
      <c r="AY122" s="17"/>
      <c r="AZ122" s="17"/>
      <c r="BA122" s="17"/>
      <c r="BB122" s="17"/>
      <c r="BC122" s="17"/>
      <c r="BD122" s="17"/>
      <c r="BE122" s="17"/>
      <c r="BF122" s="17"/>
      <c r="BG122" s="17"/>
      <c r="BH122" s="17"/>
      <c r="BI122" s="17"/>
      <c r="BJ122" s="17"/>
      <c r="BK122" s="17"/>
      <c r="BL122" s="17"/>
      <c r="BM122" s="17"/>
      <c r="BN122" s="17"/>
      <c r="BO122" s="17"/>
      <c r="BP122" s="17"/>
      <c r="BQ122" s="17"/>
      <c r="BR122" s="17"/>
      <c r="BS122" s="17"/>
      <c r="BT122" s="17"/>
      <c r="BU122" s="17"/>
      <c r="BV122" s="17"/>
      <c r="BW122" s="17"/>
      <c r="BX122" s="17"/>
      <c r="BY122" s="17"/>
      <c r="BZ122" s="17"/>
    </row>
    <row r="123" spans="1:78">
      <c r="A123" s="19"/>
      <c r="B123" s="19"/>
      <c r="C123" s="19"/>
      <c r="D123" s="19"/>
      <c r="E123" s="134"/>
      <c r="F123" s="134"/>
      <c r="G123" s="134"/>
      <c r="H123" s="134"/>
      <c r="I123" s="136"/>
      <c r="J123" s="136"/>
      <c r="K123" s="136"/>
      <c r="L123" s="136"/>
      <c r="M123" s="136"/>
      <c r="N123" s="136"/>
      <c r="O123" s="136"/>
      <c r="P123" s="136"/>
      <c r="Q123" s="136"/>
      <c r="R123" s="136"/>
      <c r="S123" s="136"/>
      <c r="T123" s="136"/>
      <c r="U123" s="136"/>
      <c r="V123" s="136"/>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c r="AX123" s="17"/>
      <c r="AY123" s="17"/>
      <c r="AZ123" s="17"/>
      <c r="BA123" s="17"/>
      <c r="BB123" s="17"/>
      <c r="BC123" s="17"/>
      <c r="BD123" s="17"/>
      <c r="BE123" s="17"/>
      <c r="BF123" s="17"/>
      <c r="BG123" s="17"/>
      <c r="BH123" s="17"/>
      <c r="BI123" s="17"/>
      <c r="BJ123" s="17"/>
      <c r="BK123" s="17"/>
      <c r="BL123" s="17"/>
      <c r="BM123" s="17"/>
      <c r="BN123" s="17"/>
      <c r="BO123" s="17"/>
      <c r="BP123" s="17"/>
      <c r="BQ123" s="17"/>
      <c r="BR123" s="17"/>
      <c r="BS123" s="17"/>
      <c r="BT123" s="17"/>
      <c r="BU123" s="17"/>
      <c r="BV123" s="17"/>
      <c r="BW123" s="17"/>
      <c r="BX123" s="17"/>
      <c r="BY123" s="17"/>
      <c r="BZ123" s="17"/>
    </row>
    <row r="124" spans="1:78">
      <c r="A124" s="19"/>
      <c r="B124" s="19"/>
      <c r="C124" s="19"/>
      <c r="D124" s="19"/>
      <c r="E124" s="134"/>
      <c r="F124" s="134"/>
      <c r="G124" s="134"/>
      <c r="H124" s="134"/>
      <c r="I124" s="136"/>
      <c r="J124" s="136"/>
      <c r="K124" s="136"/>
      <c r="L124" s="136"/>
      <c r="M124" s="136"/>
      <c r="N124" s="136"/>
      <c r="O124" s="136"/>
      <c r="P124" s="136"/>
      <c r="Q124" s="136"/>
      <c r="R124" s="136"/>
      <c r="S124" s="136"/>
      <c r="T124" s="136"/>
      <c r="U124" s="136"/>
      <c r="V124" s="136"/>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c r="AX124" s="17"/>
      <c r="AY124" s="17"/>
      <c r="AZ124" s="17"/>
      <c r="BA124" s="17"/>
      <c r="BB124" s="17"/>
      <c r="BC124" s="17"/>
      <c r="BD124" s="17"/>
      <c r="BE124" s="17"/>
      <c r="BF124" s="17"/>
      <c r="BG124" s="17"/>
      <c r="BH124" s="17"/>
      <c r="BI124" s="17"/>
      <c r="BJ124" s="17"/>
      <c r="BK124" s="17"/>
      <c r="BL124" s="17"/>
      <c r="BM124" s="17"/>
      <c r="BN124" s="17"/>
      <c r="BO124" s="17"/>
      <c r="BP124" s="17"/>
      <c r="BQ124" s="17"/>
      <c r="BR124" s="17"/>
      <c r="BS124" s="17"/>
      <c r="BT124" s="17"/>
      <c r="BU124" s="17"/>
      <c r="BV124" s="17"/>
      <c r="BW124" s="17"/>
      <c r="BX124" s="17"/>
      <c r="BY124" s="17"/>
      <c r="BZ124" s="17"/>
    </row>
    <row r="125" spans="1:78">
      <c r="A125" s="19"/>
      <c r="B125" s="19"/>
      <c r="C125" s="19"/>
      <c r="D125" s="19"/>
      <c r="E125" s="134"/>
      <c r="F125" s="134"/>
      <c r="G125" s="134"/>
      <c r="H125" s="134"/>
      <c r="I125" s="136"/>
      <c r="J125" s="136"/>
      <c r="K125" s="136"/>
      <c r="L125" s="136"/>
      <c r="M125" s="136"/>
      <c r="N125" s="136"/>
      <c r="O125" s="136"/>
      <c r="P125" s="136"/>
      <c r="Q125" s="136"/>
      <c r="R125" s="136"/>
      <c r="S125" s="136"/>
      <c r="T125" s="136"/>
      <c r="U125" s="136"/>
      <c r="V125" s="136"/>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c r="AX125" s="17"/>
      <c r="AY125" s="17"/>
      <c r="AZ125" s="17"/>
      <c r="BA125" s="17"/>
      <c r="BB125" s="17"/>
      <c r="BC125" s="17"/>
      <c r="BD125" s="17"/>
      <c r="BE125" s="17"/>
      <c r="BF125" s="17"/>
      <c r="BG125" s="17"/>
      <c r="BH125" s="17"/>
      <c r="BI125" s="17"/>
      <c r="BJ125" s="17"/>
      <c r="BK125" s="17"/>
      <c r="BL125" s="17"/>
      <c r="BM125" s="17"/>
      <c r="BN125" s="17"/>
      <c r="BO125" s="17"/>
      <c r="BP125" s="17"/>
      <c r="BQ125" s="17"/>
      <c r="BR125" s="17"/>
      <c r="BS125" s="17"/>
      <c r="BT125" s="17"/>
      <c r="BU125" s="17"/>
      <c r="BV125" s="17"/>
      <c r="BW125" s="17"/>
      <c r="BX125" s="17"/>
      <c r="BY125" s="17"/>
      <c r="BZ125" s="17"/>
    </row>
    <row r="126" spans="1:78">
      <c r="A126" s="19"/>
      <c r="B126" s="19"/>
      <c r="C126" s="19"/>
      <c r="D126" s="19"/>
      <c r="E126" s="134"/>
      <c r="F126" s="134"/>
      <c r="G126" s="134"/>
      <c r="H126" s="134"/>
      <c r="I126" s="136"/>
      <c r="J126" s="136"/>
      <c r="K126" s="136"/>
      <c r="L126" s="136"/>
      <c r="M126" s="136"/>
      <c r="N126" s="136"/>
      <c r="O126" s="136"/>
      <c r="P126" s="136"/>
      <c r="Q126" s="136"/>
      <c r="R126" s="136"/>
      <c r="S126" s="136"/>
      <c r="T126" s="136"/>
      <c r="U126" s="136"/>
      <c r="V126" s="136"/>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c r="AX126" s="17"/>
      <c r="AY126" s="17"/>
      <c r="AZ126" s="17"/>
      <c r="BA126" s="17"/>
      <c r="BB126" s="17"/>
      <c r="BC126" s="17"/>
      <c r="BD126" s="17"/>
      <c r="BE126" s="17"/>
      <c r="BF126" s="17"/>
      <c r="BG126" s="17"/>
      <c r="BH126" s="17"/>
      <c r="BI126" s="17"/>
      <c r="BJ126" s="17"/>
      <c r="BK126" s="17"/>
      <c r="BL126" s="17"/>
      <c r="BM126" s="17"/>
      <c r="BN126" s="17"/>
      <c r="BO126" s="17"/>
      <c r="BP126" s="17"/>
      <c r="BQ126" s="17"/>
      <c r="BR126" s="17"/>
      <c r="BS126" s="17"/>
      <c r="BT126" s="17"/>
      <c r="BU126" s="17"/>
      <c r="BV126" s="17"/>
      <c r="BW126" s="17"/>
      <c r="BX126" s="17"/>
      <c r="BY126" s="17"/>
      <c r="BZ126" s="17"/>
    </row>
    <row r="127" spans="1:78">
      <c r="A127" s="19"/>
      <c r="B127" s="19"/>
      <c r="C127" s="19"/>
      <c r="D127" s="19"/>
      <c r="E127" s="134"/>
      <c r="F127" s="134"/>
      <c r="G127" s="134"/>
      <c r="H127" s="134"/>
      <c r="I127" s="136"/>
      <c r="J127" s="136"/>
      <c r="K127" s="136"/>
      <c r="L127" s="136"/>
      <c r="M127" s="136"/>
      <c r="N127" s="136"/>
      <c r="O127" s="136"/>
      <c r="P127" s="136"/>
      <c r="Q127" s="136"/>
      <c r="R127" s="136"/>
      <c r="S127" s="136"/>
      <c r="T127" s="136"/>
      <c r="U127" s="136"/>
      <c r="V127" s="136"/>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c r="AX127" s="17"/>
      <c r="AY127" s="17"/>
      <c r="AZ127" s="17"/>
      <c r="BA127" s="17"/>
      <c r="BB127" s="17"/>
      <c r="BC127" s="17"/>
      <c r="BD127" s="17"/>
      <c r="BE127" s="17"/>
      <c r="BF127" s="17"/>
      <c r="BG127" s="17"/>
      <c r="BH127" s="17"/>
      <c r="BI127" s="17"/>
      <c r="BJ127" s="17"/>
      <c r="BK127" s="17"/>
      <c r="BL127" s="17"/>
      <c r="BM127" s="17"/>
      <c r="BN127" s="17"/>
      <c r="BO127" s="17"/>
      <c r="BP127" s="17"/>
      <c r="BQ127" s="17"/>
      <c r="BR127" s="17"/>
      <c r="BS127" s="17"/>
      <c r="BT127" s="17"/>
      <c r="BU127" s="17"/>
      <c r="BV127" s="17"/>
      <c r="BW127" s="17"/>
      <c r="BX127" s="17"/>
      <c r="BY127" s="17"/>
      <c r="BZ127" s="17"/>
    </row>
    <row r="128" spans="1:78">
      <c r="A128" s="19"/>
      <c r="B128" s="19"/>
      <c r="C128" s="19"/>
      <c r="D128" s="19"/>
      <c r="E128" s="134"/>
      <c r="F128" s="134"/>
      <c r="G128" s="134"/>
      <c r="H128" s="134"/>
      <c r="I128" s="136"/>
      <c r="J128" s="136"/>
      <c r="K128" s="136"/>
      <c r="L128" s="136"/>
      <c r="M128" s="136"/>
      <c r="N128" s="136"/>
      <c r="O128" s="136"/>
      <c r="P128" s="136"/>
      <c r="Q128" s="136"/>
      <c r="R128" s="136"/>
      <c r="S128" s="136"/>
      <c r="T128" s="136"/>
      <c r="U128" s="136"/>
      <c r="V128" s="136"/>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17"/>
      <c r="AY128" s="17"/>
      <c r="AZ128" s="17"/>
      <c r="BA128" s="17"/>
      <c r="BB128" s="17"/>
      <c r="BC128" s="17"/>
      <c r="BD128" s="17"/>
      <c r="BE128" s="17"/>
      <c r="BF128" s="17"/>
      <c r="BG128" s="17"/>
      <c r="BH128" s="17"/>
      <c r="BI128" s="17"/>
      <c r="BJ128" s="17"/>
      <c r="BK128" s="17"/>
      <c r="BL128" s="17"/>
      <c r="BM128" s="17"/>
      <c r="BN128" s="17"/>
      <c r="BO128" s="17"/>
      <c r="BP128" s="17"/>
      <c r="BQ128" s="17"/>
      <c r="BR128" s="17"/>
      <c r="BS128" s="17"/>
      <c r="BT128" s="17"/>
      <c r="BU128" s="17"/>
      <c r="BV128" s="17"/>
      <c r="BW128" s="17"/>
      <c r="BX128" s="17"/>
      <c r="BY128" s="17"/>
      <c r="BZ128" s="17"/>
    </row>
    <row r="129" spans="1:78">
      <c r="A129" s="19"/>
      <c r="B129" s="19"/>
      <c r="C129" s="19"/>
      <c r="D129" s="19"/>
      <c r="E129" s="134"/>
      <c r="F129" s="134"/>
      <c r="G129" s="134"/>
      <c r="H129" s="134"/>
      <c r="I129" s="136"/>
      <c r="J129" s="136"/>
      <c r="K129" s="136"/>
      <c r="L129" s="136"/>
      <c r="M129" s="136"/>
      <c r="N129" s="136"/>
      <c r="O129" s="136"/>
      <c r="P129" s="136"/>
      <c r="Q129" s="136"/>
      <c r="R129" s="136"/>
      <c r="S129" s="136"/>
      <c r="T129" s="136"/>
      <c r="U129" s="136"/>
      <c r="V129" s="136"/>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c r="AX129" s="17"/>
      <c r="AY129" s="17"/>
      <c r="AZ129" s="17"/>
      <c r="BA129" s="17"/>
      <c r="BB129" s="17"/>
      <c r="BC129" s="17"/>
      <c r="BD129" s="17"/>
      <c r="BE129" s="17"/>
      <c r="BF129" s="17"/>
      <c r="BG129" s="17"/>
      <c r="BH129" s="17"/>
      <c r="BI129" s="17"/>
      <c r="BJ129" s="17"/>
      <c r="BK129" s="17"/>
      <c r="BL129" s="17"/>
      <c r="BM129" s="17"/>
      <c r="BN129" s="17"/>
      <c r="BO129" s="17"/>
      <c r="BP129" s="17"/>
      <c r="BQ129" s="17"/>
      <c r="BR129" s="17"/>
      <c r="BS129" s="17"/>
      <c r="BT129" s="17"/>
      <c r="BU129" s="17"/>
      <c r="BV129" s="17"/>
      <c r="BW129" s="17"/>
      <c r="BX129" s="17"/>
      <c r="BY129" s="17"/>
      <c r="BZ129" s="17"/>
    </row>
    <row r="130" spans="1:78">
      <c r="A130" s="19"/>
      <c r="B130" s="19"/>
      <c r="C130" s="19"/>
      <c r="D130" s="19"/>
      <c r="E130" s="134"/>
      <c r="F130" s="134"/>
      <c r="G130" s="134"/>
      <c r="H130" s="134"/>
      <c r="I130" s="136"/>
      <c r="J130" s="136"/>
      <c r="K130" s="136"/>
      <c r="L130" s="136"/>
      <c r="M130" s="136"/>
      <c r="N130" s="136"/>
      <c r="O130" s="136"/>
      <c r="P130" s="136"/>
      <c r="Q130" s="136"/>
      <c r="R130" s="136"/>
      <c r="S130" s="136"/>
      <c r="T130" s="136"/>
      <c r="U130" s="136"/>
      <c r="V130" s="136"/>
      <c r="W130" s="17"/>
      <c r="X130" s="17"/>
      <c r="Y130" s="17"/>
      <c r="Z130" s="17"/>
      <c r="AA130" s="17"/>
      <c r="AB130" s="17"/>
      <c r="AC130" s="17"/>
      <c r="AD130" s="17"/>
      <c r="AE130" s="17"/>
      <c r="AF130" s="17"/>
      <c r="AG130" s="17"/>
      <c r="AH130" s="17"/>
      <c r="AI130" s="17"/>
      <c r="AJ130" s="17"/>
      <c r="AK130" s="17"/>
      <c r="AL130" s="17"/>
      <c r="AM130" s="17"/>
      <c r="AN130" s="17"/>
      <c r="AO130" s="17"/>
      <c r="AP130" s="17"/>
      <c r="AQ130" s="17"/>
      <c r="AR130" s="17"/>
      <c r="AS130" s="17"/>
      <c r="AT130" s="17"/>
      <c r="AU130" s="17"/>
      <c r="AV130" s="17"/>
      <c r="AW130" s="17"/>
      <c r="AX130" s="17"/>
      <c r="AY130" s="17"/>
      <c r="AZ130" s="17"/>
      <c r="BA130" s="17"/>
      <c r="BB130" s="17"/>
      <c r="BC130" s="17"/>
      <c r="BD130" s="17"/>
      <c r="BE130" s="17"/>
      <c r="BF130" s="17"/>
      <c r="BG130" s="17"/>
      <c r="BH130" s="17"/>
      <c r="BI130" s="17"/>
      <c r="BJ130" s="17"/>
      <c r="BK130" s="17"/>
      <c r="BL130" s="17"/>
      <c r="BM130" s="17"/>
      <c r="BN130" s="17"/>
      <c r="BO130" s="17"/>
      <c r="BP130" s="17"/>
      <c r="BQ130" s="17"/>
      <c r="BR130" s="17"/>
      <c r="BS130" s="17"/>
      <c r="BT130" s="17"/>
      <c r="BU130" s="17"/>
      <c r="BV130" s="17"/>
      <c r="BW130" s="17"/>
      <c r="BX130" s="17"/>
      <c r="BY130" s="17"/>
      <c r="BZ130" s="17"/>
    </row>
    <row r="131" spans="1:78">
      <c r="A131" s="19"/>
      <c r="B131" s="19"/>
      <c r="C131" s="19"/>
      <c r="D131" s="19"/>
      <c r="E131" s="134"/>
      <c r="F131" s="134"/>
      <c r="G131" s="134"/>
      <c r="H131" s="134"/>
      <c r="I131" s="136"/>
      <c r="J131" s="136"/>
      <c r="K131" s="136"/>
      <c r="L131" s="136"/>
      <c r="M131" s="136"/>
      <c r="N131" s="136"/>
      <c r="O131" s="136"/>
      <c r="P131" s="136"/>
      <c r="Q131" s="136"/>
      <c r="R131" s="136"/>
      <c r="S131" s="136"/>
      <c r="T131" s="136"/>
      <c r="U131" s="136"/>
      <c r="V131" s="136"/>
      <c r="W131" s="17"/>
      <c r="X131" s="17"/>
      <c r="Y131" s="17"/>
      <c r="Z131" s="17"/>
      <c r="AA131" s="17"/>
      <c r="AB131" s="17"/>
      <c r="AC131" s="17"/>
      <c r="AD131" s="17"/>
      <c r="AE131" s="17"/>
      <c r="AF131" s="17"/>
      <c r="AG131" s="17"/>
      <c r="AH131" s="17"/>
      <c r="AI131" s="17"/>
      <c r="AJ131" s="17"/>
      <c r="AK131" s="17"/>
      <c r="AL131" s="17"/>
      <c r="AM131" s="17"/>
      <c r="AN131" s="17"/>
      <c r="AO131" s="17"/>
      <c r="AP131" s="17"/>
      <c r="AQ131" s="17"/>
      <c r="AR131" s="17"/>
      <c r="AS131" s="17"/>
      <c r="AT131" s="17"/>
      <c r="AU131" s="17"/>
      <c r="AV131" s="17"/>
      <c r="AW131" s="17"/>
      <c r="AX131" s="17"/>
      <c r="AY131" s="17"/>
      <c r="AZ131" s="17"/>
      <c r="BA131" s="17"/>
      <c r="BB131" s="17"/>
      <c r="BC131" s="17"/>
      <c r="BD131" s="17"/>
      <c r="BE131" s="17"/>
      <c r="BF131" s="17"/>
      <c r="BG131" s="17"/>
      <c r="BH131" s="17"/>
      <c r="BI131" s="17"/>
      <c r="BJ131" s="17"/>
      <c r="BK131" s="17"/>
      <c r="BL131" s="17"/>
      <c r="BM131" s="17"/>
      <c r="BN131" s="17"/>
      <c r="BO131" s="17"/>
      <c r="BP131" s="17"/>
      <c r="BQ131" s="17"/>
      <c r="BR131" s="17"/>
      <c r="BS131" s="17"/>
      <c r="BT131" s="17"/>
      <c r="BU131" s="17"/>
      <c r="BV131" s="17"/>
      <c r="BW131" s="17"/>
      <c r="BX131" s="17"/>
      <c r="BY131" s="17"/>
      <c r="BZ131" s="17"/>
    </row>
    <row r="132" spans="1:78">
      <c r="A132" s="19"/>
      <c r="B132" s="19"/>
      <c r="C132" s="19"/>
      <c r="D132" s="19"/>
      <c r="E132" s="134"/>
      <c r="F132" s="134"/>
      <c r="G132" s="134"/>
      <c r="H132" s="134"/>
      <c r="I132" s="136"/>
      <c r="J132" s="136"/>
      <c r="K132" s="136"/>
      <c r="L132" s="136"/>
      <c r="M132" s="136"/>
      <c r="N132" s="136"/>
      <c r="O132" s="136"/>
      <c r="P132" s="136"/>
      <c r="Q132" s="136"/>
      <c r="R132" s="136"/>
      <c r="S132" s="136"/>
      <c r="T132" s="136"/>
      <c r="U132" s="136"/>
      <c r="V132" s="136"/>
      <c r="W132" s="17"/>
      <c r="X132" s="17"/>
      <c r="Y132" s="17"/>
      <c r="Z132" s="17"/>
      <c r="AA132" s="17"/>
      <c r="AB132" s="17"/>
      <c r="AC132" s="17"/>
      <c r="AD132" s="17"/>
      <c r="AE132" s="17"/>
      <c r="AF132" s="17"/>
      <c r="AG132" s="17"/>
      <c r="AH132" s="17"/>
      <c r="AI132" s="17"/>
      <c r="AJ132" s="17"/>
      <c r="AK132" s="17"/>
      <c r="AL132" s="17"/>
      <c r="AM132" s="17"/>
      <c r="AN132" s="17"/>
      <c r="AO132" s="17"/>
      <c r="AP132" s="17"/>
      <c r="AQ132" s="17"/>
      <c r="AR132" s="17"/>
      <c r="AS132" s="17"/>
      <c r="AT132" s="17"/>
      <c r="AU132" s="17"/>
      <c r="AV132" s="17"/>
      <c r="AW132" s="17"/>
      <c r="AX132" s="17"/>
      <c r="AY132" s="17"/>
      <c r="AZ132" s="17"/>
      <c r="BA132" s="17"/>
      <c r="BB132" s="17"/>
      <c r="BC132" s="17"/>
      <c r="BD132" s="17"/>
      <c r="BE132" s="17"/>
      <c r="BF132" s="17"/>
      <c r="BG132" s="17"/>
      <c r="BH132" s="17"/>
      <c r="BI132" s="17"/>
      <c r="BJ132" s="17"/>
      <c r="BK132" s="17"/>
      <c r="BL132" s="17"/>
      <c r="BM132" s="17"/>
      <c r="BN132" s="17"/>
      <c r="BO132" s="17"/>
      <c r="BP132" s="17"/>
      <c r="BQ132" s="17"/>
      <c r="BR132" s="17"/>
      <c r="BS132" s="17"/>
      <c r="BT132" s="17"/>
      <c r="BU132" s="17"/>
      <c r="BV132" s="17"/>
      <c r="BW132" s="17"/>
      <c r="BX132" s="17"/>
      <c r="BY132" s="17"/>
      <c r="BZ132" s="17"/>
    </row>
    <row r="133" spans="1:78">
      <c r="A133" s="19"/>
      <c r="B133" s="19"/>
      <c r="C133" s="19"/>
      <c r="D133" s="19"/>
      <c r="E133" s="134"/>
      <c r="F133" s="134"/>
      <c r="G133" s="134"/>
      <c r="H133" s="134"/>
      <c r="I133" s="136"/>
      <c r="J133" s="136"/>
      <c r="K133" s="136"/>
      <c r="L133" s="136"/>
      <c r="M133" s="136"/>
      <c r="N133" s="136"/>
      <c r="O133" s="136"/>
      <c r="P133" s="136"/>
      <c r="Q133" s="136"/>
      <c r="R133" s="136"/>
      <c r="S133" s="136"/>
      <c r="T133" s="136"/>
      <c r="U133" s="136"/>
      <c r="V133" s="136"/>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7"/>
      <c r="AS133" s="17"/>
      <c r="AT133" s="17"/>
      <c r="AU133" s="17"/>
      <c r="AV133" s="17"/>
      <c r="AW133" s="17"/>
      <c r="AX133" s="17"/>
      <c r="AY133" s="17"/>
      <c r="AZ133" s="17"/>
      <c r="BA133" s="17"/>
      <c r="BB133" s="17"/>
      <c r="BC133" s="17"/>
      <c r="BD133" s="17"/>
      <c r="BE133" s="17"/>
      <c r="BF133" s="17"/>
      <c r="BG133" s="17"/>
      <c r="BH133" s="17"/>
      <c r="BI133" s="17"/>
      <c r="BJ133" s="17"/>
      <c r="BK133" s="17"/>
      <c r="BL133" s="17"/>
      <c r="BM133" s="17"/>
      <c r="BN133" s="17"/>
      <c r="BO133" s="17"/>
      <c r="BP133" s="17"/>
      <c r="BQ133" s="17"/>
      <c r="BR133" s="17"/>
      <c r="BS133" s="17"/>
      <c r="BT133" s="17"/>
      <c r="BU133" s="17"/>
      <c r="BV133" s="17"/>
      <c r="BW133" s="17"/>
      <c r="BX133" s="17"/>
      <c r="BY133" s="17"/>
      <c r="BZ133" s="17"/>
    </row>
    <row r="134" spans="1:78">
      <c r="A134" s="19"/>
      <c r="B134" s="19"/>
      <c r="C134" s="19"/>
      <c r="D134" s="19"/>
      <c r="E134" s="134"/>
      <c r="F134" s="134"/>
      <c r="G134" s="134"/>
      <c r="H134" s="134"/>
      <c r="I134" s="136"/>
      <c r="J134" s="136"/>
      <c r="K134" s="136"/>
      <c r="L134" s="136"/>
      <c r="M134" s="136"/>
      <c r="N134" s="136"/>
      <c r="O134" s="136"/>
      <c r="P134" s="136"/>
      <c r="Q134" s="136"/>
      <c r="R134" s="136"/>
      <c r="S134" s="136"/>
      <c r="T134" s="136"/>
      <c r="U134" s="136"/>
      <c r="V134" s="136"/>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c r="AT134" s="17"/>
      <c r="AU134" s="17"/>
      <c r="AV134" s="17"/>
      <c r="AW134" s="17"/>
      <c r="AX134" s="17"/>
      <c r="AY134" s="17"/>
      <c r="AZ134" s="17"/>
      <c r="BA134" s="17"/>
      <c r="BB134" s="17"/>
      <c r="BC134" s="17"/>
      <c r="BD134" s="17"/>
      <c r="BE134" s="17"/>
      <c r="BF134" s="17"/>
      <c r="BG134" s="17"/>
      <c r="BH134" s="17"/>
      <c r="BI134" s="17"/>
      <c r="BJ134" s="17"/>
      <c r="BK134" s="17"/>
      <c r="BL134" s="17"/>
      <c r="BM134" s="17"/>
      <c r="BN134" s="17"/>
      <c r="BO134" s="17"/>
      <c r="BP134" s="17"/>
      <c r="BQ134" s="17"/>
      <c r="BR134" s="17"/>
      <c r="BS134" s="17"/>
      <c r="BT134" s="17"/>
      <c r="BU134" s="17"/>
      <c r="BV134" s="17"/>
      <c r="BW134" s="17"/>
      <c r="BX134" s="17"/>
      <c r="BY134" s="17"/>
      <c r="BZ134" s="17"/>
    </row>
    <row r="135" spans="1:78">
      <c r="A135" s="19"/>
      <c r="B135" s="19"/>
      <c r="C135" s="19"/>
      <c r="D135" s="19"/>
      <c r="E135" s="134"/>
      <c r="F135" s="134"/>
      <c r="G135" s="134"/>
      <c r="H135" s="134"/>
      <c r="I135" s="136"/>
      <c r="J135" s="136"/>
      <c r="K135" s="136"/>
      <c r="L135" s="136"/>
      <c r="M135" s="136"/>
      <c r="N135" s="136"/>
      <c r="O135" s="136"/>
      <c r="P135" s="136"/>
      <c r="Q135" s="136"/>
      <c r="R135" s="136"/>
      <c r="S135" s="136"/>
      <c r="T135" s="136"/>
      <c r="U135" s="136"/>
      <c r="V135" s="136"/>
      <c r="W135" s="17"/>
      <c r="X135" s="17"/>
      <c r="Y135" s="17"/>
      <c r="Z135" s="17"/>
      <c r="AA135" s="17"/>
      <c r="AB135" s="17"/>
      <c r="AC135" s="17"/>
      <c r="AD135" s="17"/>
      <c r="AE135" s="17"/>
      <c r="AF135" s="17"/>
      <c r="AG135" s="17"/>
      <c r="AH135" s="17"/>
      <c r="AI135" s="17"/>
      <c r="AJ135" s="17"/>
      <c r="AK135" s="17"/>
      <c r="AL135" s="17"/>
      <c r="AM135" s="17"/>
      <c r="AN135" s="17"/>
      <c r="AO135" s="17"/>
      <c r="AP135" s="17"/>
      <c r="AQ135" s="17"/>
      <c r="AR135" s="17"/>
      <c r="AS135" s="17"/>
      <c r="AT135" s="17"/>
      <c r="AU135" s="17"/>
      <c r="AV135" s="17"/>
      <c r="AW135" s="17"/>
      <c r="AX135" s="17"/>
      <c r="AY135" s="17"/>
      <c r="AZ135" s="17"/>
      <c r="BA135" s="17"/>
      <c r="BB135" s="17"/>
      <c r="BC135" s="17"/>
      <c r="BD135" s="17"/>
      <c r="BE135" s="17"/>
      <c r="BF135" s="17"/>
      <c r="BG135" s="17"/>
      <c r="BH135" s="17"/>
      <c r="BI135" s="17"/>
      <c r="BJ135" s="17"/>
      <c r="BK135" s="17"/>
      <c r="BL135" s="17"/>
      <c r="BM135" s="17"/>
      <c r="BN135" s="17"/>
      <c r="BO135" s="17"/>
      <c r="BP135" s="17"/>
      <c r="BQ135" s="17"/>
      <c r="BR135" s="17"/>
      <c r="BS135" s="17"/>
      <c r="BT135" s="17"/>
      <c r="BU135" s="17"/>
      <c r="BV135" s="17"/>
      <c r="BW135" s="17"/>
      <c r="BX135" s="17"/>
      <c r="BY135" s="17"/>
      <c r="BZ135" s="17"/>
    </row>
    <row r="136" spans="1:78">
      <c r="A136" s="19"/>
      <c r="B136" s="19"/>
      <c r="C136" s="19"/>
      <c r="D136" s="19"/>
      <c r="E136" s="134"/>
      <c r="F136" s="134"/>
      <c r="G136" s="134"/>
      <c r="H136" s="134"/>
      <c r="I136" s="136"/>
      <c r="J136" s="136"/>
      <c r="K136" s="136"/>
      <c r="L136" s="136"/>
      <c r="M136" s="136"/>
      <c r="N136" s="136"/>
      <c r="O136" s="136"/>
      <c r="P136" s="136"/>
      <c r="Q136" s="136"/>
      <c r="R136" s="136"/>
      <c r="S136" s="136"/>
      <c r="T136" s="136"/>
      <c r="U136" s="136"/>
      <c r="V136" s="136"/>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7"/>
      <c r="AS136" s="17"/>
      <c r="AT136" s="17"/>
      <c r="AU136" s="17"/>
      <c r="AV136" s="17"/>
      <c r="AW136" s="17"/>
      <c r="AX136" s="17"/>
      <c r="AY136" s="17"/>
      <c r="AZ136" s="17"/>
      <c r="BA136" s="17"/>
      <c r="BB136" s="17"/>
      <c r="BC136" s="17"/>
      <c r="BD136" s="17"/>
      <c r="BE136" s="17"/>
      <c r="BF136" s="17"/>
      <c r="BG136" s="17"/>
      <c r="BH136" s="17"/>
      <c r="BI136" s="17"/>
      <c r="BJ136" s="17"/>
      <c r="BK136" s="17"/>
      <c r="BL136" s="17"/>
      <c r="BM136" s="17"/>
      <c r="BN136" s="17"/>
      <c r="BO136" s="17"/>
      <c r="BP136" s="17"/>
      <c r="BQ136" s="17"/>
      <c r="BR136" s="17"/>
      <c r="BS136" s="17"/>
      <c r="BT136" s="17"/>
      <c r="BU136" s="17"/>
      <c r="BV136" s="17"/>
      <c r="BW136" s="17"/>
      <c r="BX136" s="17"/>
      <c r="BY136" s="17"/>
      <c r="BZ136" s="17"/>
    </row>
    <row r="137" spans="1:78">
      <c r="A137" s="19"/>
      <c r="B137" s="19"/>
      <c r="C137" s="19"/>
      <c r="D137" s="19"/>
      <c r="E137" s="134"/>
      <c r="F137" s="134"/>
      <c r="G137" s="134"/>
      <c r="H137" s="134"/>
      <c r="I137" s="136"/>
      <c r="J137" s="136"/>
      <c r="K137" s="136"/>
      <c r="L137" s="136"/>
      <c r="M137" s="136"/>
      <c r="N137" s="136"/>
      <c r="O137" s="136"/>
      <c r="P137" s="136"/>
      <c r="Q137" s="136"/>
      <c r="R137" s="136"/>
      <c r="S137" s="136"/>
      <c r="T137" s="136"/>
      <c r="U137" s="136"/>
      <c r="V137" s="136"/>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7"/>
      <c r="AS137" s="17"/>
      <c r="AT137" s="17"/>
      <c r="AU137" s="17"/>
      <c r="AV137" s="17"/>
      <c r="AW137" s="17"/>
      <c r="AX137" s="17"/>
      <c r="AY137" s="17"/>
      <c r="AZ137" s="17"/>
      <c r="BA137" s="17"/>
      <c r="BB137" s="17"/>
      <c r="BC137" s="17"/>
      <c r="BD137" s="17"/>
      <c r="BE137" s="17"/>
      <c r="BF137" s="17"/>
      <c r="BG137" s="17"/>
      <c r="BH137" s="17"/>
      <c r="BI137" s="17"/>
      <c r="BJ137" s="17"/>
      <c r="BK137" s="17"/>
      <c r="BL137" s="17"/>
      <c r="BM137" s="17"/>
      <c r="BN137" s="17"/>
      <c r="BO137" s="17"/>
      <c r="BP137" s="17"/>
      <c r="BQ137" s="17"/>
      <c r="BR137" s="17"/>
      <c r="BS137" s="17"/>
      <c r="BT137" s="17"/>
      <c r="BU137" s="17"/>
      <c r="BV137" s="17"/>
      <c r="BW137" s="17"/>
      <c r="BX137" s="17"/>
      <c r="BY137" s="17"/>
      <c r="BZ137" s="17"/>
    </row>
    <row r="138" spans="1:78">
      <c r="A138" s="19"/>
      <c r="B138" s="19"/>
      <c r="C138" s="19"/>
      <c r="D138" s="19"/>
      <c r="E138" s="134"/>
      <c r="F138" s="134"/>
      <c r="G138" s="134"/>
      <c r="H138" s="134"/>
      <c r="I138" s="136"/>
      <c r="J138" s="136"/>
      <c r="K138" s="136"/>
      <c r="L138" s="136"/>
      <c r="M138" s="136"/>
      <c r="N138" s="136"/>
      <c r="O138" s="136"/>
      <c r="P138" s="136"/>
      <c r="Q138" s="136"/>
      <c r="R138" s="136"/>
      <c r="S138" s="136"/>
      <c r="T138" s="136"/>
      <c r="U138" s="136"/>
      <c r="V138" s="136"/>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c r="AT138" s="17"/>
      <c r="AU138" s="17"/>
      <c r="AV138" s="17"/>
      <c r="AW138" s="17"/>
      <c r="AX138" s="17"/>
      <c r="AY138" s="17"/>
      <c r="AZ138" s="17"/>
      <c r="BA138" s="17"/>
      <c r="BB138" s="17"/>
      <c r="BC138" s="17"/>
      <c r="BD138" s="17"/>
      <c r="BE138" s="17"/>
      <c r="BF138" s="17"/>
      <c r="BG138" s="17"/>
      <c r="BH138" s="17"/>
      <c r="BI138" s="17"/>
      <c r="BJ138" s="17"/>
      <c r="BK138" s="17"/>
      <c r="BL138" s="17"/>
      <c r="BM138" s="17"/>
      <c r="BN138" s="17"/>
      <c r="BO138" s="17"/>
      <c r="BP138" s="17"/>
      <c r="BQ138" s="17"/>
      <c r="BR138" s="17"/>
      <c r="BS138" s="17"/>
      <c r="BT138" s="17"/>
      <c r="BU138" s="17"/>
      <c r="BV138" s="17"/>
      <c r="BW138" s="17"/>
      <c r="BX138" s="17"/>
      <c r="BY138" s="17"/>
      <c r="BZ138" s="17"/>
    </row>
    <row r="139" spans="1:78">
      <c r="A139" s="19"/>
      <c r="B139" s="19"/>
      <c r="C139" s="19"/>
      <c r="D139" s="19"/>
      <c r="E139" s="134"/>
      <c r="F139" s="134"/>
      <c r="G139" s="134"/>
      <c r="H139" s="134"/>
      <c r="I139" s="136"/>
      <c r="J139" s="136"/>
      <c r="K139" s="136"/>
      <c r="L139" s="136"/>
      <c r="M139" s="136"/>
      <c r="N139" s="136"/>
      <c r="O139" s="136"/>
      <c r="P139" s="136"/>
      <c r="Q139" s="136"/>
      <c r="R139" s="136"/>
      <c r="S139" s="136"/>
      <c r="T139" s="136"/>
      <c r="U139" s="136"/>
      <c r="V139" s="136"/>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c r="AT139" s="17"/>
      <c r="AU139" s="17"/>
      <c r="AV139" s="17"/>
      <c r="AW139" s="17"/>
      <c r="AX139" s="17"/>
      <c r="AY139" s="17"/>
      <c r="AZ139" s="17"/>
      <c r="BA139" s="17"/>
      <c r="BB139" s="17"/>
      <c r="BC139" s="17"/>
      <c r="BD139" s="17"/>
      <c r="BE139" s="17"/>
      <c r="BF139" s="17"/>
      <c r="BG139" s="17"/>
      <c r="BH139" s="17"/>
      <c r="BI139" s="17"/>
      <c r="BJ139" s="17"/>
      <c r="BK139" s="17"/>
      <c r="BL139" s="17"/>
      <c r="BM139" s="17"/>
      <c r="BN139" s="17"/>
      <c r="BO139" s="17"/>
      <c r="BP139" s="17"/>
      <c r="BQ139" s="17"/>
      <c r="BR139" s="17"/>
      <c r="BS139" s="17"/>
      <c r="BT139" s="17"/>
      <c r="BU139" s="17"/>
      <c r="BV139" s="17"/>
      <c r="BW139" s="17"/>
      <c r="BX139" s="17"/>
      <c r="BY139" s="17"/>
      <c r="BZ139" s="17"/>
    </row>
    <row r="140" spans="1:78">
      <c r="A140" s="19"/>
      <c r="B140" s="19"/>
      <c r="C140" s="19"/>
      <c r="D140" s="19"/>
      <c r="E140" s="134"/>
      <c r="F140" s="134"/>
      <c r="G140" s="134"/>
      <c r="H140" s="134"/>
      <c r="I140" s="136"/>
      <c r="J140" s="136"/>
      <c r="K140" s="136"/>
      <c r="L140" s="136"/>
      <c r="M140" s="136"/>
      <c r="N140" s="136"/>
      <c r="O140" s="136"/>
      <c r="P140" s="136"/>
      <c r="Q140" s="136"/>
      <c r="R140" s="136"/>
      <c r="S140" s="136"/>
      <c r="T140" s="136"/>
      <c r="U140" s="136"/>
      <c r="V140" s="136"/>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c r="AT140" s="17"/>
      <c r="AU140" s="17"/>
      <c r="AV140" s="17"/>
      <c r="AW140" s="17"/>
      <c r="AX140" s="17"/>
      <c r="AY140" s="17"/>
      <c r="AZ140" s="17"/>
      <c r="BA140" s="17"/>
      <c r="BB140" s="17"/>
      <c r="BC140" s="17"/>
      <c r="BD140" s="17"/>
      <c r="BE140" s="17"/>
      <c r="BF140" s="17"/>
      <c r="BG140" s="17"/>
      <c r="BH140" s="17"/>
      <c r="BI140" s="17"/>
      <c r="BJ140" s="17"/>
      <c r="BK140" s="17"/>
      <c r="BL140" s="17"/>
      <c r="BM140" s="17"/>
      <c r="BN140" s="17"/>
      <c r="BO140" s="17"/>
      <c r="BP140" s="17"/>
      <c r="BQ140" s="17"/>
      <c r="BR140" s="17"/>
      <c r="BS140" s="17"/>
      <c r="BT140" s="17"/>
      <c r="BU140" s="17"/>
      <c r="BV140" s="17"/>
      <c r="BW140" s="17"/>
      <c r="BX140" s="17"/>
      <c r="BY140" s="17"/>
      <c r="BZ140" s="17"/>
    </row>
    <row r="141" spans="1:78">
      <c r="A141" s="19"/>
      <c r="B141" s="19"/>
      <c r="C141" s="19"/>
      <c r="D141" s="19"/>
      <c r="E141" s="134"/>
      <c r="F141" s="134"/>
      <c r="G141" s="134"/>
      <c r="H141" s="134"/>
      <c r="I141" s="136"/>
      <c r="J141" s="136"/>
      <c r="K141" s="136"/>
      <c r="L141" s="136"/>
      <c r="M141" s="136"/>
      <c r="N141" s="136"/>
      <c r="O141" s="136"/>
      <c r="P141" s="136"/>
      <c r="Q141" s="136"/>
      <c r="R141" s="136"/>
      <c r="S141" s="136"/>
      <c r="T141" s="136"/>
      <c r="U141" s="136"/>
      <c r="V141" s="136"/>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c r="AT141" s="17"/>
      <c r="AU141" s="17"/>
      <c r="AV141" s="17"/>
      <c r="AW141" s="17"/>
      <c r="AX141" s="17"/>
      <c r="AY141" s="17"/>
      <c r="AZ141" s="17"/>
      <c r="BA141" s="17"/>
      <c r="BB141" s="17"/>
      <c r="BC141" s="17"/>
      <c r="BD141" s="17"/>
      <c r="BE141" s="17"/>
      <c r="BF141" s="17"/>
      <c r="BG141" s="17"/>
      <c r="BH141" s="17"/>
      <c r="BI141" s="17"/>
      <c r="BJ141" s="17"/>
      <c r="BK141" s="17"/>
      <c r="BL141" s="17"/>
      <c r="BM141" s="17"/>
      <c r="BN141" s="17"/>
      <c r="BO141" s="17"/>
      <c r="BP141" s="17"/>
      <c r="BQ141" s="17"/>
      <c r="BR141" s="17"/>
      <c r="BS141" s="17"/>
      <c r="BT141" s="17"/>
      <c r="BU141" s="17"/>
      <c r="BV141" s="17"/>
      <c r="BW141" s="17"/>
      <c r="BX141" s="17"/>
      <c r="BY141" s="17"/>
      <c r="BZ141" s="17"/>
    </row>
    <row r="142" spans="1:78">
      <c r="A142" s="19"/>
      <c r="B142" s="19"/>
      <c r="C142" s="19"/>
      <c r="D142" s="19"/>
      <c r="E142" s="134"/>
      <c r="F142" s="134"/>
      <c r="G142" s="134"/>
      <c r="H142" s="134"/>
      <c r="I142" s="136"/>
      <c r="J142" s="136"/>
      <c r="K142" s="136"/>
      <c r="L142" s="136"/>
      <c r="M142" s="136"/>
      <c r="N142" s="136"/>
      <c r="O142" s="136"/>
      <c r="P142" s="136"/>
      <c r="Q142" s="136"/>
      <c r="R142" s="136"/>
      <c r="S142" s="136"/>
      <c r="T142" s="136"/>
      <c r="U142" s="136"/>
      <c r="V142" s="136"/>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7"/>
      <c r="AS142" s="17"/>
      <c r="AT142" s="17"/>
      <c r="AU142" s="17"/>
      <c r="AV142" s="17"/>
      <c r="AW142" s="17"/>
      <c r="AX142" s="17"/>
      <c r="AY142" s="17"/>
      <c r="AZ142" s="17"/>
      <c r="BA142" s="17"/>
      <c r="BB142" s="17"/>
      <c r="BC142" s="17"/>
      <c r="BD142" s="17"/>
      <c r="BE142" s="17"/>
      <c r="BF142" s="17"/>
      <c r="BG142" s="17"/>
      <c r="BH142" s="17"/>
      <c r="BI142" s="17"/>
      <c r="BJ142" s="17"/>
      <c r="BK142" s="17"/>
      <c r="BL142" s="17"/>
      <c r="BM142" s="17"/>
      <c r="BN142" s="17"/>
      <c r="BO142" s="17"/>
      <c r="BP142" s="17"/>
      <c r="BQ142" s="17"/>
      <c r="BR142" s="17"/>
      <c r="BS142" s="17"/>
      <c r="BT142" s="17"/>
      <c r="BU142" s="17"/>
      <c r="BV142" s="17"/>
      <c r="BW142" s="17"/>
      <c r="BX142" s="17"/>
      <c r="BY142" s="17"/>
      <c r="BZ142" s="17"/>
    </row>
    <row r="143" spans="1:78">
      <c r="A143" s="19"/>
      <c r="B143" s="19"/>
      <c r="C143" s="19"/>
      <c r="D143" s="19"/>
      <c r="E143" s="134"/>
      <c r="F143" s="134"/>
      <c r="G143" s="134"/>
      <c r="H143" s="134"/>
      <c r="I143" s="136"/>
      <c r="J143" s="136"/>
      <c r="K143" s="136"/>
      <c r="L143" s="136"/>
      <c r="M143" s="136"/>
      <c r="N143" s="136"/>
      <c r="O143" s="136"/>
      <c r="P143" s="136"/>
      <c r="Q143" s="136"/>
      <c r="R143" s="136"/>
      <c r="S143" s="136"/>
      <c r="T143" s="136"/>
      <c r="U143" s="136"/>
      <c r="V143" s="136"/>
      <c r="W143" s="17"/>
      <c r="X143" s="17"/>
      <c r="Y143" s="17"/>
      <c r="Z143" s="17"/>
      <c r="AA143" s="17"/>
      <c r="AB143" s="17"/>
      <c r="AC143" s="17"/>
      <c r="AD143" s="17"/>
      <c r="AE143" s="17"/>
      <c r="AF143" s="17"/>
      <c r="AG143" s="17"/>
      <c r="AH143" s="17"/>
      <c r="AI143" s="17"/>
      <c r="AJ143" s="17"/>
      <c r="AK143" s="17"/>
      <c r="AL143" s="17"/>
      <c r="AM143" s="17"/>
      <c r="AN143" s="17"/>
      <c r="AO143" s="17"/>
      <c r="AP143" s="17"/>
      <c r="AQ143" s="17"/>
      <c r="AR143" s="17"/>
      <c r="AS143" s="17"/>
      <c r="AT143" s="17"/>
      <c r="AU143" s="17"/>
      <c r="AV143" s="17"/>
      <c r="AW143" s="17"/>
      <c r="AX143" s="17"/>
      <c r="AY143" s="17"/>
      <c r="AZ143" s="17"/>
      <c r="BA143" s="17"/>
      <c r="BB143" s="17"/>
      <c r="BC143" s="17"/>
      <c r="BD143" s="17"/>
      <c r="BE143" s="17"/>
      <c r="BF143" s="17"/>
      <c r="BG143" s="17"/>
      <c r="BH143" s="17"/>
      <c r="BI143" s="17"/>
      <c r="BJ143" s="17"/>
      <c r="BK143" s="17"/>
      <c r="BL143" s="17"/>
      <c r="BM143" s="17"/>
      <c r="BN143" s="17"/>
      <c r="BO143" s="17"/>
      <c r="BP143" s="17"/>
      <c r="BQ143" s="17"/>
      <c r="BR143" s="17"/>
      <c r="BS143" s="17"/>
      <c r="BT143" s="17"/>
      <c r="BU143" s="17"/>
      <c r="BV143" s="17"/>
      <c r="BW143" s="17"/>
      <c r="BX143" s="17"/>
      <c r="BY143" s="17"/>
      <c r="BZ143" s="17"/>
    </row>
    <row r="144" spans="1:78">
      <c r="A144" s="19"/>
      <c r="B144" s="19"/>
      <c r="C144" s="19"/>
      <c r="D144" s="19"/>
      <c r="E144" s="134"/>
      <c r="F144" s="134"/>
      <c r="G144" s="134"/>
      <c r="H144" s="134"/>
      <c r="I144" s="136"/>
      <c r="J144" s="136"/>
      <c r="K144" s="136"/>
      <c r="L144" s="136"/>
      <c r="M144" s="136"/>
      <c r="N144" s="136"/>
      <c r="O144" s="136"/>
      <c r="P144" s="136"/>
      <c r="Q144" s="136"/>
      <c r="R144" s="136"/>
      <c r="S144" s="136"/>
      <c r="T144" s="136"/>
      <c r="U144" s="136"/>
      <c r="V144" s="136"/>
      <c r="W144" s="17"/>
      <c r="X144" s="17"/>
      <c r="Y144" s="17"/>
      <c r="Z144" s="17"/>
      <c r="AA144" s="17"/>
      <c r="AB144" s="17"/>
      <c r="AC144" s="17"/>
      <c r="AD144" s="17"/>
      <c r="AE144" s="17"/>
      <c r="AF144" s="17"/>
      <c r="AG144" s="17"/>
      <c r="AH144" s="17"/>
      <c r="AI144" s="17"/>
      <c r="AJ144" s="17"/>
      <c r="AK144" s="17"/>
      <c r="AL144" s="17"/>
      <c r="AM144" s="17"/>
      <c r="AN144" s="17"/>
      <c r="AO144" s="17"/>
      <c r="AP144" s="17"/>
      <c r="AQ144" s="17"/>
      <c r="AR144" s="17"/>
      <c r="AS144" s="17"/>
      <c r="AT144" s="17"/>
      <c r="AU144" s="17"/>
      <c r="AV144" s="17"/>
      <c r="AW144" s="17"/>
      <c r="AX144" s="17"/>
      <c r="AY144" s="17"/>
      <c r="AZ144" s="17"/>
      <c r="BA144" s="17"/>
      <c r="BB144" s="17"/>
      <c r="BC144" s="17"/>
      <c r="BD144" s="17"/>
      <c r="BE144" s="17"/>
      <c r="BF144" s="17"/>
      <c r="BG144" s="17"/>
      <c r="BH144" s="17"/>
      <c r="BI144" s="17"/>
      <c r="BJ144" s="17"/>
      <c r="BK144" s="17"/>
      <c r="BL144" s="17"/>
      <c r="BM144" s="17"/>
      <c r="BN144" s="17"/>
      <c r="BO144" s="17"/>
      <c r="BP144" s="17"/>
      <c r="BQ144" s="17"/>
      <c r="BR144" s="17"/>
      <c r="BS144" s="17"/>
      <c r="BT144" s="17"/>
      <c r="BU144" s="17"/>
      <c r="BV144" s="17"/>
      <c r="BW144" s="17"/>
      <c r="BX144" s="17"/>
      <c r="BY144" s="17"/>
      <c r="BZ144" s="17"/>
    </row>
    <row r="145" spans="1:78">
      <c r="A145" s="19"/>
      <c r="B145" s="19"/>
      <c r="C145" s="19"/>
      <c r="D145" s="19"/>
      <c r="E145" s="134"/>
      <c r="F145" s="134"/>
      <c r="G145" s="134"/>
      <c r="H145" s="134"/>
      <c r="I145" s="136"/>
      <c r="J145" s="136"/>
      <c r="K145" s="136"/>
      <c r="L145" s="136"/>
      <c r="M145" s="136"/>
      <c r="N145" s="136"/>
      <c r="O145" s="136"/>
      <c r="P145" s="136"/>
      <c r="Q145" s="136"/>
      <c r="R145" s="136"/>
      <c r="S145" s="136"/>
      <c r="T145" s="136"/>
      <c r="U145" s="136"/>
      <c r="V145" s="136"/>
      <c r="W145" s="17"/>
      <c r="X145" s="17"/>
      <c r="Y145" s="17"/>
      <c r="Z145" s="17"/>
      <c r="AA145" s="17"/>
      <c r="AB145" s="17"/>
      <c r="AC145" s="17"/>
      <c r="AD145" s="17"/>
      <c r="AE145" s="17"/>
      <c r="AF145" s="17"/>
      <c r="AG145" s="17"/>
      <c r="AH145" s="17"/>
      <c r="AI145" s="17"/>
      <c r="AJ145" s="17"/>
      <c r="AK145" s="17"/>
      <c r="AL145" s="17"/>
      <c r="AM145" s="17"/>
      <c r="AN145" s="17"/>
      <c r="AO145" s="17"/>
      <c r="AP145" s="17"/>
      <c r="AQ145" s="17"/>
      <c r="AR145" s="17"/>
      <c r="AS145" s="17"/>
      <c r="AT145" s="17"/>
      <c r="AU145" s="17"/>
      <c r="AV145" s="17"/>
      <c r="AW145" s="17"/>
      <c r="AX145" s="17"/>
      <c r="AY145" s="17"/>
      <c r="AZ145" s="17"/>
      <c r="BA145" s="17"/>
      <c r="BB145" s="17"/>
      <c r="BC145" s="17"/>
      <c r="BD145" s="17"/>
      <c r="BE145" s="17"/>
      <c r="BF145" s="17"/>
      <c r="BG145" s="17"/>
      <c r="BH145" s="17"/>
      <c r="BI145" s="17"/>
      <c r="BJ145" s="17"/>
      <c r="BK145" s="17"/>
      <c r="BL145" s="17"/>
      <c r="BM145" s="17"/>
      <c r="BN145" s="17"/>
      <c r="BO145" s="17"/>
      <c r="BP145" s="17"/>
      <c r="BQ145" s="17"/>
      <c r="BR145" s="17"/>
      <c r="BS145" s="17"/>
      <c r="BT145" s="17"/>
      <c r="BU145" s="17"/>
      <c r="BV145" s="17"/>
      <c r="BW145" s="17"/>
      <c r="BX145" s="17"/>
      <c r="BY145" s="17"/>
      <c r="BZ145" s="17"/>
    </row>
    <row r="146" spans="1:78">
      <c r="A146" s="19"/>
      <c r="B146" s="19"/>
      <c r="C146" s="19"/>
      <c r="D146" s="19"/>
      <c r="E146" s="134"/>
      <c r="F146" s="134"/>
      <c r="G146" s="134"/>
      <c r="H146" s="134"/>
      <c r="I146" s="136"/>
      <c r="J146" s="136"/>
      <c r="K146" s="136"/>
      <c r="L146" s="136"/>
      <c r="M146" s="136"/>
      <c r="N146" s="136"/>
      <c r="O146" s="136"/>
      <c r="P146" s="136"/>
      <c r="Q146" s="136"/>
      <c r="R146" s="136"/>
      <c r="S146" s="136"/>
      <c r="T146" s="136"/>
      <c r="U146" s="136"/>
      <c r="V146" s="136"/>
      <c r="W146" s="17"/>
      <c r="X146" s="17"/>
      <c r="Y146" s="17"/>
      <c r="Z146" s="17"/>
      <c r="AA146" s="17"/>
      <c r="AB146" s="17"/>
      <c r="AC146" s="17"/>
      <c r="AD146" s="17"/>
      <c r="AE146" s="17"/>
      <c r="AF146" s="17"/>
      <c r="AG146" s="17"/>
      <c r="AH146" s="17"/>
      <c r="AI146" s="17"/>
      <c r="AJ146" s="17"/>
      <c r="AK146" s="17"/>
      <c r="AL146" s="17"/>
      <c r="AM146" s="17"/>
      <c r="AN146" s="17"/>
      <c r="AO146" s="17"/>
      <c r="AP146" s="17"/>
      <c r="AQ146" s="17"/>
      <c r="AR146" s="17"/>
      <c r="AS146" s="17"/>
      <c r="AT146" s="17"/>
      <c r="AU146" s="17"/>
      <c r="AV146" s="17"/>
      <c r="AW146" s="17"/>
      <c r="AX146" s="17"/>
      <c r="AY146" s="17"/>
      <c r="AZ146" s="17"/>
      <c r="BA146" s="17"/>
      <c r="BB146" s="17"/>
      <c r="BC146" s="17"/>
      <c r="BD146" s="17"/>
      <c r="BE146" s="17"/>
      <c r="BF146" s="17"/>
      <c r="BG146" s="17"/>
      <c r="BH146" s="17"/>
      <c r="BI146" s="17"/>
      <c r="BJ146" s="17"/>
      <c r="BK146" s="17"/>
      <c r="BL146" s="17"/>
      <c r="BM146" s="17"/>
      <c r="BN146" s="17"/>
      <c r="BO146" s="17"/>
      <c r="BP146" s="17"/>
      <c r="BQ146" s="17"/>
      <c r="BR146" s="17"/>
      <c r="BS146" s="17"/>
      <c r="BT146" s="17"/>
      <c r="BU146" s="17"/>
      <c r="BV146" s="17"/>
      <c r="BW146" s="17"/>
      <c r="BX146" s="17"/>
      <c r="BY146" s="17"/>
      <c r="BZ146" s="17"/>
    </row>
    <row r="147" spans="1:78">
      <c r="A147" s="19"/>
      <c r="B147" s="19"/>
      <c r="C147" s="19"/>
      <c r="D147" s="19"/>
      <c r="E147" s="134"/>
      <c r="F147" s="134"/>
      <c r="G147" s="134"/>
      <c r="H147" s="134"/>
      <c r="I147" s="136"/>
      <c r="J147" s="136"/>
      <c r="K147" s="136"/>
      <c r="L147" s="136"/>
      <c r="M147" s="136"/>
      <c r="N147" s="136"/>
      <c r="O147" s="136"/>
      <c r="P147" s="136"/>
      <c r="Q147" s="136"/>
      <c r="R147" s="136"/>
      <c r="S147" s="136"/>
      <c r="T147" s="136"/>
      <c r="U147" s="136"/>
      <c r="V147" s="136"/>
      <c r="W147" s="17"/>
      <c r="X147" s="17"/>
      <c r="Y147" s="17"/>
      <c r="Z147" s="17"/>
      <c r="AA147" s="17"/>
      <c r="AB147" s="17"/>
      <c r="AC147" s="17"/>
      <c r="AD147" s="17"/>
      <c r="AE147" s="17"/>
      <c r="AF147" s="17"/>
      <c r="AG147" s="17"/>
      <c r="AH147" s="17"/>
      <c r="AI147" s="17"/>
      <c r="AJ147" s="17"/>
      <c r="AK147" s="17"/>
      <c r="AL147" s="17"/>
      <c r="AM147" s="17"/>
      <c r="AN147" s="17"/>
      <c r="AO147" s="17"/>
      <c r="AP147" s="17"/>
      <c r="AQ147" s="17"/>
      <c r="AR147" s="17"/>
      <c r="AS147" s="17"/>
      <c r="AT147" s="17"/>
      <c r="AU147" s="17"/>
      <c r="AV147" s="17"/>
      <c r="AW147" s="17"/>
      <c r="AX147" s="17"/>
      <c r="AY147" s="17"/>
      <c r="AZ147" s="17"/>
      <c r="BA147" s="17"/>
      <c r="BB147" s="17"/>
      <c r="BC147" s="17"/>
      <c r="BD147" s="17"/>
      <c r="BE147" s="17"/>
      <c r="BF147" s="17"/>
      <c r="BG147" s="17"/>
      <c r="BH147" s="17"/>
      <c r="BI147" s="17"/>
      <c r="BJ147" s="17"/>
      <c r="BK147" s="17"/>
      <c r="BL147" s="17"/>
      <c r="BM147" s="17"/>
      <c r="BN147" s="17"/>
      <c r="BO147" s="17"/>
      <c r="BP147" s="17"/>
      <c r="BQ147" s="17"/>
      <c r="BR147" s="17"/>
      <c r="BS147" s="17"/>
      <c r="BT147" s="17"/>
      <c r="BU147" s="17"/>
      <c r="BV147" s="17"/>
      <c r="BW147" s="17"/>
      <c r="BX147" s="17"/>
      <c r="BY147" s="17"/>
      <c r="BZ147" s="17"/>
    </row>
    <row r="148" spans="1:78">
      <c r="A148" s="19"/>
      <c r="B148" s="19"/>
      <c r="C148" s="19"/>
      <c r="D148" s="19"/>
      <c r="E148" s="134"/>
      <c r="F148" s="134"/>
      <c r="G148" s="134"/>
      <c r="H148" s="134"/>
      <c r="I148" s="136"/>
      <c r="J148" s="136"/>
      <c r="K148" s="136"/>
      <c r="L148" s="136"/>
      <c r="M148" s="136"/>
      <c r="N148" s="136"/>
      <c r="O148" s="136"/>
      <c r="P148" s="136"/>
      <c r="Q148" s="136"/>
      <c r="R148" s="136"/>
      <c r="S148" s="136"/>
      <c r="T148" s="136"/>
      <c r="U148" s="136"/>
      <c r="V148" s="136"/>
      <c r="W148" s="17"/>
      <c r="X148" s="17"/>
      <c r="Y148" s="17"/>
      <c r="Z148" s="17"/>
      <c r="AA148" s="17"/>
      <c r="AB148" s="17"/>
      <c r="AC148" s="17"/>
      <c r="AD148" s="17"/>
      <c r="AE148" s="17"/>
      <c r="AF148" s="17"/>
      <c r="AG148" s="17"/>
      <c r="AH148" s="17"/>
      <c r="AI148" s="17"/>
      <c r="AJ148" s="17"/>
      <c r="AK148" s="17"/>
      <c r="AL148" s="17"/>
      <c r="AM148" s="17"/>
      <c r="AN148" s="17"/>
      <c r="AO148" s="17"/>
      <c r="AP148" s="17"/>
      <c r="AQ148" s="17"/>
      <c r="AR148" s="17"/>
      <c r="AS148" s="17"/>
      <c r="AT148" s="17"/>
      <c r="AU148" s="17"/>
      <c r="AV148" s="17"/>
      <c r="AW148" s="17"/>
      <c r="AX148" s="17"/>
      <c r="AY148" s="17"/>
      <c r="AZ148" s="17"/>
      <c r="BA148" s="17"/>
      <c r="BB148" s="17"/>
      <c r="BC148" s="17"/>
      <c r="BD148" s="17"/>
      <c r="BE148" s="17"/>
      <c r="BF148" s="17"/>
      <c r="BG148" s="17"/>
      <c r="BH148" s="17"/>
      <c r="BI148" s="17"/>
      <c r="BJ148" s="17"/>
      <c r="BK148" s="17"/>
      <c r="BL148" s="17"/>
      <c r="BM148" s="17"/>
      <c r="BN148" s="17"/>
      <c r="BO148" s="17"/>
      <c r="BP148" s="17"/>
      <c r="BQ148" s="17"/>
      <c r="BR148" s="17"/>
      <c r="BS148" s="17"/>
      <c r="BT148" s="17"/>
      <c r="BU148" s="17"/>
      <c r="BV148" s="17"/>
      <c r="BW148" s="17"/>
      <c r="BX148" s="17"/>
      <c r="BY148" s="17"/>
      <c r="BZ148" s="17"/>
    </row>
    <row r="149" spans="1:78">
      <c r="A149" s="19"/>
      <c r="B149" s="19"/>
      <c r="C149" s="19"/>
      <c r="D149" s="19"/>
      <c r="E149" s="134"/>
      <c r="F149" s="134"/>
      <c r="G149" s="134"/>
      <c r="H149" s="134"/>
      <c r="I149" s="136"/>
      <c r="J149" s="136"/>
      <c r="K149" s="136"/>
      <c r="L149" s="136"/>
      <c r="M149" s="136"/>
      <c r="N149" s="136"/>
      <c r="O149" s="136"/>
      <c r="P149" s="136"/>
      <c r="Q149" s="136"/>
      <c r="R149" s="136"/>
      <c r="S149" s="136"/>
      <c r="T149" s="136"/>
      <c r="U149" s="136"/>
      <c r="V149" s="136"/>
      <c r="W149" s="17"/>
      <c r="X149" s="17"/>
      <c r="Y149" s="17"/>
      <c r="Z149" s="17"/>
      <c r="AA149" s="17"/>
      <c r="AB149" s="17"/>
      <c r="AC149" s="17"/>
      <c r="AD149" s="17"/>
      <c r="AE149" s="17"/>
      <c r="AF149" s="17"/>
      <c r="AG149" s="17"/>
      <c r="AH149" s="17"/>
      <c r="AI149" s="17"/>
      <c r="AJ149" s="17"/>
      <c r="AK149" s="17"/>
      <c r="AL149" s="17"/>
      <c r="AM149" s="17"/>
      <c r="AN149" s="17"/>
      <c r="AO149" s="17"/>
      <c r="AP149" s="17"/>
      <c r="AQ149" s="17"/>
      <c r="AR149" s="17"/>
      <c r="AS149" s="17"/>
      <c r="AT149" s="17"/>
      <c r="AU149" s="17"/>
      <c r="AV149" s="17"/>
      <c r="AW149" s="17"/>
      <c r="AX149" s="17"/>
      <c r="AY149" s="17"/>
      <c r="AZ149" s="17"/>
      <c r="BA149" s="17"/>
      <c r="BB149" s="17"/>
      <c r="BC149" s="17"/>
      <c r="BD149" s="17"/>
      <c r="BE149" s="17"/>
      <c r="BF149" s="17"/>
      <c r="BG149" s="17"/>
      <c r="BH149" s="17"/>
      <c r="BI149" s="17"/>
      <c r="BJ149" s="17"/>
      <c r="BK149" s="17"/>
      <c r="BL149" s="17"/>
      <c r="BM149" s="17"/>
      <c r="BN149" s="17"/>
      <c r="BO149" s="17"/>
      <c r="BP149" s="17"/>
      <c r="BQ149" s="17"/>
      <c r="BR149" s="17"/>
      <c r="BS149" s="17"/>
      <c r="BT149" s="17"/>
      <c r="BU149" s="17"/>
      <c r="BV149" s="17"/>
      <c r="BW149" s="17"/>
      <c r="BX149" s="17"/>
      <c r="BY149" s="17"/>
      <c r="BZ149" s="17"/>
    </row>
    <row r="150" spans="1:78">
      <c r="A150" s="19"/>
      <c r="B150" s="19"/>
      <c r="C150" s="19"/>
      <c r="D150" s="19"/>
      <c r="E150" s="134"/>
      <c r="F150" s="134"/>
      <c r="G150" s="134"/>
      <c r="H150" s="134"/>
      <c r="I150" s="136"/>
      <c r="J150" s="136"/>
      <c r="K150" s="136"/>
      <c r="L150" s="136"/>
      <c r="M150" s="136"/>
      <c r="N150" s="136"/>
      <c r="O150" s="136"/>
      <c r="P150" s="136"/>
      <c r="Q150" s="136"/>
      <c r="R150" s="136"/>
      <c r="S150" s="136"/>
      <c r="T150" s="136"/>
      <c r="U150" s="136"/>
      <c r="V150" s="136"/>
      <c r="W150" s="17"/>
      <c r="X150" s="17"/>
      <c r="Y150" s="17"/>
      <c r="Z150" s="17"/>
      <c r="AA150" s="17"/>
      <c r="AB150" s="17"/>
      <c r="AC150" s="17"/>
      <c r="AD150" s="17"/>
      <c r="AE150" s="17"/>
      <c r="AF150" s="17"/>
      <c r="AG150" s="17"/>
      <c r="AH150" s="17"/>
      <c r="AI150" s="17"/>
      <c r="AJ150" s="17"/>
      <c r="AK150" s="17"/>
      <c r="AL150" s="17"/>
      <c r="AM150" s="17"/>
      <c r="AN150" s="17"/>
      <c r="AO150" s="17"/>
      <c r="AP150" s="17"/>
      <c r="AQ150" s="17"/>
      <c r="AR150" s="17"/>
      <c r="AS150" s="17"/>
      <c r="AT150" s="17"/>
      <c r="AU150" s="17"/>
      <c r="AV150" s="17"/>
      <c r="AW150" s="17"/>
      <c r="AX150" s="17"/>
      <c r="AY150" s="17"/>
      <c r="AZ150" s="17"/>
      <c r="BA150" s="17"/>
      <c r="BB150" s="17"/>
      <c r="BC150" s="17"/>
      <c r="BD150" s="17"/>
      <c r="BE150" s="17"/>
      <c r="BF150" s="17"/>
      <c r="BG150" s="17"/>
      <c r="BH150" s="17"/>
      <c r="BI150" s="17"/>
      <c r="BJ150" s="17"/>
      <c r="BK150" s="17"/>
      <c r="BL150" s="17"/>
      <c r="BM150" s="17"/>
      <c r="BN150" s="17"/>
      <c r="BO150" s="17"/>
      <c r="BP150" s="17"/>
      <c r="BQ150" s="17"/>
      <c r="BR150" s="17"/>
      <c r="BS150" s="17"/>
      <c r="BT150" s="17"/>
      <c r="BU150" s="17"/>
      <c r="BV150" s="17"/>
      <c r="BW150" s="17"/>
      <c r="BX150" s="17"/>
      <c r="BY150" s="17"/>
      <c r="BZ150" s="17"/>
    </row>
    <row r="151" spans="1:78">
      <c r="A151" s="19"/>
      <c r="B151" s="19"/>
      <c r="C151" s="19"/>
      <c r="D151" s="19"/>
      <c r="E151" s="134"/>
      <c r="F151" s="134"/>
      <c r="G151" s="134"/>
      <c r="H151" s="134"/>
      <c r="I151" s="136"/>
      <c r="J151" s="136"/>
      <c r="K151" s="136"/>
      <c r="L151" s="136"/>
      <c r="M151" s="136"/>
      <c r="N151" s="136"/>
      <c r="O151" s="136"/>
      <c r="P151" s="136"/>
      <c r="Q151" s="136"/>
      <c r="R151" s="136"/>
      <c r="S151" s="136"/>
      <c r="T151" s="136"/>
      <c r="U151" s="136"/>
      <c r="V151" s="136"/>
      <c r="W151" s="17"/>
      <c r="X151" s="17"/>
      <c r="Y151" s="17"/>
      <c r="Z151" s="17"/>
      <c r="AA151" s="17"/>
      <c r="AB151" s="17"/>
      <c r="AC151" s="17"/>
      <c r="AD151" s="17"/>
      <c r="AE151" s="17"/>
      <c r="AF151" s="17"/>
      <c r="AG151" s="17"/>
      <c r="AH151" s="17"/>
      <c r="AI151" s="17"/>
      <c r="AJ151" s="17"/>
      <c r="AK151" s="17"/>
      <c r="AL151" s="17"/>
      <c r="AM151" s="17"/>
      <c r="AN151" s="17"/>
      <c r="AO151" s="17"/>
      <c r="AP151" s="17"/>
      <c r="AQ151" s="17"/>
      <c r="AR151" s="17"/>
      <c r="AS151" s="17"/>
      <c r="AT151" s="17"/>
      <c r="AU151" s="17"/>
      <c r="AV151" s="17"/>
      <c r="AW151" s="17"/>
      <c r="AX151" s="17"/>
      <c r="AY151" s="17"/>
      <c r="AZ151" s="17"/>
      <c r="BA151" s="17"/>
      <c r="BB151" s="17"/>
      <c r="BC151" s="17"/>
      <c r="BD151" s="17"/>
      <c r="BE151" s="17"/>
      <c r="BF151" s="17"/>
      <c r="BG151" s="17"/>
      <c r="BH151" s="17"/>
      <c r="BI151" s="17"/>
      <c r="BJ151" s="17"/>
      <c r="BK151" s="17"/>
      <c r="BL151" s="17"/>
      <c r="BM151" s="17"/>
      <c r="BN151" s="17"/>
      <c r="BO151" s="17"/>
      <c r="BP151" s="17"/>
      <c r="BQ151" s="17"/>
      <c r="BR151" s="17"/>
      <c r="BS151" s="17"/>
      <c r="BT151" s="17"/>
      <c r="BU151" s="17"/>
      <c r="BV151" s="17"/>
      <c r="BW151" s="17"/>
      <c r="BX151" s="17"/>
      <c r="BY151" s="17"/>
      <c r="BZ151" s="17"/>
    </row>
    <row r="152" spans="1:78">
      <c r="A152" s="19"/>
      <c r="B152" s="19"/>
      <c r="C152" s="19"/>
      <c r="D152" s="19"/>
      <c r="E152" s="134"/>
      <c r="F152" s="134"/>
      <c r="G152" s="134"/>
      <c r="H152" s="134"/>
      <c r="I152" s="136"/>
      <c r="J152" s="136"/>
      <c r="K152" s="136"/>
      <c r="L152" s="136"/>
      <c r="M152" s="136"/>
      <c r="N152" s="136"/>
      <c r="O152" s="136"/>
      <c r="P152" s="136"/>
      <c r="Q152" s="136"/>
      <c r="R152" s="136"/>
      <c r="S152" s="136"/>
      <c r="T152" s="136"/>
      <c r="U152" s="136"/>
      <c r="V152" s="136"/>
      <c r="W152" s="17"/>
      <c r="X152" s="17"/>
      <c r="Y152" s="17"/>
      <c r="Z152" s="17"/>
      <c r="AA152" s="17"/>
      <c r="AB152" s="17"/>
      <c r="AC152" s="17"/>
      <c r="AD152" s="17"/>
      <c r="AE152" s="17"/>
      <c r="AF152" s="17"/>
      <c r="AG152" s="17"/>
      <c r="AH152" s="17"/>
      <c r="AI152" s="17"/>
      <c r="AJ152" s="17"/>
      <c r="AK152" s="17"/>
      <c r="AL152" s="17"/>
      <c r="AM152" s="17"/>
      <c r="AN152" s="17"/>
      <c r="AO152" s="17"/>
      <c r="AP152" s="17"/>
      <c r="AQ152" s="17"/>
      <c r="AR152" s="17"/>
      <c r="AS152" s="17"/>
      <c r="AT152" s="17"/>
      <c r="AU152" s="17"/>
      <c r="AV152" s="17"/>
      <c r="AW152" s="17"/>
      <c r="AX152" s="17"/>
      <c r="AY152" s="17"/>
      <c r="AZ152" s="17"/>
      <c r="BA152" s="17"/>
      <c r="BB152" s="17"/>
      <c r="BC152" s="17"/>
      <c r="BD152" s="17"/>
      <c r="BE152" s="17"/>
      <c r="BF152" s="17"/>
      <c r="BG152" s="17"/>
      <c r="BH152" s="17"/>
      <c r="BI152" s="17"/>
      <c r="BJ152" s="17"/>
      <c r="BK152" s="17"/>
      <c r="BL152" s="17"/>
      <c r="BM152" s="17"/>
      <c r="BN152" s="17"/>
      <c r="BO152" s="17"/>
      <c r="BP152" s="17"/>
      <c r="BQ152" s="17"/>
      <c r="BR152" s="17"/>
      <c r="BS152" s="17"/>
      <c r="BT152" s="17"/>
      <c r="BU152" s="17"/>
      <c r="BV152" s="17"/>
      <c r="BW152" s="17"/>
      <c r="BX152" s="17"/>
      <c r="BY152" s="17"/>
      <c r="BZ152" s="17"/>
    </row>
    <row r="153" spans="1:78">
      <c r="A153" s="19"/>
      <c r="B153" s="19"/>
      <c r="C153" s="19"/>
      <c r="D153" s="19"/>
      <c r="E153" s="134"/>
      <c r="F153" s="134"/>
      <c r="G153" s="134"/>
      <c r="H153" s="134"/>
      <c r="I153" s="136"/>
      <c r="J153" s="136"/>
      <c r="K153" s="136"/>
      <c r="L153" s="136"/>
      <c r="M153" s="136"/>
      <c r="N153" s="136"/>
      <c r="O153" s="136"/>
      <c r="P153" s="136"/>
      <c r="Q153" s="136"/>
      <c r="R153" s="136"/>
      <c r="S153" s="136"/>
      <c r="T153" s="136"/>
      <c r="U153" s="136"/>
      <c r="V153" s="136"/>
      <c r="W153" s="17"/>
      <c r="X153" s="17"/>
      <c r="Y153" s="17"/>
      <c r="Z153" s="17"/>
      <c r="AA153" s="17"/>
      <c r="AB153" s="17"/>
      <c r="AC153" s="17"/>
      <c r="AD153" s="17"/>
      <c r="AE153" s="17"/>
      <c r="AF153" s="17"/>
      <c r="AG153" s="17"/>
      <c r="AH153" s="17"/>
      <c r="AI153" s="17"/>
      <c r="AJ153" s="17"/>
      <c r="AK153" s="17"/>
      <c r="AL153" s="17"/>
      <c r="AM153" s="17"/>
      <c r="AN153" s="17"/>
      <c r="AO153" s="17"/>
      <c r="AP153" s="17"/>
      <c r="AQ153" s="17"/>
      <c r="AR153" s="17"/>
      <c r="AS153" s="17"/>
      <c r="AT153" s="17"/>
      <c r="AU153" s="17"/>
      <c r="AV153" s="17"/>
      <c r="AW153" s="17"/>
      <c r="AX153" s="17"/>
      <c r="AY153" s="17"/>
      <c r="AZ153" s="17"/>
      <c r="BA153" s="17"/>
      <c r="BB153" s="17"/>
      <c r="BC153" s="17"/>
      <c r="BD153" s="17"/>
      <c r="BE153" s="17"/>
      <c r="BF153" s="17"/>
      <c r="BG153" s="17"/>
      <c r="BH153" s="17"/>
      <c r="BI153" s="17"/>
      <c r="BJ153" s="17"/>
      <c r="BK153" s="17"/>
      <c r="BL153" s="17"/>
      <c r="BM153" s="17"/>
      <c r="BN153" s="17"/>
      <c r="BO153" s="17"/>
      <c r="BP153" s="17"/>
      <c r="BQ153" s="17"/>
      <c r="BR153" s="17"/>
      <c r="BS153" s="17"/>
      <c r="BT153" s="17"/>
      <c r="BU153" s="17"/>
      <c r="BV153" s="17"/>
      <c r="BW153" s="17"/>
      <c r="BX153" s="17"/>
      <c r="BY153" s="17"/>
      <c r="BZ153" s="17"/>
    </row>
    <row r="154" spans="1:78">
      <c r="A154" s="19"/>
      <c r="B154" s="19"/>
      <c r="C154" s="19"/>
      <c r="D154" s="19"/>
      <c r="E154" s="134"/>
      <c r="F154" s="134"/>
      <c r="G154" s="134"/>
      <c r="H154" s="134"/>
      <c r="I154" s="136"/>
      <c r="J154" s="136"/>
      <c r="K154" s="136"/>
      <c r="L154" s="136"/>
      <c r="M154" s="136"/>
      <c r="N154" s="136"/>
      <c r="O154" s="136"/>
      <c r="P154" s="136"/>
      <c r="Q154" s="136"/>
      <c r="R154" s="136"/>
      <c r="S154" s="136"/>
      <c r="T154" s="136"/>
      <c r="U154" s="136"/>
      <c r="V154" s="136"/>
      <c r="W154" s="17"/>
      <c r="X154" s="17"/>
      <c r="Y154" s="17"/>
      <c r="Z154" s="17"/>
      <c r="AA154" s="17"/>
      <c r="AB154" s="17"/>
      <c r="AC154" s="17"/>
      <c r="AD154" s="17"/>
      <c r="AE154" s="17"/>
      <c r="AF154" s="17"/>
      <c r="AG154" s="17"/>
      <c r="AH154" s="17"/>
      <c r="AI154" s="17"/>
      <c r="AJ154" s="17"/>
      <c r="AK154" s="17"/>
      <c r="AL154" s="17"/>
      <c r="AM154" s="17"/>
      <c r="AN154" s="17"/>
      <c r="AO154" s="17"/>
      <c r="AP154" s="17"/>
      <c r="AQ154" s="17"/>
      <c r="AR154" s="17"/>
      <c r="AS154" s="17"/>
      <c r="AT154" s="17"/>
      <c r="AU154" s="17"/>
      <c r="AV154" s="17"/>
      <c r="AW154" s="17"/>
      <c r="AX154" s="17"/>
      <c r="AY154" s="17"/>
      <c r="AZ154" s="17"/>
      <c r="BA154" s="17"/>
      <c r="BB154" s="17"/>
      <c r="BC154" s="17"/>
      <c r="BD154" s="17"/>
      <c r="BE154" s="17"/>
      <c r="BF154" s="17"/>
      <c r="BG154" s="17"/>
      <c r="BH154" s="17"/>
      <c r="BI154" s="17"/>
      <c r="BJ154" s="17"/>
      <c r="BK154" s="17"/>
      <c r="BL154" s="17"/>
      <c r="BM154" s="17"/>
      <c r="BN154" s="17"/>
      <c r="BO154" s="17"/>
      <c r="BP154" s="17"/>
      <c r="BQ154" s="17"/>
      <c r="BR154" s="17"/>
      <c r="BS154" s="17"/>
      <c r="BT154" s="17"/>
      <c r="BU154" s="17"/>
      <c r="BV154" s="17"/>
      <c r="BW154" s="17"/>
      <c r="BX154" s="17"/>
      <c r="BY154" s="17"/>
      <c r="BZ154" s="17"/>
    </row>
    <row r="155" spans="1:78">
      <c r="A155" s="19"/>
      <c r="B155" s="19"/>
      <c r="C155" s="19"/>
      <c r="D155" s="19"/>
      <c r="E155" s="134"/>
      <c r="F155" s="134"/>
      <c r="G155" s="134"/>
      <c r="H155" s="134"/>
      <c r="I155" s="136"/>
      <c r="J155" s="136"/>
      <c r="K155" s="136"/>
      <c r="L155" s="136"/>
      <c r="M155" s="136"/>
      <c r="N155" s="136"/>
      <c r="O155" s="136"/>
      <c r="P155" s="136"/>
      <c r="Q155" s="136"/>
      <c r="R155" s="136"/>
      <c r="S155" s="136"/>
      <c r="T155" s="136"/>
      <c r="U155" s="136"/>
      <c r="V155" s="136"/>
      <c r="W155" s="17"/>
      <c r="X155" s="17"/>
      <c r="Y155" s="17"/>
      <c r="Z155" s="17"/>
      <c r="AA155" s="17"/>
      <c r="AB155" s="17"/>
      <c r="AC155" s="17"/>
      <c r="AD155" s="17"/>
      <c r="AE155" s="17"/>
      <c r="AF155" s="17"/>
      <c r="AG155" s="17"/>
      <c r="AH155" s="17"/>
      <c r="AI155" s="17"/>
      <c r="AJ155" s="17"/>
      <c r="AK155" s="17"/>
      <c r="AL155" s="17"/>
      <c r="AM155" s="17"/>
      <c r="AN155" s="17"/>
      <c r="AO155" s="17"/>
      <c r="AP155" s="17"/>
      <c r="AQ155" s="17"/>
      <c r="AR155" s="17"/>
      <c r="AS155" s="17"/>
      <c r="AT155" s="17"/>
      <c r="AU155" s="17"/>
      <c r="AV155" s="17"/>
      <c r="AW155" s="17"/>
      <c r="AX155" s="17"/>
      <c r="AY155" s="17"/>
      <c r="AZ155" s="17"/>
      <c r="BA155" s="17"/>
      <c r="BB155" s="17"/>
      <c r="BC155" s="17"/>
      <c r="BD155" s="17"/>
      <c r="BE155" s="17"/>
      <c r="BF155" s="17"/>
      <c r="BG155" s="17"/>
      <c r="BH155" s="17"/>
      <c r="BI155" s="17"/>
      <c r="BJ155" s="17"/>
      <c r="BK155" s="17"/>
      <c r="BL155" s="17"/>
      <c r="BM155" s="17"/>
      <c r="BN155" s="17"/>
      <c r="BO155" s="17"/>
      <c r="BP155" s="17"/>
      <c r="BQ155" s="17"/>
      <c r="BR155" s="17"/>
      <c r="BS155" s="17"/>
      <c r="BT155" s="17"/>
      <c r="BU155" s="17"/>
      <c r="BV155" s="17"/>
      <c r="BW155" s="17"/>
      <c r="BX155" s="17"/>
      <c r="BY155" s="17"/>
      <c r="BZ155" s="17"/>
    </row>
    <row r="156" spans="1:78">
      <c r="A156" s="19"/>
      <c r="B156" s="19"/>
      <c r="C156" s="19"/>
      <c r="D156" s="19"/>
      <c r="E156" s="134"/>
      <c r="F156" s="134"/>
      <c r="G156" s="134"/>
      <c r="H156" s="134"/>
      <c r="I156" s="136"/>
      <c r="J156" s="136"/>
      <c r="K156" s="136"/>
      <c r="L156" s="136"/>
      <c r="M156" s="136"/>
      <c r="N156" s="136"/>
      <c r="O156" s="136"/>
      <c r="P156" s="136"/>
      <c r="Q156" s="136"/>
      <c r="R156" s="136"/>
      <c r="S156" s="136"/>
      <c r="T156" s="136"/>
      <c r="U156" s="136"/>
      <c r="V156" s="136"/>
      <c r="W156" s="17"/>
      <c r="X156" s="17"/>
      <c r="Y156" s="17"/>
      <c r="Z156" s="17"/>
      <c r="AA156" s="17"/>
      <c r="AB156" s="17"/>
      <c r="AC156" s="17"/>
      <c r="AD156" s="17"/>
      <c r="AE156" s="17"/>
      <c r="AF156" s="17"/>
      <c r="AG156" s="17"/>
      <c r="AH156" s="17"/>
      <c r="AI156" s="17"/>
      <c r="AJ156" s="17"/>
      <c r="AK156" s="17"/>
      <c r="AL156" s="17"/>
      <c r="AM156" s="17"/>
      <c r="AN156" s="17"/>
      <c r="AO156" s="17"/>
      <c r="AP156" s="17"/>
      <c r="AQ156" s="17"/>
      <c r="AR156" s="17"/>
      <c r="AS156" s="17"/>
      <c r="AT156" s="17"/>
      <c r="AU156" s="17"/>
      <c r="AV156" s="17"/>
      <c r="AW156" s="17"/>
      <c r="AX156" s="17"/>
      <c r="AY156" s="17"/>
      <c r="AZ156" s="17"/>
      <c r="BA156" s="17"/>
      <c r="BB156" s="17"/>
      <c r="BC156" s="17"/>
      <c r="BD156" s="17"/>
      <c r="BE156" s="17"/>
      <c r="BF156" s="17"/>
      <c r="BG156" s="17"/>
      <c r="BH156" s="17"/>
      <c r="BI156" s="17"/>
      <c r="BJ156" s="17"/>
      <c r="BK156" s="17"/>
      <c r="BL156" s="17"/>
      <c r="BM156" s="17"/>
      <c r="BN156" s="17"/>
      <c r="BO156" s="17"/>
      <c r="BP156" s="17"/>
      <c r="BQ156" s="17"/>
      <c r="BR156" s="17"/>
      <c r="BS156" s="17"/>
      <c r="BT156" s="17"/>
      <c r="BU156" s="17"/>
      <c r="BV156" s="17"/>
      <c r="BW156" s="17"/>
      <c r="BX156" s="17"/>
      <c r="BY156" s="17"/>
      <c r="BZ156" s="17"/>
    </row>
    <row r="157" spans="1:78">
      <c r="A157" s="19"/>
      <c r="B157" s="19"/>
      <c r="C157" s="19"/>
      <c r="D157" s="19"/>
      <c r="E157" s="134"/>
      <c r="F157" s="134"/>
      <c r="G157" s="134"/>
      <c r="H157" s="134"/>
      <c r="I157" s="136"/>
      <c r="J157" s="136"/>
      <c r="K157" s="136"/>
      <c r="L157" s="136"/>
      <c r="M157" s="136"/>
      <c r="N157" s="136"/>
      <c r="O157" s="136"/>
      <c r="P157" s="136"/>
      <c r="Q157" s="136"/>
      <c r="R157" s="136"/>
      <c r="S157" s="136"/>
      <c r="T157" s="136"/>
      <c r="U157" s="136"/>
      <c r="V157" s="136"/>
      <c r="W157" s="17"/>
      <c r="X157" s="17"/>
      <c r="Y157" s="17"/>
      <c r="Z157" s="17"/>
      <c r="AA157" s="17"/>
      <c r="AB157" s="17"/>
      <c r="AC157" s="17"/>
      <c r="AD157" s="17"/>
      <c r="AE157" s="17"/>
      <c r="AF157" s="17"/>
      <c r="AG157" s="17"/>
      <c r="AH157" s="17"/>
      <c r="AI157" s="17"/>
      <c r="AJ157" s="17"/>
      <c r="AK157" s="17"/>
      <c r="AL157" s="17"/>
      <c r="AM157" s="17"/>
      <c r="AN157" s="17"/>
      <c r="AO157" s="17"/>
      <c r="AP157" s="17"/>
      <c r="AQ157" s="17"/>
      <c r="AR157" s="17"/>
      <c r="AS157" s="17"/>
      <c r="AT157" s="17"/>
      <c r="AU157" s="17"/>
      <c r="AV157" s="17"/>
      <c r="AW157" s="17"/>
      <c r="AX157" s="17"/>
      <c r="AY157" s="17"/>
      <c r="AZ157" s="17"/>
      <c r="BA157" s="17"/>
      <c r="BB157" s="17"/>
      <c r="BC157" s="17"/>
      <c r="BD157" s="17"/>
      <c r="BE157" s="17"/>
      <c r="BF157" s="17"/>
      <c r="BG157" s="17"/>
      <c r="BH157" s="17"/>
      <c r="BI157" s="17"/>
      <c r="BJ157" s="17"/>
      <c r="BK157" s="17"/>
      <c r="BL157" s="17"/>
      <c r="BM157" s="17"/>
      <c r="BN157" s="17"/>
      <c r="BO157" s="17"/>
      <c r="BP157" s="17"/>
      <c r="BQ157" s="17"/>
      <c r="BR157" s="17"/>
      <c r="BS157" s="17"/>
      <c r="BT157" s="17"/>
      <c r="BU157" s="17"/>
      <c r="BV157" s="17"/>
      <c r="BW157" s="17"/>
      <c r="BX157" s="17"/>
      <c r="BY157" s="17"/>
      <c r="BZ157" s="17"/>
    </row>
    <row r="158" spans="1:78">
      <c r="A158" s="19"/>
      <c r="B158" s="19"/>
      <c r="C158" s="19"/>
      <c r="D158" s="19"/>
      <c r="E158" s="134"/>
      <c r="F158" s="134"/>
      <c r="G158" s="134"/>
      <c r="H158" s="134"/>
      <c r="I158" s="136"/>
      <c r="J158" s="136"/>
      <c r="K158" s="136"/>
      <c r="L158" s="136"/>
      <c r="M158" s="136"/>
      <c r="N158" s="136"/>
      <c r="O158" s="136"/>
      <c r="P158" s="136"/>
      <c r="Q158" s="136"/>
      <c r="R158" s="136"/>
      <c r="S158" s="136"/>
      <c r="T158" s="136"/>
      <c r="U158" s="136"/>
      <c r="V158" s="136"/>
      <c r="W158" s="17"/>
      <c r="X158" s="17"/>
      <c r="Y158" s="17"/>
      <c r="Z158" s="17"/>
      <c r="AA158" s="17"/>
      <c r="AB158" s="17"/>
      <c r="AC158" s="17"/>
      <c r="AD158" s="17"/>
      <c r="AE158" s="17"/>
      <c r="AF158" s="17"/>
      <c r="AG158" s="17"/>
      <c r="AH158" s="17"/>
      <c r="AI158" s="17"/>
      <c r="AJ158" s="17"/>
      <c r="AK158" s="17"/>
      <c r="AL158" s="17"/>
      <c r="AM158" s="17"/>
      <c r="AN158" s="17"/>
      <c r="AO158" s="17"/>
      <c r="AP158" s="17"/>
      <c r="AQ158" s="17"/>
      <c r="AR158" s="17"/>
      <c r="AS158" s="17"/>
      <c r="AT158" s="17"/>
      <c r="AU158" s="17"/>
      <c r="AV158" s="17"/>
      <c r="AW158" s="17"/>
      <c r="AX158" s="17"/>
      <c r="AY158" s="17"/>
      <c r="AZ158" s="17"/>
      <c r="BA158" s="17"/>
      <c r="BB158" s="17"/>
      <c r="BC158" s="17"/>
      <c r="BD158" s="17"/>
      <c r="BE158" s="17"/>
      <c r="BF158" s="17"/>
      <c r="BG158" s="17"/>
      <c r="BH158" s="17"/>
      <c r="BI158" s="17"/>
      <c r="BJ158" s="17"/>
      <c r="BK158" s="17"/>
      <c r="BL158" s="17"/>
      <c r="BM158" s="17"/>
      <c r="BN158" s="17"/>
      <c r="BO158" s="17"/>
      <c r="BP158" s="17"/>
      <c r="BQ158" s="17"/>
      <c r="BR158" s="17"/>
      <c r="BS158" s="17"/>
      <c r="BT158" s="17"/>
      <c r="BU158" s="17"/>
      <c r="BV158" s="17"/>
      <c r="BW158" s="17"/>
      <c r="BX158" s="17"/>
      <c r="BY158" s="17"/>
      <c r="BZ158" s="17"/>
    </row>
    <row r="159" spans="1:78">
      <c r="A159" s="19"/>
      <c r="B159" s="19"/>
      <c r="C159" s="19"/>
      <c r="D159" s="19"/>
      <c r="E159" s="134"/>
      <c r="F159" s="134"/>
      <c r="G159" s="134"/>
      <c r="H159" s="134"/>
      <c r="I159" s="136"/>
      <c r="J159" s="136"/>
      <c r="K159" s="136"/>
      <c r="L159" s="136"/>
      <c r="M159" s="136"/>
      <c r="N159" s="136"/>
      <c r="O159" s="136"/>
      <c r="P159" s="136"/>
      <c r="Q159" s="136"/>
      <c r="R159" s="136"/>
      <c r="S159" s="136"/>
      <c r="T159" s="136"/>
      <c r="U159" s="136"/>
      <c r="V159" s="136"/>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7"/>
      <c r="AY159" s="17"/>
      <c r="AZ159" s="17"/>
      <c r="BA159" s="17"/>
      <c r="BB159" s="17"/>
      <c r="BC159" s="17"/>
      <c r="BD159" s="17"/>
      <c r="BE159" s="17"/>
      <c r="BF159" s="17"/>
      <c r="BG159" s="17"/>
      <c r="BH159" s="17"/>
      <c r="BI159" s="17"/>
      <c r="BJ159" s="17"/>
      <c r="BK159" s="17"/>
      <c r="BL159" s="17"/>
      <c r="BM159" s="17"/>
      <c r="BN159" s="17"/>
      <c r="BO159" s="17"/>
      <c r="BP159" s="17"/>
      <c r="BQ159" s="17"/>
      <c r="BR159" s="17"/>
      <c r="BS159" s="17"/>
      <c r="BT159" s="17"/>
      <c r="BU159" s="17"/>
      <c r="BV159" s="17"/>
      <c r="BW159" s="17"/>
      <c r="BX159" s="17"/>
      <c r="BY159" s="17"/>
      <c r="BZ159" s="17"/>
    </row>
    <row r="160" spans="1:78">
      <c r="A160" s="19"/>
      <c r="B160" s="19"/>
      <c r="C160" s="19"/>
      <c r="D160" s="19"/>
      <c r="E160" s="134"/>
      <c r="F160" s="134"/>
      <c r="G160" s="134"/>
      <c r="H160" s="134"/>
      <c r="I160" s="136"/>
      <c r="J160" s="136"/>
      <c r="K160" s="136"/>
      <c r="L160" s="136"/>
      <c r="M160" s="136"/>
      <c r="N160" s="136"/>
      <c r="O160" s="136"/>
      <c r="P160" s="136"/>
      <c r="Q160" s="136"/>
      <c r="R160" s="136"/>
      <c r="S160" s="136"/>
      <c r="T160" s="136"/>
      <c r="U160" s="136"/>
      <c r="V160" s="136"/>
      <c r="W160" s="17"/>
      <c r="X160" s="17"/>
      <c r="Y160" s="17"/>
      <c r="Z160" s="17"/>
      <c r="AA160" s="17"/>
      <c r="AB160" s="17"/>
      <c r="AC160" s="17"/>
      <c r="AD160" s="17"/>
      <c r="AE160" s="17"/>
      <c r="AF160" s="17"/>
      <c r="AG160" s="17"/>
      <c r="AH160" s="17"/>
      <c r="AI160" s="17"/>
      <c r="AJ160" s="17"/>
      <c r="AK160" s="17"/>
      <c r="AL160" s="17"/>
      <c r="AM160" s="17"/>
      <c r="AN160" s="17"/>
      <c r="AO160" s="17"/>
      <c r="AP160" s="17"/>
      <c r="AQ160" s="17"/>
      <c r="AR160" s="17"/>
      <c r="AS160" s="17"/>
      <c r="AT160" s="17"/>
      <c r="AU160" s="17"/>
      <c r="AV160" s="17"/>
      <c r="AW160" s="17"/>
      <c r="AX160" s="17"/>
      <c r="AY160" s="17"/>
      <c r="AZ160" s="17"/>
      <c r="BA160" s="17"/>
      <c r="BB160" s="17"/>
      <c r="BC160" s="17"/>
      <c r="BD160" s="17"/>
      <c r="BE160" s="17"/>
      <c r="BF160" s="17"/>
      <c r="BG160" s="17"/>
      <c r="BH160" s="17"/>
      <c r="BI160" s="17"/>
      <c r="BJ160" s="17"/>
      <c r="BK160" s="17"/>
      <c r="BL160" s="17"/>
      <c r="BM160" s="17"/>
      <c r="BN160" s="17"/>
      <c r="BO160" s="17"/>
      <c r="BP160" s="17"/>
      <c r="BQ160" s="17"/>
      <c r="BR160" s="17"/>
      <c r="BS160" s="17"/>
      <c r="BT160" s="17"/>
      <c r="BU160" s="17"/>
      <c r="BV160" s="17"/>
      <c r="BW160" s="17"/>
      <c r="BX160" s="17"/>
      <c r="BY160" s="17"/>
      <c r="BZ160" s="17"/>
    </row>
    <row r="161" spans="1:78">
      <c r="A161" s="19"/>
      <c r="B161" s="19"/>
      <c r="C161" s="19"/>
      <c r="D161" s="19"/>
      <c r="E161" s="134"/>
      <c r="F161" s="134"/>
      <c r="G161" s="134"/>
      <c r="H161" s="134"/>
      <c r="I161" s="136"/>
      <c r="J161" s="136"/>
      <c r="K161" s="136"/>
      <c r="L161" s="136"/>
      <c r="M161" s="136"/>
      <c r="N161" s="136"/>
      <c r="O161" s="136"/>
      <c r="P161" s="136"/>
      <c r="Q161" s="136"/>
      <c r="R161" s="136"/>
      <c r="S161" s="136"/>
      <c r="T161" s="136"/>
      <c r="U161" s="136"/>
      <c r="V161" s="136"/>
      <c r="W161" s="17"/>
      <c r="X161" s="17"/>
      <c r="Y161" s="17"/>
      <c r="Z161" s="17"/>
      <c r="AA161" s="17"/>
      <c r="AB161" s="17"/>
      <c r="AC161" s="17"/>
      <c r="AD161" s="17"/>
      <c r="AE161" s="17"/>
      <c r="AF161" s="17"/>
      <c r="AG161" s="17"/>
      <c r="AH161" s="17"/>
      <c r="AI161" s="17"/>
      <c r="AJ161" s="17"/>
      <c r="AK161" s="17"/>
      <c r="AL161" s="17"/>
      <c r="AM161" s="17"/>
      <c r="AN161" s="17"/>
      <c r="AO161" s="17"/>
      <c r="AP161" s="17"/>
      <c r="AQ161" s="17"/>
      <c r="AR161" s="17"/>
      <c r="AS161" s="17"/>
      <c r="AT161" s="17"/>
      <c r="AU161" s="17"/>
      <c r="AV161" s="17"/>
      <c r="AW161" s="17"/>
      <c r="AX161" s="17"/>
      <c r="AY161" s="17"/>
      <c r="AZ161" s="17"/>
      <c r="BA161" s="17"/>
      <c r="BB161" s="17"/>
      <c r="BC161" s="17"/>
      <c r="BD161" s="17"/>
      <c r="BE161" s="17"/>
      <c r="BF161" s="17"/>
      <c r="BG161" s="17"/>
      <c r="BH161" s="17"/>
      <c r="BI161" s="17"/>
      <c r="BJ161" s="17"/>
      <c r="BK161" s="17"/>
      <c r="BL161" s="17"/>
      <c r="BM161" s="17"/>
      <c r="BN161" s="17"/>
      <c r="BO161" s="17"/>
      <c r="BP161" s="17"/>
      <c r="BQ161" s="17"/>
      <c r="BR161" s="17"/>
      <c r="BS161" s="17"/>
      <c r="BT161" s="17"/>
      <c r="BU161" s="17"/>
      <c r="BV161" s="17"/>
      <c r="BW161" s="17"/>
      <c r="BX161" s="17"/>
      <c r="BY161" s="17"/>
      <c r="BZ161" s="17"/>
    </row>
    <row r="162" spans="1:78">
      <c r="A162" s="19"/>
      <c r="B162" s="19"/>
      <c r="C162" s="19"/>
      <c r="D162" s="19"/>
      <c r="E162" s="134"/>
      <c r="F162" s="134"/>
      <c r="G162" s="134"/>
      <c r="H162" s="134"/>
      <c r="I162" s="136"/>
      <c r="J162" s="136"/>
      <c r="K162" s="136"/>
      <c r="L162" s="136"/>
      <c r="M162" s="136"/>
      <c r="N162" s="136"/>
      <c r="O162" s="136"/>
      <c r="P162" s="136"/>
      <c r="Q162" s="136"/>
      <c r="R162" s="136"/>
      <c r="S162" s="136"/>
      <c r="T162" s="136"/>
      <c r="U162" s="136"/>
      <c r="V162" s="136"/>
      <c r="W162" s="17"/>
      <c r="X162" s="17"/>
      <c r="Y162" s="17"/>
      <c r="Z162" s="17"/>
      <c r="AA162" s="17"/>
      <c r="AB162" s="17"/>
      <c r="AC162" s="17"/>
      <c r="AD162" s="17"/>
      <c r="AE162" s="17"/>
      <c r="AF162" s="17"/>
      <c r="AG162" s="17"/>
      <c r="AH162" s="17"/>
      <c r="AI162" s="17"/>
      <c r="AJ162" s="17"/>
      <c r="AK162" s="17"/>
      <c r="AL162" s="17"/>
      <c r="AM162" s="17"/>
      <c r="AN162" s="17"/>
      <c r="AO162" s="17"/>
      <c r="AP162" s="17"/>
      <c r="AQ162" s="17"/>
      <c r="AR162" s="17"/>
      <c r="AS162" s="17"/>
      <c r="AT162" s="17"/>
      <c r="AU162" s="17"/>
      <c r="AV162" s="17"/>
      <c r="AW162" s="17"/>
      <c r="AX162" s="17"/>
      <c r="AY162" s="17"/>
      <c r="AZ162" s="17"/>
      <c r="BA162" s="17"/>
      <c r="BB162" s="17"/>
      <c r="BC162" s="17"/>
      <c r="BD162" s="17"/>
      <c r="BE162" s="17"/>
      <c r="BF162" s="17"/>
      <c r="BG162" s="17"/>
      <c r="BH162" s="17"/>
      <c r="BI162" s="17"/>
      <c r="BJ162" s="17"/>
      <c r="BK162" s="17"/>
      <c r="BL162" s="17"/>
      <c r="BM162" s="17"/>
      <c r="BN162" s="17"/>
      <c r="BO162" s="17"/>
      <c r="BP162" s="17"/>
      <c r="BQ162" s="17"/>
      <c r="BR162" s="17"/>
      <c r="BS162" s="17"/>
      <c r="BT162" s="17"/>
      <c r="BU162" s="17"/>
      <c r="BV162" s="17"/>
      <c r="BW162" s="17"/>
      <c r="BX162" s="17"/>
      <c r="BY162" s="17"/>
      <c r="BZ162" s="17"/>
    </row>
  </sheetData>
  <protectedRanges>
    <protectedRange sqref="I13" name="Intervalo2_1"/>
  </protectedRanges>
  <phoneticPr fontId="0" type="noConversion"/>
  <pageMargins left="0.78740157499999996" right="0.78740157499999996" top="0.984251969" bottom="0.984251969" header="0.49212598499999999" footer="0.49212598499999999"/>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47461" r:id="rId4" name="Button 5">
              <controlPr defaultSize="0" print="0" autoFill="0" autoPict="0" macro="[0]!Sim_dpH_cte">
                <anchor moveWithCells="1" sizeWithCells="1">
                  <from>
                    <xdr:col>0</xdr:col>
                    <xdr:colOff>114300</xdr:colOff>
                    <xdr:row>23</xdr:row>
                    <xdr:rowOff>142875</xdr:rowOff>
                  </from>
                  <to>
                    <xdr:col>2</xdr:col>
                    <xdr:colOff>19050</xdr:colOff>
                    <xdr:row>26</xdr:row>
                    <xdr:rowOff>76200</xdr:rowOff>
                  </to>
                </anchor>
              </controlPr>
            </control>
          </mc:Choice>
        </mc:AlternateContent>
        <mc:AlternateContent xmlns:mc="http://schemas.openxmlformats.org/markup-compatibility/2006">
          <mc:Choice Requires="x14">
            <control shapeId="147460" r:id="rId5" name="Button 4">
              <controlPr defaultSize="0" print="0" autoFill="0" autoPict="0" macro="[0]!Sim_dVol_cte">
                <anchor moveWithCells="1" sizeWithCells="1">
                  <from>
                    <xdr:col>0</xdr:col>
                    <xdr:colOff>95250</xdr:colOff>
                    <xdr:row>26</xdr:row>
                    <xdr:rowOff>142875</xdr:rowOff>
                  </from>
                  <to>
                    <xdr:col>2</xdr:col>
                    <xdr:colOff>19050</xdr:colOff>
                    <xdr:row>29</xdr:row>
                    <xdr:rowOff>85725</xdr:rowOff>
                  </to>
                </anchor>
              </controlPr>
            </control>
          </mc:Choice>
        </mc:AlternateContent>
        <mc:AlternateContent xmlns:mc="http://schemas.openxmlformats.org/markup-compatibility/2006">
          <mc:Choice Requires="x14">
            <control shapeId="147462" r:id="rId6" name="Button 6">
              <controlPr defaultSize="0" print="0" autoFill="0" autoPict="0" macro="[0]!Sim_Retain_Curve">
                <anchor moveWithCells="1" sizeWithCells="1">
                  <from>
                    <xdr:col>0</xdr:col>
                    <xdr:colOff>95250</xdr:colOff>
                    <xdr:row>29</xdr:row>
                    <xdr:rowOff>161925</xdr:rowOff>
                  </from>
                  <to>
                    <xdr:col>2</xdr:col>
                    <xdr:colOff>19050</xdr:colOff>
                    <xdr:row>30</xdr:row>
                    <xdr:rowOff>228600</xdr:rowOff>
                  </to>
                </anchor>
              </controlPr>
            </control>
          </mc:Choice>
        </mc:AlternateContent>
        <mc:AlternateContent xmlns:mc="http://schemas.openxmlformats.org/markup-compatibility/2006">
          <mc:Choice Requires="x14">
            <control shapeId="147463" r:id="rId7" name="Button 7">
              <controlPr defaultSize="0" print="0" autoFill="0" autoPict="0" macro="[0]!Sim_Clear_Retained">
                <anchor moveWithCells="1" sizeWithCells="1">
                  <from>
                    <xdr:col>0</xdr:col>
                    <xdr:colOff>95250</xdr:colOff>
                    <xdr:row>31</xdr:row>
                    <xdr:rowOff>66675</xdr:rowOff>
                  </from>
                  <to>
                    <xdr:col>2</xdr:col>
                    <xdr:colOff>9525</xdr:colOff>
                    <xdr:row>32</xdr:row>
                    <xdr:rowOff>142875</xdr:rowOff>
                  </to>
                </anchor>
              </controlPr>
            </control>
          </mc:Choice>
        </mc:AlternateContent>
        <mc:AlternateContent xmlns:mc="http://schemas.openxmlformats.org/markup-compatibility/2006">
          <mc:Choice Requires="x14">
            <control shapeId="147465" r:id="rId8" name="Spinner 9">
              <controlPr defaultSize="0" autoFill="0" autoLine="0" autoPict="0">
                <anchor moveWithCells="1">
                  <from>
                    <xdr:col>13</xdr:col>
                    <xdr:colOff>0</xdr:colOff>
                    <xdr:row>18</xdr:row>
                    <xdr:rowOff>19050</xdr:rowOff>
                  </from>
                  <to>
                    <xdr:col>13</xdr:col>
                    <xdr:colOff>257175</xdr:colOff>
                    <xdr:row>19</xdr:row>
                    <xdr:rowOff>200025</xdr:rowOff>
                  </to>
                </anchor>
              </controlPr>
            </control>
          </mc:Choice>
        </mc:AlternateContent>
        <mc:AlternateContent xmlns:mc="http://schemas.openxmlformats.org/markup-compatibility/2006">
          <mc:Choice Requires="x14">
            <control shapeId="148336" r:id="rId9" name="Button 880">
              <controlPr defaultSize="0" print="0" autoFill="0" autoPict="0" macro="[0]!Sim_Copy_pKas">
                <anchor moveWithCells="1" sizeWithCells="1">
                  <from>
                    <xdr:col>9</xdr:col>
                    <xdr:colOff>47625</xdr:colOff>
                    <xdr:row>0</xdr:row>
                    <xdr:rowOff>57150</xdr:rowOff>
                  </from>
                  <to>
                    <xdr:col>9</xdr:col>
                    <xdr:colOff>1019175</xdr:colOff>
                    <xdr:row>2</xdr:row>
                    <xdr:rowOff>85725</xdr:rowOff>
                  </to>
                </anchor>
              </controlPr>
            </control>
          </mc:Choice>
        </mc:AlternateContent>
        <mc:AlternateContent xmlns:mc="http://schemas.openxmlformats.org/markup-compatibility/2006">
          <mc:Choice Requires="x14">
            <control shapeId="148346" r:id="rId10" name="Drop Down 890">
              <controlPr defaultSize="0" autoLine="0" autoPict="0">
                <anchor moveWithCells="1">
                  <from>
                    <xdr:col>10</xdr:col>
                    <xdr:colOff>0</xdr:colOff>
                    <xdr:row>1</xdr:row>
                    <xdr:rowOff>0</xdr:rowOff>
                  </from>
                  <to>
                    <xdr:col>11</xdr:col>
                    <xdr:colOff>533400</xdr:colOff>
                    <xdr:row>2</xdr:row>
                    <xdr:rowOff>0</xdr:rowOff>
                  </to>
                </anchor>
              </controlPr>
            </control>
          </mc:Choice>
        </mc:AlternateContent>
        <mc:AlternateContent xmlns:mc="http://schemas.openxmlformats.org/markup-compatibility/2006">
          <mc:Choice Requires="x14">
            <control shapeId="148347" r:id="rId11" name="Drop Down 891">
              <controlPr defaultSize="0" autoLine="0" autoPict="0">
                <anchor moveWithCells="1">
                  <from>
                    <xdr:col>11</xdr:col>
                    <xdr:colOff>0</xdr:colOff>
                    <xdr:row>1</xdr:row>
                    <xdr:rowOff>0</xdr:rowOff>
                  </from>
                  <to>
                    <xdr:col>12</xdr:col>
                    <xdr:colOff>523875</xdr:colOff>
                    <xdr:row>2</xdr:row>
                    <xdr:rowOff>0</xdr:rowOff>
                  </to>
                </anchor>
              </controlPr>
            </control>
          </mc:Choice>
        </mc:AlternateContent>
        <mc:AlternateContent xmlns:mc="http://schemas.openxmlformats.org/markup-compatibility/2006">
          <mc:Choice Requires="x14">
            <control shapeId="148348" r:id="rId12" name="Drop Down 892">
              <controlPr defaultSize="0" autoLine="0" autoPict="0">
                <anchor moveWithCells="1">
                  <from>
                    <xdr:col>12</xdr:col>
                    <xdr:colOff>0</xdr:colOff>
                    <xdr:row>1</xdr:row>
                    <xdr:rowOff>0</xdr:rowOff>
                  </from>
                  <to>
                    <xdr:col>13</xdr:col>
                    <xdr:colOff>552450</xdr:colOff>
                    <xdr:row>2</xdr:row>
                    <xdr:rowOff>0</xdr:rowOff>
                  </to>
                </anchor>
              </controlPr>
            </control>
          </mc:Choice>
        </mc:AlternateContent>
        <mc:AlternateContent xmlns:mc="http://schemas.openxmlformats.org/markup-compatibility/2006">
          <mc:Choice Requires="x14">
            <control shapeId="148349" r:id="rId13" name="Drop Down 893">
              <controlPr defaultSize="0" autoLine="0" autoPict="0">
                <anchor moveWithCells="1">
                  <from>
                    <xdr:col>13</xdr:col>
                    <xdr:colOff>0</xdr:colOff>
                    <xdr:row>1</xdr:row>
                    <xdr:rowOff>0</xdr:rowOff>
                  </from>
                  <to>
                    <xdr:col>14</xdr:col>
                    <xdr:colOff>457200</xdr:colOff>
                    <xdr:row>2</xdr:row>
                    <xdr:rowOff>0</xdr:rowOff>
                  </to>
                </anchor>
              </controlPr>
            </control>
          </mc:Choice>
        </mc:AlternateContent>
        <mc:AlternateContent xmlns:mc="http://schemas.openxmlformats.org/markup-compatibility/2006">
          <mc:Choice Requires="x14">
            <control shapeId="148350" r:id="rId14" name="Drop Down 894">
              <controlPr defaultSize="0" autoLine="0" autoPict="0">
                <anchor moveWithCells="1">
                  <from>
                    <xdr:col>14</xdr:col>
                    <xdr:colOff>0</xdr:colOff>
                    <xdr:row>1</xdr:row>
                    <xdr:rowOff>0</xdr:rowOff>
                  </from>
                  <to>
                    <xdr:col>15</xdr:col>
                    <xdr:colOff>542925</xdr:colOff>
                    <xdr:row>2</xdr:row>
                    <xdr:rowOff>0</xdr:rowOff>
                  </to>
                </anchor>
              </controlPr>
            </control>
          </mc:Choice>
        </mc:AlternateContent>
        <mc:AlternateContent xmlns:mc="http://schemas.openxmlformats.org/markup-compatibility/2006">
          <mc:Choice Requires="x14">
            <control shapeId="148351" r:id="rId15" name="Drop Down 895">
              <controlPr defaultSize="0" autoLine="0" autoPict="0">
                <anchor moveWithCells="1">
                  <from>
                    <xdr:col>15</xdr:col>
                    <xdr:colOff>0</xdr:colOff>
                    <xdr:row>1</xdr:row>
                    <xdr:rowOff>0</xdr:rowOff>
                  </from>
                  <to>
                    <xdr:col>16</xdr:col>
                    <xdr:colOff>457200</xdr:colOff>
                    <xdr:row>2</xdr:row>
                    <xdr:rowOff>0</xdr:rowOff>
                  </to>
                </anchor>
              </controlPr>
            </control>
          </mc:Choice>
        </mc:AlternateContent>
        <mc:AlternateContent xmlns:mc="http://schemas.openxmlformats.org/markup-compatibility/2006">
          <mc:Choice Requires="x14">
            <control shapeId="148352" r:id="rId16" name="Drop Down 896">
              <controlPr defaultSize="0" autoLine="0" autoPict="0">
                <anchor moveWithCells="1">
                  <from>
                    <xdr:col>16</xdr:col>
                    <xdr:colOff>0</xdr:colOff>
                    <xdr:row>1</xdr:row>
                    <xdr:rowOff>0</xdr:rowOff>
                  </from>
                  <to>
                    <xdr:col>17</xdr:col>
                    <xdr:colOff>228600</xdr:colOff>
                    <xdr:row>2</xdr:row>
                    <xdr:rowOff>0</xdr:rowOff>
                  </to>
                </anchor>
              </controlPr>
            </control>
          </mc:Choice>
        </mc:AlternateContent>
        <mc:AlternateContent xmlns:mc="http://schemas.openxmlformats.org/markup-compatibility/2006">
          <mc:Choice Requires="x14">
            <control shapeId="148391" r:id="rId17" name="Group Box 935">
              <controlPr defaultSize="0" autoFill="0" autoPict="0">
                <anchor moveWithCells="1">
                  <from>
                    <xdr:col>0</xdr:col>
                    <xdr:colOff>104775</xdr:colOff>
                    <xdr:row>20</xdr:row>
                    <xdr:rowOff>171450</xdr:rowOff>
                  </from>
                  <to>
                    <xdr:col>2</xdr:col>
                    <xdr:colOff>38100</xdr:colOff>
                    <xdr:row>23</xdr:row>
                    <xdr:rowOff>66675</xdr:rowOff>
                  </to>
                </anchor>
              </controlPr>
            </control>
          </mc:Choice>
        </mc:AlternateContent>
        <mc:AlternateContent xmlns:mc="http://schemas.openxmlformats.org/markup-compatibility/2006">
          <mc:Choice Requires="x14">
            <control shapeId="148392" r:id="rId18" name="Option Button 936">
              <controlPr defaultSize="0" autoFill="0" autoLine="0" autoPict="0">
                <anchor moveWithCells="1">
                  <from>
                    <xdr:col>0</xdr:col>
                    <xdr:colOff>190500</xdr:colOff>
                    <xdr:row>21</xdr:row>
                    <xdr:rowOff>38100</xdr:rowOff>
                  </from>
                  <to>
                    <xdr:col>1</xdr:col>
                    <xdr:colOff>609600</xdr:colOff>
                    <xdr:row>22</xdr:row>
                    <xdr:rowOff>9525</xdr:rowOff>
                  </to>
                </anchor>
              </controlPr>
            </control>
          </mc:Choice>
        </mc:AlternateContent>
        <mc:AlternateContent xmlns:mc="http://schemas.openxmlformats.org/markup-compatibility/2006">
          <mc:Choice Requires="x14">
            <control shapeId="148393" r:id="rId19" name="Option Button 937">
              <controlPr defaultSize="0" autoFill="0" autoLine="0" autoPict="0">
                <anchor moveWithCells="1">
                  <from>
                    <xdr:col>0</xdr:col>
                    <xdr:colOff>190500</xdr:colOff>
                    <xdr:row>22</xdr:row>
                    <xdr:rowOff>47625</xdr:rowOff>
                  </from>
                  <to>
                    <xdr:col>1</xdr:col>
                    <xdr:colOff>581025</xdr:colOff>
                    <xdr:row>23</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1"/>
  <dimension ref="A1:BN158"/>
  <sheetViews>
    <sheetView zoomScale="85" zoomScaleNormal="85" workbookViewId="0"/>
  </sheetViews>
  <sheetFormatPr defaultRowHeight="12.75"/>
  <cols>
    <col min="1" max="1" width="14.5703125" customWidth="1"/>
    <col min="2" max="2" width="11.85546875" customWidth="1"/>
    <col min="3" max="3" width="13.28515625" customWidth="1"/>
    <col min="4" max="4" width="19.85546875" customWidth="1"/>
    <col min="5" max="5" width="13.140625" customWidth="1"/>
    <col min="6" max="6" width="15.7109375" customWidth="1"/>
    <col min="7" max="7" width="14.85546875" customWidth="1"/>
    <col min="8" max="8" width="16.7109375" customWidth="1"/>
    <col min="9" max="9" width="15.7109375" customWidth="1"/>
    <col min="10" max="10" width="15.85546875" customWidth="1"/>
    <col min="11" max="14" width="20.7109375" customWidth="1"/>
    <col min="15" max="15" width="12.5703125" customWidth="1"/>
    <col min="16" max="16" width="11.28515625" customWidth="1"/>
    <col min="17" max="20" width="9.28515625" bestFit="1" customWidth="1"/>
    <col min="24" max="24" width="13.5703125" customWidth="1"/>
    <col min="25" max="26" width="9.28515625" bestFit="1" customWidth="1"/>
    <col min="27" max="31" width="12.42578125" bestFit="1" customWidth="1"/>
    <col min="35" max="36" width="9.28515625" bestFit="1" customWidth="1"/>
    <col min="38" max="39" width="9.28515625" bestFit="1" customWidth="1"/>
    <col min="40" max="40" width="13.140625" bestFit="1" customWidth="1"/>
    <col min="41" max="43" width="9.28515625" bestFit="1" customWidth="1"/>
    <col min="48" max="48" width="9.28515625" bestFit="1" customWidth="1"/>
    <col min="49" max="49" width="8.42578125" customWidth="1"/>
    <col min="50" max="50" width="13.140625" bestFit="1" customWidth="1"/>
    <col min="51" max="53" width="9.28515625" bestFit="1" customWidth="1"/>
    <col min="57" max="57" width="12.7109375" customWidth="1"/>
    <col min="58" max="58" width="11.5703125" customWidth="1"/>
    <col min="64" max="64" width="10.42578125" customWidth="1"/>
  </cols>
  <sheetData>
    <row r="1" spans="1:66" ht="24" customHeight="1">
      <c r="A1" s="424"/>
      <c r="B1" s="90" t="s">
        <v>805</v>
      </c>
      <c r="C1" s="90"/>
      <c r="D1" s="221"/>
      <c r="E1" s="221"/>
      <c r="F1" s="221"/>
      <c r="G1" s="221"/>
      <c r="H1" s="557" t="s">
        <v>759</v>
      </c>
      <c r="I1" s="221"/>
      <c r="J1" s="426"/>
      <c r="K1" s="99"/>
      <c r="L1" s="60"/>
      <c r="M1" s="60"/>
      <c r="N1" s="58"/>
      <c r="O1" s="58"/>
      <c r="P1" s="58"/>
      <c r="Q1" s="58"/>
      <c r="R1" s="58"/>
      <c r="S1" s="58"/>
      <c r="T1" s="58"/>
      <c r="U1" s="58"/>
      <c r="V1" s="58"/>
      <c r="W1" s="58"/>
      <c r="X1" s="58"/>
      <c r="Y1" s="58"/>
      <c r="Z1" s="613" t="s">
        <v>791</v>
      </c>
      <c r="AA1" s="27"/>
      <c r="AB1" s="27"/>
      <c r="AC1" s="58"/>
      <c r="AD1" s="58"/>
      <c r="AE1" s="58"/>
      <c r="AF1" s="58"/>
      <c r="AG1" s="58"/>
      <c r="AH1" s="58"/>
      <c r="AI1" s="58"/>
      <c r="AJ1" s="58"/>
      <c r="AK1" s="58"/>
      <c r="AL1" s="58"/>
      <c r="AM1" s="58"/>
      <c r="AN1" s="58"/>
      <c r="AO1" s="58"/>
      <c r="AP1" s="58"/>
      <c r="AQ1" s="58"/>
      <c r="AR1" s="58"/>
      <c r="AS1" s="58"/>
      <c r="AT1" s="58"/>
      <c r="AU1" s="58"/>
      <c r="AV1" s="58"/>
      <c r="AW1" s="58"/>
      <c r="AX1" s="58"/>
      <c r="AY1" s="58"/>
      <c r="AZ1" s="58"/>
      <c r="BA1" s="58"/>
      <c r="BB1" s="58"/>
      <c r="BC1" s="58"/>
      <c r="BD1" s="58"/>
      <c r="BE1" s="58"/>
      <c r="BF1" s="58"/>
      <c r="BG1" s="58"/>
      <c r="BH1" s="58"/>
      <c r="BI1" s="58"/>
      <c r="BJ1" s="58"/>
      <c r="BK1" s="58"/>
      <c r="BL1" s="58"/>
      <c r="BM1" s="27"/>
      <c r="BN1" s="27"/>
    </row>
    <row r="2" spans="1:66" ht="20.25">
      <c r="A2" s="293"/>
      <c r="B2" s="294"/>
      <c r="C2" s="295"/>
      <c r="D2" s="218" t="s">
        <v>666</v>
      </c>
      <c r="E2" s="219"/>
      <c r="F2" s="1122" t="s">
        <v>1060</v>
      </c>
      <c r="G2" s="1123"/>
      <c r="H2" s="1124" t="s">
        <v>1061</v>
      </c>
      <c r="I2" s="1125" t="s">
        <v>1062</v>
      </c>
      <c r="J2" s="1126" t="s">
        <v>1063</v>
      </c>
      <c r="K2" s="99"/>
      <c r="L2" s="2"/>
      <c r="M2" s="1169"/>
      <c r="N2" s="1170" t="s">
        <v>601</v>
      </c>
      <c r="O2" s="1171"/>
      <c r="P2" s="27"/>
      <c r="Q2" s="27"/>
      <c r="R2" s="27"/>
      <c r="S2" s="27"/>
      <c r="T2" s="27"/>
      <c r="U2" s="27"/>
      <c r="V2" s="27"/>
      <c r="W2" s="27"/>
      <c r="X2" s="27"/>
      <c r="Y2" s="27"/>
      <c r="Z2" s="441" t="s">
        <v>695</v>
      </c>
      <c r="AA2" s="442"/>
      <c r="AB2" s="443"/>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58"/>
      <c r="BG2" s="58"/>
      <c r="BH2" s="58"/>
      <c r="BI2" s="58"/>
      <c r="BJ2" s="58"/>
      <c r="BK2" s="58"/>
      <c r="BL2" s="58"/>
      <c r="BM2" s="27"/>
      <c r="BN2" s="27"/>
    </row>
    <row r="3" spans="1:66" ht="15.75">
      <c r="A3" s="296"/>
      <c r="B3" s="297"/>
      <c r="C3" s="298"/>
      <c r="D3" s="217"/>
      <c r="E3" s="216">
        <v>8</v>
      </c>
      <c r="F3" s="1127" t="s">
        <v>1064</v>
      </c>
      <c r="G3" s="1128">
        <v>0</v>
      </c>
      <c r="H3" s="1129">
        <f>IF(C7&lt;0,0,IF(C7&gt;3,3,C7))</f>
        <v>0.3</v>
      </c>
      <c r="I3" s="554" t="s">
        <v>752</v>
      </c>
      <c r="J3" s="1130"/>
      <c r="K3" s="99"/>
      <c r="L3" s="2"/>
      <c r="M3" s="311"/>
      <c r="N3" s="326" t="s">
        <v>602</v>
      </c>
      <c r="O3" s="365"/>
      <c r="P3" s="27"/>
      <c r="Q3" s="27"/>
      <c r="R3" s="27"/>
      <c r="S3" s="27"/>
      <c r="T3" s="27"/>
      <c r="U3" s="27"/>
      <c r="V3" s="27"/>
      <c r="W3" s="27"/>
      <c r="X3" s="27"/>
      <c r="Y3" s="27"/>
      <c r="Z3" s="922" t="s">
        <v>924</v>
      </c>
      <c r="AA3" s="18"/>
      <c r="AB3" s="43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58"/>
      <c r="BG3" s="58"/>
      <c r="BH3" s="58"/>
      <c r="BI3" s="58"/>
      <c r="BJ3" s="58"/>
      <c r="BK3" s="58"/>
      <c r="BL3" s="58"/>
      <c r="BM3" s="27"/>
      <c r="BN3" s="27"/>
    </row>
    <row r="4" spans="1:66" ht="19.5">
      <c r="A4" s="299"/>
      <c r="B4" s="300"/>
      <c r="C4" s="301"/>
      <c r="D4" s="554" t="s">
        <v>995</v>
      </c>
      <c r="E4" s="1148">
        <f>IF(VLOOKUP(E$3,Database!$B$22:$N$301,4)="","",VLOOKUP(E$3,Database!$B$22:$N$301,4))</f>
        <v>2.1480000000000001</v>
      </c>
      <c r="F4" s="1131" t="s">
        <v>490</v>
      </c>
      <c r="G4" s="1132">
        <f>IF(E4="","",IF(E5="",10^E4,(IF(E6="",10^E5,(IF(E7="",10^E6,(IF(E8="",10^E7,(IF(E9="",10^E8,10^E9))))))))))</f>
        <v>2238721138568.3457</v>
      </c>
      <c r="H4" s="1133">
        <f>IF(G4="","",(G4*$H$10^(-2*$E$10)))</f>
        <v>350011142771.20123</v>
      </c>
      <c r="I4" s="555" t="s">
        <v>753</v>
      </c>
      <c r="J4" s="1134"/>
      <c r="K4" s="99"/>
      <c r="L4" s="2"/>
      <c r="M4" s="312"/>
      <c r="N4" s="312" t="s">
        <v>603</v>
      </c>
      <c r="O4" s="313"/>
      <c r="P4" s="27"/>
      <c r="Q4" s="27"/>
      <c r="R4" s="27"/>
      <c r="S4" s="27"/>
      <c r="T4" s="27"/>
      <c r="U4" s="27"/>
      <c r="V4" s="27"/>
      <c r="W4" s="27"/>
      <c r="X4" s="27"/>
      <c r="Y4" s="27"/>
      <c r="Z4" s="922" t="s">
        <v>925</v>
      </c>
      <c r="AA4" s="18"/>
      <c r="AB4" s="43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58"/>
      <c r="BG4" s="58"/>
      <c r="BH4" s="58"/>
      <c r="BI4" s="58"/>
      <c r="BJ4" s="58"/>
      <c r="BK4" s="58"/>
      <c r="BL4" s="58"/>
      <c r="BM4" s="27"/>
      <c r="BN4" s="27"/>
    </row>
    <row r="5" spans="1:66" ht="19.5">
      <c r="A5" s="302"/>
      <c r="B5" s="303" t="s">
        <v>1052</v>
      </c>
      <c r="C5" s="304"/>
      <c r="D5" s="555" t="s">
        <v>996</v>
      </c>
      <c r="E5" s="248">
        <f>IF(VLOOKUP(E$3,Database!$B$22:$N$301,5)="","",VLOOKUP(E$3,Database!$B$22:$N$301,5))</f>
        <v>7.1989999999999998</v>
      </c>
      <c r="F5" s="1135" t="s">
        <v>492</v>
      </c>
      <c r="G5" s="1136">
        <f>IF(E5="","",IF(E6="",G4*10^E4,(IF(E7="",G4*10^E5,(IF(E8="",G4*10^E6,(IF(E9="",G4*10^E7,G4*10^E8))))))))</f>
        <v>3.539973410834362E+19</v>
      </c>
      <c r="H5" s="1137">
        <f>IF(G5="","",(G5*$H$10^(-4*$E$10-2)))</f>
        <v>1.6062129296973217E+18</v>
      </c>
      <c r="I5" s="555" t="s">
        <v>754</v>
      </c>
      <c r="J5" s="1138"/>
      <c r="K5" s="99"/>
      <c r="L5" s="2"/>
      <c r="M5" s="327"/>
      <c r="N5" s="327" t="s">
        <v>604</v>
      </c>
      <c r="O5" s="328"/>
      <c r="P5" s="27"/>
      <c r="Q5" s="27"/>
      <c r="R5" s="27"/>
      <c r="S5" s="27"/>
      <c r="T5" s="27"/>
      <c r="U5" s="27"/>
      <c r="V5" s="27"/>
      <c r="W5" s="27"/>
      <c r="X5" s="27"/>
      <c r="Y5" s="27"/>
      <c r="Z5" s="922" t="s">
        <v>926</v>
      </c>
      <c r="AA5" s="18"/>
      <c r="AB5" s="43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58"/>
      <c r="BG5" s="58"/>
      <c r="BH5" s="58"/>
      <c r="BI5" s="58"/>
      <c r="BJ5" s="58"/>
      <c r="BK5" s="58"/>
      <c r="BL5" s="58"/>
      <c r="BM5" s="27"/>
      <c r="BN5" s="27"/>
    </row>
    <row r="6" spans="1:66" ht="19.5">
      <c r="A6" s="290"/>
      <c r="B6" s="291" t="str">
        <f>IF(VLOOKUP(E$3,Database!$B$22:$N$301,2)="","",VLOOKUP(E$3,Database!$B$22:$N$301,2))</f>
        <v>Phosphoric acid</v>
      </c>
      <c r="C6" s="292"/>
      <c r="D6" s="555" t="s">
        <v>997</v>
      </c>
      <c r="E6" s="248">
        <f>IF(VLOOKUP(E$3,Database!$B$22:$N$301,6)="","",VLOOKUP(E$3,Database!$B$22:$N$301,6))</f>
        <v>12.35</v>
      </c>
      <c r="F6" s="1135" t="s">
        <v>494</v>
      </c>
      <c r="G6" s="1136">
        <f>IF(E6="","",IF(E7="",G5*10^E4,(IF(E8="",G5*10^E5,(IF(E9="",G5*10^E6,G5*10^E7))))))</f>
        <v>4.9773708497893867E+21</v>
      </c>
      <c r="H6" s="1137">
        <f>IF(G6="","",(G6*$H$10^(-6*$E$10-6)))</f>
        <v>1.216644623003037E+20</v>
      </c>
      <c r="I6" s="555" t="s">
        <v>755</v>
      </c>
      <c r="J6" s="1139"/>
      <c r="K6" s="99"/>
      <c r="L6" s="2"/>
      <c r="M6" s="2"/>
      <c r="N6" s="27"/>
      <c r="O6" s="27"/>
      <c r="P6" s="27"/>
      <c r="Q6" s="27"/>
      <c r="R6" s="27"/>
      <c r="S6" s="27"/>
      <c r="T6" s="27"/>
      <c r="U6" s="27"/>
      <c r="V6" s="27"/>
      <c r="W6" s="27"/>
      <c r="X6" s="27"/>
      <c r="Y6" s="27"/>
      <c r="Z6" s="922" t="s">
        <v>927</v>
      </c>
      <c r="AA6" s="18"/>
      <c r="AB6" s="43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58"/>
      <c r="BG6" s="58"/>
      <c r="BH6" s="58"/>
      <c r="BI6" s="58"/>
      <c r="BJ6" s="58"/>
      <c r="BK6" s="58"/>
      <c r="BL6" s="58"/>
      <c r="BM6" s="27"/>
      <c r="BN6" s="27"/>
    </row>
    <row r="7" spans="1:66" ht="19.5">
      <c r="A7" s="1099"/>
      <c r="B7" s="1100" t="s">
        <v>1053</v>
      </c>
      <c r="C7" s="1101">
        <v>0.3</v>
      </c>
      <c r="D7" s="555" t="s">
        <v>998</v>
      </c>
      <c r="E7" s="248" t="str">
        <f>IF(VLOOKUP(E$3,Database!$B$22:$N$301,7)="","",VLOOKUP(E$3,Database!$B$22:$N$301,7))</f>
        <v/>
      </c>
      <c r="F7" s="1135" t="s">
        <v>496</v>
      </c>
      <c r="G7" s="1136" t="str">
        <f>IF(E7="","",IF(E8="",G6*10^E4,(IF(E9="",G6*10^E5,G6*10^E6))))</f>
        <v/>
      </c>
      <c r="H7" s="1137" t="str">
        <f>IF(G7="","",(G7*$H$10^(-8*$E$10-12)))</f>
        <v/>
      </c>
      <c r="I7" s="555" t="s">
        <v>756</v>
      </c>
      <c r="J7" s="1140"/>
      <c r="K7" s="99"/>
      <c r="L7" s="2"/>
      <c r="M7" s="1146" t="s">
        <v>619</v>
      </c>
      <c r="N7" s="27"/>
      <c r="O7" s="27"/>
      <c r="P7" s="27"/>
      <c r="Q7" s="27"/>
      <c r="R7" s="27"/>
      <c r="S7" s="27"/>
      <c r="T7" s="27"/>
      <c r="U7" s="27"/>
      <c r="V7" s="27"/>
      <c r="W7" s="27"/>
      <c r="X7" s="27"/>
      <c r="Y7" s="27"/>
      <c r="Z7" s="438" t="s">
        <v>665</v>
      </c>
      <c r="AA7" s="439"/>
      <c r="AB7" s="440"/>
      <c r="AC7" s="27"/>
      <c r="AD7" s="27"/>
      <c r="AE7" s="27"/>
      <c r="AF7" s="27"/>
      <c r="AG7" s="27"/>
      <c r="AH7" s="27"/>
      <c r="AI7" s="27"/>
      <c r="AJ7" s="27"/>
      <c r="AK7" s="27"/>
      <c r="AL7" s="27"/>
      <c r="AM7" s="27"/>
      <c r="AN7" s="27"/>
      <c r="AO7" s="27"/>
      <c r="AP7" s="27"/>
      <c r="AQ7" s="27"/>
      <c r="AR7" s="27"/>
      <c r="AS7" s="27"/>
      <c r="AT7" s="27"/>
      <c r="AU7" s="27"/>
      <c r="AV7" s="27"/>
      <c r="AW7" s="27"/>
      <c r="AX7" s="27"/>
      <c r="AY7" s="27"/>
      <c r="AZ7" s="27"/>
      <c r="BA7" s="27"/>
      <c r="BB7" s="27"/>
      <c r="BC7" s="27"/>
      <c r="BD7" s="27"/>
      <c r="BE7" s="27"/>
      <c r="BF7" s="58"/>
      <c r="BG7" s="58"/>
      <c r="BH7" s="58"/>
      <c r="BI7" s="58"/>
      <c r="BJ7" s="58"/>
      <c r="BK7" s="58"/>
      <c r="BL7" s="58"/>
      <c r="BM7" s="27"/>
      <c r="BN7" s="27"/>
    </row>
    <row r="8" spans="1:66" ht="19.5">
      <c r="A8" s="1099"/>
      <c r="B8" s="1100" t="s">
        <v>1054</v>
      </c>
      <c r="C8" s="1102"/>
      <c r="D8" s="555" t="s">
        <v>999</v>
      </c>
      <c r="E8" s="248" t="str">
        <f>IF(VLOOKUP(E$3,Database!$B$22:$N$301,8)="","",VLOOKUP(E$3,Database!$B$22:$N$301,8))</f>
        <v/>
      </c>
      <c r="F8" s="1135" t="s">
        <v>498</v>
      </c>
      <c r="G8" s="1136" t="str">
        <f>IF(E8="","",IF(E9="",G7*10^E4,G7*10^E5))</f>
        <v/>
      </c>
      <c r="H8" s="1137" t="str">
        <f>IF(G8="","",(G8*$H$10^(-10*$E$10-20)))</f>
        <v/>
      </c>
      <c r="I8" s="1141" t="s">
        <v>757</v>
      </c>
      <c r="J8" s="1142"/>
      <c r="K8" s="99"/>
      <c r="L8" s="2"/>
      <c r="M8" s="1147" t="s">
        <v>620</v>
      </c>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58"/>
      <c r="BG8" s="58"/>
      <c r="BH8" s="58"/>
      <c r="BI8" s="58"/>
      <c r="BJ8" s="58"/>
      <c r="BK8" s="58"/>
      <c r="BL8" s="58"/>
      <c r="BM8" s="27"/>
      <c r="BN8" s="27"/>
    </row>
    <row r="9" spans="1:66" ht="19.5">
      <c r="A9" s="1103"/>
      <c r="B9" s="1100" t="s">
        <v>1055</v>
      </c>
      <c r="C9" s="1101">
        <v>0.1</v>
      </c>
      <c r="D9" s="556" t="s">
        <v>1000</v>
      </c>
      <c r="E9" s="248" t="str">
        <f>IF(VLOOKUP(E$3,Database!$B$22:$N$301,9)="","",VLOOKUP(E$3,Database!$B$22:$N$301,9))</f>
        <v/>
      </c>
      <c r="F9" s="1135" t="s">
        <v>500</v>
      </c>
      <c r="G9" s="1136" t="str">
        <f>IF(E9="","",G8*10^E4)</f>
        <v/>
      </c>
      <c r="H9" s="1143" t="str">
        <f>IF(G9="","",(G9*$H$10^(-12*$E$10-30)))</f>
        <v/>
      </c>
      <c r="I9" s="555" t="s">
        <v>758</v>
      </c>
      <c r="J9" s="1144"/>
      <c r="K9" s="99"/>
      <c r="L9" s="2"/>
      <c r="M9" s="1146" t="s">
        <v>621</v>
      </c>
      <c r="N9" s="27"/>
      <c r="O9" s="169"/>
      <c r="P9" s="608" t="s">
        <v>1129</v>
      </c>
      <c r="Q9" s="169"/>
      <c r="R9" s="169"/>
      <c r="S9" s="169"/>
      <c r="T9" s="169"/>
      <c r="U9" s="169"/>
      <c r="V9" s="169"/>
      <c r="W9" s="169"/>
      <c r="X9" s="572"/>
      <c r="Y9" s="169"/>
      <c r="Z9" s="169" t="s">
        <v>667</v>
      </c>
      <c r="AA9" s="169"/>
      <c r="AB9" s="169"/>
      <c r="AC9" s="169"/>
      <c r="AD9" s="169"/>
      <c r="AE9" s="169"/>
      <c r="AF9" s="169"/>
      <c r="AG9" s="169"/>
      <c r="AH9" s="169"/>
      <c r="AI9" s="169"/>
      <c r="AJ9" s="169"/>
      <c r="AK9" s="169"/>
      <c r="AL9" s="572"/>
      <c r="AM9" s="608" t="s">
        <v>1130</v>
      </c>
      <c r="AN9" s="169"/>
      <c r="AO9" s="169"/>
      <c r="AP9" s="169"/>
      <c r="AQ9" s="169"/>
      <c r="AR9" s="169"/>
      <c r="AS9" s="169"/>
      <c r="AT9" s="169"/>
      <c r="AU9" s="572"/>
      <c r="AV9" s="169"/>
      <c r="AW9" s="215"/>
      <c r="AX9" s="169" t="s">
        <v>677</v>
      </c>
      <c r="AY9" s="215"/>
      <c r="AZ9" s="169"/>
      <c r="BA9" s="169"/>
      <c r="BB9" s="169"/>
      <c r="BC9" s="169"/>
      <c r="BD9" s="169"/>
      <c r="BE9" s="169"/>
      <c r="BF9" s="169"/>
      <c r="BG9" s="572"/>
      <c r="BH9" s="169"/>
      <c r="BI9" s="608" t="s">
        <v>786</v>
      </c>
      <c r="BJ9" s="608"/>
      <c r="BK9" s="169"/>
      <c r="BL9" s="572"/>
      <c r="BM9" s="27"/>
      <c r="BN9" s="27"/>
    </row>
    <row r="10" spans="1:66" ht="16.5" customHeight="1">
      <c r="A10" s="1103"/>
      <c r="B10" s="1104" t="str">
        <f>IF(C9&gt;C7,"Generally C9 &lt; C7","")</f>
        <v/>
      </c>
      <c r="C10" s="1102"/>
      <c r="D10" s="574" t="s">
        <v>597</v>
      </c>
      <c r="E10" s="575">
        <f>IF(VLOOKUP(E$3,Database!$B$22:$N$301,3)="","",VLOOKUP(E$3,Database!$B$22:$N$301,3))</f>
        <v>-3</v>
      </c>
      <c r="F10" s="1109" t="s">
        <v>1056</v>
      </c>
      <c r="G10" s="1110">
        <v>1</v>
      </c>
      <c r="H10" s="1111">
        <f>10^(-0.509*(H3^0.5/(1+H3^0.5)-0.3*H3))</f>
        <v>0.73397338455887173</v>
      </c>
      <c r="I10" s="1103"/>
      <c r="J10" s="1102"/>
      <c r="K10" s="99"/>
      <c r="L10" s="2"/>
      <c r="M10" s="2"/>
      <c r="N10" s="27"/>
      <c r="O10" s="170"/>
      <c r="P10" s="93"/>
      <c r="Q10" s="409" t="s">
        <v>668</v>
      </c>
      <c r="R10" s="410" t="s">
        <v>669</v>
      </c>
      <c r="S10" s="411" t="s">
        <v>670</v>
      </c>
      <c r="T10" s="412" t="s">
        <v>671</v>
      </c>
      <c r="U10" s="413" t="s">
        <v>672</v>
      </c>
      <c r="V10" s="414" t="s">
        <v>673</v>
      </c>
      <c r="W10" s="415" t="s">
        <v>674</v>
      </c>
      <c r="X10" s="573" t="s">
        <v>765</v>
      </c>
      <c r="Y10" s="170"/>
      <c r="Z10" s="170"/>
      <c r="AA10" s="93"/>
      <c r="AB10" s="409" t="s">
        <v>668</v>
      </c>
      <c r="AC10" s="410" t="s">
        <v>669</v>
      </c>
      <c r="AD10" s="411" t="s">
        <v>670</v>
      </c>
      <c r="AE10" s="412" t="s">
        <v>671</v>
      </c>
      <c r="AF10" s="413" t="s">
        <v>672</v>
      </c>
      <c r="AG10" s="414" t="s">
        <v>673</v>
      </c>
      <c r="AH10" s="415" t="s">
        <v>674</v>
      </c>
      <c r="AI10" s="415" t="s">
        <v>675</v>
      </c>
      <c r="AJ10" s="415" t="s">
        <v>675</v>
      </c>
      <c r="AK10" s="415" t="s">
        <v>675</v>
      </c>
      <c r="AL10" s="573" t="s">
        <v>765</v>
      </c>
      <c r="AM10" s="93"/>
      <c r="AN10" s="222" t="s">
        <v>678</v>
      </c>
      <c r="AO10" s="171" t="s">
        <v>679</v>
      </c>
      <c r="AP10" s="172" t="s">
        <v>680</v>
      </c>
      <c r="AQ10" s="173" t="s">
        <v>681</v>
      </c>
      <c r="AR10" s="174" t="s">
        <v>682</v>
      </c>
      <c r="AS10" s="175" t="s">
        <v>683</v>
      </c>
      <c r="AT10" s="176" t="s">
        <v>684</v>
      </c>
      <c r="AU10" s="573" t="s">
        <v>765</v>
      </c>
      <c r="AV10" s="170" t="s">
        <v>676</v>
      </c>
      <c r="AW10" s="93" t="s">
        <v>676</v>
      </c>
      <c r="AX10" s="222" t="s">
        <v>678</v>
      </c>
      <c r="AY10" s="171" t="s">
        <v>679</v>
      </c>
      <c r="AZ10" s="172" t="s">
        <v>680</v>
      </c>
      <c r="BA10" s="173" t="s">
        <v>681</v>
      </c>
      <c r="BB10" s="174" t="s">
        <v>682</v>
      </c>
      <c r="BC10" s="175" t="s">
        <v>683</v>
      </c>
      <c r="BD10" s="176" t="s">
        <v>684</v>
      </c>
      <c r="BE10" s="93" t="s">
        <v>675</v>
      </c>
      <c r="BF10" s="93" t="s">
        <v>675</v>
      </c>
      <c r="BG10" s="573" t="s">
        <v>765</v>
      </c>
      <c r="BH10" s="609" t="s">
        <v>783</v>
      </c>
      <c r="BI10" s="609"/>
      <c r="BJ10" s="609" t="s">
        <v>783</v>
      </c>
      <c r="BK10" s="93"/>
      <c r="BL10" s="573" t="s">
        <v>787</v>
      </c>
      <c r="BM10" s="27"/>
      <c r="BN10" s="27"/>
    </row>
    <row r="11" spans="1:66" ht="21" customHeight="1" thickBot="1">
      <c r="A11" s="1105"/>
      <c r="B11" s="1106" t="str">
        <f>IF(C7&gt;0.1, "Best accuracy for I &lt; 0.1 mol/L","")</f>
        <v>Best accuracy for I &lt; 0.1 mol/L</v>
      </c>
      <c r="C11" s="1102"/>
      <c r="D11" s="574" t="s">
        <v>1057</v>
      </c>
      <c r="E11" s="1112">
        <f>IF(E4="","",IF(E5="",1,(IF(E6="",2,(IF(E7="",3,(IF(E8="",4,(IF(E9="",5,6))))))))))</f>
        <v>3</v>
      </c>
      <c r="F11" s="1113" t="s">
        <v>338</v>
      </c>
      <c r="G11" s="1114">
        <v>13.997</v>
      </c>
      <c r="H11" s="1115">
        <f>G11+LOG10(H10^2)</f>
        <v>13.728360623513915</v>
      </c>
      <c r="I11" s="1105"/>
      <c r="J11" s="1116"/>
      <c r="K11" s="99"/>
      <c r="L11" s="27"/>
      <c r="M11" s="2"/>
      <c r="N11" s="27"/>
      <c r="O11" s="177" t="s">
        <v>334</v>
      </c>
      <c r="P11" s="177" t="s">
        <v>535</v>
      </c>
      <c r="Q11" s="177" t="s">
        <v>320</v>
      </c>
      <c r="R11" s="177" t="s">
        <v>321</v>
      </c>
      <c r="S11" s="177" t="s">
        <v>322</v>
      </c>
      <c r="T11" s="177" t="s">
        <v>323</v>
      </c>
      <c r="U11" s="177" t="s">
        <v>324</v>
      </c>
      <c r="V11" s="177" t="s">
        <v>325</v>
      </c>
      <c r="W11" s="177" t="s">
        <v>326</v>
      </c>
      <c r="X11" s="98" t="s">
        <v>766</v>
      </c>
      <c r="Y11" s="177" t="s">
        <v>442</v>
      </c>
      <c r="Z11" s="177" t="s">
        <v>334</v>
      </c>
      <c r="AA11" s="177" t="s">
        <v>535</v>
      </c>
      <c r="AB11" s="177" t="s">
        <v>320</v>
      </c>
      <c r="AC11" s="177" t="s">
        <v>321</v>
      </c>
      <c r="AD11" s="177" t="s">
        <v>322</v>
      </c>
      <c r="AE11" s="177" t="s">
        <v>323</v>
      </c>
      <c r="AF11" s="177" t="s">
        <v>324</v>
      </c>
      <c r="AG11" s="177" t="s">
        <v>325</v>
      </c>
      <c r="AH11" s="177" t="s">
        <v>326</v>
      </c>
      <c r="AI11" s="177" t="s">
        <v>443</v>
      </c>
      <c r="AJ11" s="177" t="s">
        <v>769</v>
      </c>
      <c r="AK11" s="177" t="s">
        <v>768</v>
      </c>
      <c r="AL11" s="98" t="s">
        <v>766</v>
      </c>
      <c r="AM11" s="177" t="s">
        <v>334</v>
      </c>
      <c r="AN11" s="177" t="s">
        <v>320</v>
      </c>
      <c r="AO11" s="177" t="s">
        <v>321</v>
      </c>
      <c r="AP11" s="177" t="s">
        <v>322</v>
      </c>
      <c r="AQ11" s="177" t="s">
        <v>323</v>
      </c>
      <c r="AR11" s="177" t="s">
        <v>324</v>
      </c>
      <c r="AS11" s="177" t="s">
        <v>325</v>
      </c>
      <c r="AT11" s="177" t="s">
        <v>326</v>
      </c>
      <c r="AU11" s="98" t="s">
        <v>766</v>
      </c>
      <c r="AV11" s="177" t="s">
        <v>442</v>
      </c>
      <c r="AW11" s="177" t="s">
        <v>334</v>
      </c>
      <c r="AX11" s="177" t="s">
        <v>320</v>
      </c>
      <c r="AY11" s="177" t="s">
        <v>321</v>
      </c>
      <c r="AZ11" s="177" t="s">
        <v>322</v>
      </c>
      <c r="BA11" s="177" t="s">
        <v>323</v>
      </c>
      <c r="BB11" s="177" t="s">
        <v>324</v>
      </c>
      <c r="BC11" s="177" t="s">
        <v>325</v>
      </c>
      <c r="BD11" s="177" t="s">
        <v>326</v>
      </c>
      <c r="BE11" s="177" t="s">
        <v>590</v>
      </c>
      <c r="BF11" s="177" t="s">
        <v>767</v>
      </c>
      <c r="BG11" s="98" t="s">
        <v>766</v>
      </c>
      <c r="BH11" s="177" t="s">
        <v>334</v>
      </c>
      <c r="BI11" s="177" t="s">
        <v>784</v>
      </c>
      <c r="BJ11" s="177" t="s">
        <v>442</v>
      </c>
      <c r="BK11" s="177" t="s">
        <v>784</v>
      </c>
      <c r="BL11" s="610" t="s">
        <v>785</v>
      </c>
      <c r="BM11" s="27"/>
      <c r="BN11" s="27"/>
    </row>
    <row r="12" spans="1:66" ht="24" customHeight="1" thickTop="1" thickBot="1">
      <c r="A12" s="1107"/>
      <c r="B12" s="1108"/>
      <c r="C12" s="607" t="s">
        <v>1140</v>
      </c>
      <c r="D12" s="1117" t="s">
        <v>1050</v>
      </c>
      <c r="E12" s="1118" t="s">
        <v>1058</v>
      </c>
      <c r="F12" s="1119"/>
      <c r="G12" s="1120" t="str">
        <f>IF(VLOOKUP(E$3,Database!$B$22:$N$301,2)="","",VLOOKUP(E$3,Database!$B$22:$N$301,2))</f>
        <v>Phosphoric acid</v>
      </c>
      <c r="H12" s="1121"/>
      <c r="I12" s="606"/>
      <c r="J12" s="607" t="s">
        <v>1059</v>
      </c>
      <c r="K12" s="607">
        <v>2</v>
      </c>
      <c r="L12" s="607"/>
      <c r="M12" s="1145"/>
      <c r="N12" s="27"/>
      <c r="O12" s="178">
        <v>0</v>
      </c>
      <c r="P12" s="178">
        <v>2.9904030814101192</v>
      </c>
      <c r="Q12" s="178">
        <v>3.2187643142029429E-21</v>
      </c>
      <c r="R12" s="178">
        <v>1.534937641645464E-9</v>
      </c>
      <c r="S12" s="178">
        <v>9.5969155200060739E-3</v>
      </c>
      <c r="T12" s="178">
        <v>0.9904030829450563</v>
      </c>
      <c r="U12" s="178"/>
      <c r="V12" s="178"/>
      <c r="W12" s="178"/>
      <c r="X12" s="576">
        <v>3.1393595571378539</v>
      </c>
      <c r="Y12" s="576">
        <v>0</v>
      </c>
      <c r="Z12" s="178">
        <v>1.8171072800722754</v>
      </c>
      <c r="AA12" s="178">
        <v>2.611256863883618</v>
      </c>
      <c r="AB12" s="178">
        <v>5.6159816814899737E-16</v>
      </c>
      <c r="AC12" s="178">
        <v>4.0805618151405927E-6</v>
      </c>
      <c r="AD12" s="178">
        <v>0.38873497499275006</v>
      </c>
      <c r="AE12" s="178">
        <v>0.61126094444543411</v>
      </c>
      <c r="AF12" s="178"/>
      <c r="AG12" s="178"/>
      <c r="AH12" s="178"/>
      <c r="AI12" s="178">
        <v>0.12979337714801967</v>
      </c>
      <c r="AJ12" s="178">
        <v>0.38938013144405897</v>
      </c>
      <c r="AK12" s="178">
        <v>6.4896688574009834E-2</v>
      </c>
      <c r="AL12" s="178">
        <v>0.10251703173390742</v>
      </c>
      <c r="AM12" s="178">
        <v>0</v>
      </c>
      <c r="AN12" s="178"/>
      <c r="AO12" s="178">
        <v>-8.8138522023224386</v>
      </c>
      <c r="AP12" s="178">
        <v>-2.0178552645425247</v>
      </c>
      <c r="AQ12" s="178">
        <v>-4.1879893287775326E-3</v>
      </c>
      <c r="AR12" s="178"/>
      <c r="AS12" s="178"/>
      <c r="AT12" s="178"/>
      <c r="AU12" s="178">
        <v>0.49683784262224956</v>
      </c>
      <c r="AV12" s="178">
        <v>0</v>
      </c>
      <c r="AW12" s="178">
        <v>0</v>
      </c>
      <c r="AX12" s="178">
        <v>-15.250475585437981</v>
      </c>
      <c r="AY12" s="178">
        <v>-5.3892451486313684</v>
      </c>
      <c r="AZ12" s="178">
        <v>-0.41034372699206983</v>
      </c>
      <c r="BA12" s="178">
        <v>-0.21377196791893649</v>
      </c>
      <c r="BB12" s="178"/>
      <c r="BC12" s="178"/>
      <c r="BD12" s="178"/>
      <c r="BE12" s="178">
        <v>-6.9616529828158429</v>
      </c>
      <c r="BF12" s="178">
        <v>-3.4808264914079214</v>
      </c>
      <c r="BG12" s="178">
        <v>-0.98919757272197772</v>
      </c>
      <c r="BH12" s="178">
        <v>0</v>
      </c>
      <c r="BI12" s="178">
        <v>-9.5969185898807652E-3</v>
      </c>
      <c r="BJ12" s="178">
        <v>1.8171072800722754</v>
      </c>
      <c r="BK12" s="178">
        <v>-0.388743136116382</v>
      </c>
      <c r="BL12" s="178">
        <v>-2.6106198685559412</v>
      </c>
      <c r="BM12" s="27"/>
      <c r="BN12" s="27"/>
    </row>
    <row r="13" spans="1:66" ht="13.5" thickTop="1">
      <c r="A13" s="27"/>
      <c r="B13" s="27"/>
      <c r="C13" s="27"/>
      <c r="D13" s="27"/>
      <c r="E13" s="27"/>
      <c r="F13" s="27"/>
      <c r="G13" s="27"/>
      <c r="H13" s="27"/>
      <c r="I13" s="27"/>
      <c r="J13" s="27"/>
      <c r="K13" s="27"/>
      <c r="L13" s="27"/>
      <c r="M13" s="2"/>
      <c r="N13" s="27"/>
      <c r="O13" s="178">
        <v>0.2</v>
      </c>
      <c r="P13" s="178">
        <v>2.9848748065382376</v>
      </c>
      <c r="Q13" s="178">
        <v>1.2742605092770875E-20</v>
      </c>
      <c r="R13" s="178">
        <v>3.8340677501590593E-9</v>
      </c>
      <c r="S13" s="178">
        <v>1.5125185793626757E-2</v>
      </c>
      <c r="T13" s="178">
        <v>0.9848748103723054</v>
      </c>
      <c r="U13" s="178"/>
      <c r="V13" s="178"/>
      <c r="W13" s="178"/>
      <c r="X13" s="577">
        <v>1.9828511207815405</v>
      </c>
      <c r="Y13" s="577">
        <v>2.3004448812571354</v>
      </c>
      <c r="Z13" s="178">
        <v>2.03204784726322</v>
      </c>
      <c r="AA13" s="178">
        <v>2.4894152781507013</v>
      </c>
      <c r="AB13" s="178">
        <v>1.98475113907249E-15</v>
      </c>
      <c r="AC13" s="178">
        <v>8.7914350388243287E-6</v>
      </c>
      <c r="AD13" s="178">
        <v>0.51056713897921513</v>
      </c>
      <c r="AE13" s="178">
        <v>0.48942406958574403</v>
      </c>
      <c r="AF13" s="178"/>
      <c r="AG13" s="178"/>
      <c r="AH13" s="178"/>
      <c r="AI13" s="178">
        <v>0.14514627480451572</v>
      </c>
      <c r="AJ13" s="178">
        <v>0.43543882441354714</v>
      </c>
      <c r="AK13" s="178">
        <v>7.2573137402257862E-2</v>
      </c>
      <c r="AL13" s="178">
        <v>8.6683304414929385E-2</v>
      </c>
      <c r="AM13" s="178">
        <v>0.2</v>
      </c>
      <c r="AN13" s="178">
        <v>-19.894612977614532</v>
      </c>
      <c r="AO13" s="178">
        <v>-8.4162857298696032</v>
      </c>
      <c r="AP13" s="178">
        <v>-1.8202874972919869</v>
      </c>
      <c r="AQ13" s="178">
        <v>-6.6189272805365273E-3</v>
      </c>
      <c r="AR13" s="178"/>
      <c r="AS13" s="178"/>
      <c r="AT13" s="178"/>
      <c r="AU13" s="178">
        <v>0.29728818246716965</v>
      </c>
      <c r="AV13" s="178">
        <v>2.3004448812571354</v>
      </c>
      <c r="AW13" s="178">
        <v>0.2</v>
      </c>
      <c r="AX13" s="178">
        <v>-14.702198757654582</v>
      </c>
      <c r="AY13" s="178">
        <v>-5.0559074965161495</v>
      </c>
      <c r="AZ13" s="178">
        <v>-0.29194525054503229</v>
      </c>
      <c r="BA13" s="178">
        <v>-0.31031266714008016</v>
      </c>
      <c r="BB13" s="178"/>
      <c r="BC13" s="178"/>
      <c r="BD13" s="178"/>
      <c r="BE13" s="178">
        <v>-6.8388298015638744</v>
      </c>
      <c r="BF13" s="178">
        <v>-3.4194149007819372</v>
      </c>
      <c r="BG13" s="178">
        <v>-1.0620576657000593</v>
      </c>
      <c r="BH13" s="178">
        <v>0.2</v>
      </c>
      <c r="BI13" s="178">
        <v>-1.5125193461762443E-2</v>
      </c>
      <c r="BJ13" s="178">
        <v>2.03204784726322</v>
      </c>
      <c r="BK13" s="178">
        <v>-0.51058472184929871</v>
      </c>
      <c r="BL13" s="178">
        <v>-2.5645611755864528</v>
      </c>
      <c r="BM13" s="27"/>
      <c r="BN13" s="27"/>
    </row>
    <row r="14" spans="1:66">
      <c r="A14" s="27"/>
      <c r="B14" s="27"/>
      <c r="C14" s="27"/>
      <c r="D14" s="27"/>
      <c r="E14" s="27"/>
      <c r="F14" s="27"/>
      <c r="G14" s="27"/>
      <c r="H14" s="27"/>
      <c r="I14" s="27"/>
      <c r="J14" s="27"/>
      <c r="K14" s="27"/>
      <c r="L14" s="27"/>
      <c r="M14" s="2"/>
      <c r="N14" s="27"/>
      <c r="O14" s="178">
        <v>0.4</v>
      </c>
      <c r="P14" s="178">
        <v>2.9762383867971742</v>
      </c>
      <c r="Q14" s="178">
        <v>5.0284377607761668E-20</v>
      </c>
      <c r="R14" s="178">
        <v>9.546290318054512E-9</v>
      </c>
      <c r="S14" s="178">
        <v>2.3761594110245289E-2</v>
      </c>
      <c r="T14" s="178">
        <v>0.97623839634346443</v>
      </c>
      <c r="U14" s="178"/>
      <c r="V14" s="178"/>
      <c r="W14" s="178"/>
      <c r="X14" s="577">
        <v>1.254271606607225</v>
      </c>
      <c r="Y14" s="577">
        <v>4.3254298929241486</v>
      </c>
      <c r="Z14" s="178">
        <v>2.2461396194374883</v>
      </c>
      <c r="AA14" s="178">
        <v>2.3692671893808357</v>
      </c>
      <c r="AB14" s="178">
        <v>6.5713966691194759E-15</v>
      </c>
      <c r="AC14" s="178">
        <v>1.7779503241684127E-5</v>
      </c>
      <c r="AD14" s="178">
        <v>0.63069725161266155</v>
      </c>
      <c r="AE14" s="178">
        <v>0.36928496888409029</v>
      </c>
      <c r="AF14" s="178"/>
      <c r="AG14" s="178"/>
      <c r="AH14" s="178"/>
      <c r="AI14" s="178">
        <v>0.16043854424553489</v>
      </c>
      <c r="AJ14" s="178">
        <v>0.48131563273660466</v>
      </c>
      <c r="AK14" s="178">
        <v>8.0219272122767443E-2</v>
      </c>
      <c r="AL14" s="178">
        <v>7.1436920118297983E-2</v>
      </c>
      <c r="AM14" s="178">
        <v>0.4</v>
      </c>
      <c r="AN14" s="178">
        <v>-19.298441982258883</v>
      </c>
      <c r="AO14" s="178">
        <v>-8.0201134397162512</v>
      </c>
      <c r="AP14" s="178">
        <v>-1.6241139123409329</v>
      </c>
      <c r="AQ14" s="178">
        <v>-1.0444047531779504E-2</v>
      </c>
      <c r="AR14" s="178"/>
      <c r="AS14" s="178"/>
      <c r="AT14" s="178"/>
      <c r="AU14" s="178">
        <v>9.8390954116562304E-2</v>
      </c>
      <c r="AV14" s="178">
        <v>4.3254298929241486</v>
      </c>
      <c r="AW14" s="178">
        <v>0.4</v>
      </c>
      <c r="AX14" s="178">
        <v>-14.182250500385607</v>
      </c>
      <c r="AY14" s="178">
        <v>-4.7500496253937694</v>
      </c>
      <c r="AZ14" s="178">
        <v>-0.20017776556924646</v>
      </c>
      <c r="BA14" s="178">
        <v>-0.4326355683108884</v>
      </c>
      <c r="BB14" s="178"/>
      <c r="BC14" s="178"/>
      <c r="BD14" s="178"/>
      <c r="BE14" s="178">
        <v>-6.7164916460357205</v>
      </c>
      <c r="BF14" s="178">
        <v>-3.3582458230178602</v>
      </c>
      <c r="BG14" s="178">
        <v>-1.1460698578950819</v>
      </c>
      <c r="BH14" s="178">
        <v>0.4</v>
      </c>
      <c r="BI14" s="178">
        <v>-2.3761613202825771E-2</v>
      </c>
      <c r="BJ14" s="178">
        <v>2.2461396194374883</v>
      </c>
      <c r="BK14" s="178">
        <v>-0.63073281061916431</v>
      </c>
      <c r="BL14" s="178">
        <v>-2.5186843672633952</v>
      </c>
      <c r="BM14" s="27"/>
      <c r="BN14" s="27"/>
    </row>
    <row r="15" spans="1:66">
      <c r="A15" s="27"/>
      <c r="B15" s="27"/>
      <c r="C15" s="27"/>
      <c r="D15" s="27"/>
      <c r="E15" s="27"/>
      <c r="F15" s="27"/>
      <c r="G15" s="27"/>
      <c r="H15" s="27"/>
      <c r="I15" s="27"/>
      <c r="J15" s="27"/>
      <c r="K15" s="27"/>
      <c r="L15" s="27"/>
      <c r="M15" s="2"/>
      <c r="N15" s="27"/>
      <c r="O15" s="178">
        <v>0.60000000000000009</v>
      </c>
      <c r="P15" s="178">
        <v>2.9628565828427957</v>
      </c>
      <c r="Q15" s="178">
        <v>1.9744166684804369E-19</v>
      </c>
      <c r="R15" s="178">
        <v>2.3650502226715149E-8</v>
      </c>
      <c r="S15" s="178">
        <v>3.714336985619953E-2</v>
      </c>
      <c r="T15" s="178">
        <v>0.96285660649329818</v>
      </c>
      <c r="U15" s="178"/>
      <c r="V15" s="178"/>
      <c r="W15" s="178"/>
      <c r="X15" s="577">
        <v>0.7962567008004594</v>
      </c>
      <c r="Y15" s="577">
        <v>5.9982889695675112</v>
      </c>
      <c r="Z15" s="178">
        <v>2.4592837415154789</v>
      </c>
      <c r="AA15" s="178">
        <v>2.2638097447622902</v>
      </c>
      <c r="AB15" s="178">
        <v>2.0467983376829496E-14</v>
      </c>
      <c r="AC15" s="178">
        <v>3.3899467233674733E-5</v>
      </c>
      <c r="AD15" s="178">
        <v>0.73612245630318052</v>
      </c>
      <c r="AE15" s="178">
        <v>0.2638436442295653</v>
      </c>
      <c r="AF15" s="178"/>
      <c r="AG15" s="178"/>
      <c r="AH15" s="178"/>
      <c r="AI15" s="178">
        <v>0.17566312439396278</v>
      </c>
      <c r="AJ15" s="178">
        <v>0.52698937318188832</v>
      </c>
      <c r="AK15" s="178">
        <v>8.7831562196981391E-2</v>
      </c>
      <c r="AL15" s="178">
        <v>5.5631047331840974E-2</v>
      </c>
      <c r="AM15" s="178">
        <v>0.60000000000000009</v>
      </c>
      <c r="AN15" s="178">
        <v>-18.704440098102967</v>
      </c>
      <c r="AO15" s="178">
        <v>-7.6261102607626325</v>
      </c>
      <c r="AP15" s="178">
        <v>-1.4301094385896107</v>
      </c>
      <c r="AQ15" s="178">
        <v>-1.643827898275466E-2</v>
      </c>
      <c r="AR15" s="178"/>
      <c r="AS15" s="178"/>
      <c r="AT15" s="178"/>
      <c r="AU15" s="178">
        <v>-9.8946259308254556E-2</v>
      </c>
      <c r="AV15" s="178">
        <v>5.9982889695675112</v>
      </c>
      <c r="AW15" s="178">
        <v>0.60000000000000009</v>
      </c>
      <c r="AX15" s="178">
        <v>-13.688836322471245</v>
      </c>
      <c r="AY15" s="178">
        <v>-4.4697781896648001</v>
      </c>
      <c r="AZ15" s="178">
        <v>-0.13304907202566932</v>
      </c>
      <c r="BA15" s="178">
        <v>-0.57864961695270345</v>
      </c>
      <c r="BB15" s="178"/>
      <c r="BC15" s="178"/>
      <c r="BD15" s="178"/>
      <c r="BE15" s="178">
        <v>-6.5946950048482975</v>
      </c>
      <c r="BF15" s="178">
        <v>-3.2973475024241488</v>
      </c>
      <c r="BG15" s="178">
        <v>-1.2546746409827401</v>
      </c>
      <c r="BH15" s="178">
        <v>0.60000000000000009</v>
      </c>
      <c r="BI15" s="178">
        <v>-3.7143417157204262E-2</v>
      </c>
      <c r="BJ15" s="178">
        <v>2.4592837415154789</v>
      </c>
      <c r="BK15" s="178">
        <v>-0.73619025523770976</v>
      </c>
      <c r="BL15" s="178">
        <v>-2.4730106268181116</v>
      </c>
      <c r="BM15" s="27"/>
      <c r="BN15" s="27"/>
    </row>
    <row r="16" spans="1:66">
      <c r="A16" s="27"/>
      <c r="B16" s="27"/>
      <c r="C16" s="27"/>
      <c r="D16" s="27"/>
      <c r="E16" s="27"/>
      <c r="F16" s="27"/>
      <c r="G16" s="27"/>
      <c r="H16" s="27"/>
      <c r="I16" s="27"/>
      <c r="J16" s="27"/>
      <c r="K16" s="27"/>
      <c r="L16" s="27"/>
      <c r="M16" s="2"/>
      <c r="N16" s="27"/>
      <c r="O16" s="178">
        <v>0.8</v>
      </c>
      <c r="P16" s="178">
        <v>2.9423833259381014</v>
      </c>
      <c r="Q16" s="178">
        <v>7.6931608759165904E-19</v>
      </c>
      <c r="R16" s="178">
        <v>5.8144196466120051E-8</v>
      </c>
      <c r="S16" s="178">
        <v>5.7616557773505363E-2</v>
      </c>
      <c r="T16" s="178">
        <v>0.94238338408229816</v>
      </c>
      <c r="U16" s="178"/>
      <c r="V16" s="178"/>
      <c r="W16" s="178"/>
      <c r="X16" s="577">
        <v>0.50971054488808987</v>
      </c>
      <c r="Y16" s="577">
        <v>7.2857926934375428</v>
      </c>
      <c r="Z16" s="178">
        <v>2.6715840969865385</v>
      </c>
      <c r="AA16" s="178">
        <v>2.1801441443986733</v>
      </c>
      <c r="AB16" s="178">
        <v>6.0589586855119058E-14</v>
      </c>
      <c r="AC16" s="178">
        <v>6.1548213691933439E-5</v>
      </c>
      <c r="AD16" s="178">
        <v>0.81973275917376109</v>
      </c>
      <c r="AE16" s="178">
        <v>0.18020569261248634</v>
      </c>
      <c r="AF16" s="178"/>
      <c r="AG16" s="178"/>
      <c r="AH16" s="178"/>
      <c r="AI16" s="178">
        <v>0.19082743549903847</v>
      </c>
      <c r="AJ16" s="178">
        <v>0.5724823064971154</v>
      </c>
      <c r="AK16" s="178">
        <v>9.5413717749519233E-2</v>
      </c>
      <c r="AL16" s="178">
        <v>4.0718690174928997E-2</v>
      </c>
      <c r="AM16" s="178">
        <v>0.8</v>
      </c>
      <c r="AN16" s="178">
        <v>-18.113777916547225</v>
      </c>
      <c r="AO16" s="178">
        <v>-7.2354467844091888</v>
      </c>
      <c r="AP16" s="178">
        <v>-1.2394446674384647</v>
      </c>
      <c r="AQ16" s="178">
        <v>-2.5772213033905356E-2</v>
      </c>
      <c r="AR16" s="178"/>
      <c r="AS16" s="178"/>
      <c r="AT16" s="178"/>
      <c r="AU16" s="178">
        <v>-0.29267448685369912</v>
      </c>
      <c r="AV16" s="178">
        <v>7.2857926934375428</v>
      </c>
      <c r="AW16" s="178">
        <v>0.8</v>
      </c>
      <c r="AX16" s="178">
        <v>-13.217516438232662</v>
      </c>
      <c r="AY16" s="178">
        <v>-4.2107572864672127</v>
      </c>
      <c r="AZ16" s="178">
        <v>-8.6327149869078676E-2</v>
      </c>
      <c r="BA16" s="178">
        <v>-0.74422667583710944</v>
      </c>
      <c r="BB16" s="178"/>
      <c r="BC16" s="178"/>
      <c r="BD16" s="178"/>
      <c r="BE16" s="178">
        <v>-6.4733805160076923</v>
      </c>
      <c r="BF16" s="178">
        <v>-3.2366902580038461</v>
      </c>
      <c r="BG16" s="178">
        <v>-1.3901972005058225</v>
      </c>
      <c r="BH16" s="178">
        <v>0.8</v>
      </c>
      <c r="BI16" s="178">
        <v>-5.7616674061898632E-2</v>
      </c>
      <c r="BJ16" s="178">
        <v>2.6715840969865385</v>
      </c>
      <c r="BK16" s="178">
        <v>-0.81985585560132668</v>
      </c>
      <c r="BL16" s="178">
        <v>-2.4275176935028844</v>
      </c>
      <c r="BM16" s="27"/>
      <c r="BN16" s="27"/>
    </row>
    <row r="17" spans="1:66">
      <c r="A17" s="27"/>
      <c r="B17" s="27"/>
      <c r="C17" s="27"/>
      <c r="D17" s="27"/>
      <c r="E17" s="27"/>
      <c r="F17" s="27"/>
      <c r="G17" s="27"/>
      <c r="H17" s="27"/>
      <c r="I17" s="27"/>
      <c r="J17" s="27"/>
      <c r="K17" s="27"/>
      <c r="L17" s="27"/>
      <c r="M17" s="2"/>
      <c r="N17" s="27"/>
      <c r="O17" s="178">
        <v>1</v>
      </c>
      <c r="P17" s="178">
        <v>2.9116606212324565</v>
      </c>
      <c r="Q17" s="178">
        <v>2.9628554066503605E-18</v>
      </c>
      <c r="R17" s="178">
        <v>1.4129019233725969E-7</v>
      </c>
      <c r="S17" s="178">
        <v>8.8339096187158642E-2</v>
      </c>
      <c r="T17" s="178">
        <v>0.91166076252264894</v>
      </c>
      <c r="U17" s="178"/>
      <c r="V17" s="178"/>
      <c r="W17" s="178"/>
      <c r="X17" s="577">
        <v>0.33226127458866733</v>
      </c>
      <c r="Y17" s="577">
        <v>8.2150732792797498</v>
      </c>
      <c r="Z17" s="178">
        <v>2.8832299762264122</v>
      </c>
      <c r="AA17" s="178">
        <v>2.118850371717973</v>
      </c>
      <c r="AB17" s="178">
        <v>1.7256827716568964E-13</v>
      </c>
      <c r="AC17" s="178">
        <v>1.0767937990459786E-4</v>
      </c>
      <c r="AD17" s="178">
        <v>0.88093426952170029</v>
      </c>
      <c r="AE17" s="178">
        <v>0.11895805109822248</v>
      </c>
      <c r="AF17" s="178"/>
      <c r="AG17" s="178"/>
      <c r="AH17" s="178"/>
      <c r="AI17" s="178">
        <v>0.20594499830188659</v>
      </c>
      <c r="AJ17" s="178">
        <v>0.61783499490565974</v>
      </c>
      <c r="AK17" s="178">
        <v>0.10297249915094329</v>
      </c>
      <c r="AL17" s="178">
        <v>2.8268511240845413E-2</v>
      </c>
      <c r="AM17" s="178">
        <v>1</v>
      </c>
      <c r="AN17" s="178">
        <v>-17.528176064508664</v>
      </c>
      <c r="AO17" s="178">
        <v>-6.8498436375729197</v>
      </c>
      <c r="AP17" s="178">
        <v>-1.053840225804493</v>
      </c>
      <c r="AQ17" s="178">
        <v>-4.0166476602230571E-2</v>
      </c>
      <c r="AR17" s="178"/>
      <c r="AS17" s="178"/>
      <c r="AT17" s="178"/>
      <c r="AU17" s="178">
        <v>-0.47851717532913202</v>
      </c>
      <c r="AV17" s="178">
        <v>8.2150732792797498</v>
      </c>
      <c r="AW17" s="178">
        <v>1</v>
      </c>
      <c r="AX17" s="178">
        <v>-12.762956408883468</v>
      </c>
      <c r="AY17" s="178">
        <v>-3.9678417661649035</v>
      </c>
      <c r="AZ17" s="178">
        <v>-5.5056138613651773E-2</v>
      </c>
      <c r="BA17" s="178">
        <v>-0.92460017362856484</v>
      </c>
      <c r="BB17" s="178"/>
      <c r="BC17" s="178"/>
      <c r="BD17" s="178"/>
      <c r="BE17" s="178">
        <v>-6.3524400135849071</v>
      </c>
      <c r="BF17" s="178">
        <v>-3.1762200067924535</v>
      </c>
      <c r="BG17" s="178">
        <v>-1.5486870367495422</v>
      </c>
      <c r="BH17" s="178">
        <v>1</v>
      </c>
      <c r="BI17" s="178">
        <v>-8.8339378767543497E-2</v>
      </c>
      <c r="BJ17" s="178">
        <v>2.8832299762264122</v>
      </c>
      <c r="BK17" s="178">
        <v>-0.88114962828202703</v>
      </c>
      <c r="BL17" s="178">
        <v>-2.3821650050943401</v>
      </c>
      <c r="BM17" s="27"/>
      <c r="BN17" s="27"/>
    </row>
    <row r="18" spans="1:66">
      <c r="A18" s="27"/>
      <c r="B18" s="27"/>
      <c r="C18" s="27"/>
      <c r="D18" s="27"/>
      <c r="E18" s="27"/>
      <c r="F18" s="27"/>
      <c r="G18" s="27"/>
      <c r="H18" s="27"/>
      <c r="I18" s="27"/>
      <c r="J18" s="27"/>
      <c r="K18" s="27"/>
      <c r="L18" s="27"/>
      <c r="M18" s="2"/>
      <c r="N18" s="27"/>
      <c r="O18" s="178">
        <v>1.2</v>
      </c>
      <c r="P18" s="178">
        <v>2.8668699732820788</v>
      </c>
      <c r="Q18" s="178">
        <v>1.1215827555141677E-17</v>
      </c>
      <c r="R18" s="178">
        <v>3.3746822103833419E-7</v>
      </c>
      <c r="S18" s="178">
        <v>0.13312935178147939</v>
      </c>
      <c r="T18" s="178">
        <v>0.86687031075029963</v>
      </c>
      <c r="U18" s="178"/>
      <c r="V18" s="178"/>
      <c r="W18" s="178"/>
      <c r="X18" s="577">
        <v>0.22451574519215781</v>
      </c>
      <c r="Y18" s="577">
        <v>8.852646873856429</v>
      </c>
      <c r="Z18" s="178">
        <v>3.0944106420923969</v>
      </c>
      <c r="AA18" s="178">
        <v>2.0764726140365402</v>
      </c>
      <c r="AB18" s="178">
        <v>4.7825106508971218E-13</v>
      </c>
      <c r="AC18" s="178">
        <v>1.8350456078502144E-4</v>
      </c>
      <c r="AD18" s="178">
        <v>0.92316037684045493</v>
      </c>
      <c r="AE18" s="178">
        <v>7.6656118598281836E-2</v>
      </c>
      <c r="AF18" s="178"/>
      <c r="AG18" s="178"/>
      <c r="AH18" s="178"/>
      <c r="AI18" s="178">
        <v>0.22102933157802834</v>
      </c>
      <c r="AJ18" s="178">
        <v>0.66308799473408508</v>
      </c>
      <c r="AK18" s="178">
        <v>0.11051466578901417</v>
      </c>
      <c r="AL18" s="178">
        <v>1.8870739205928962E-2</v>
      </c>
      <c r="AM18" s="178">
        <v>1.2</v>
      </c>
      <c r="AN18" s="178">
        <v>-16.950058941464864</v>
      </c>
      <c r="AO18" s="178">
        <v>-6.471725219731419</v>
      </c>
      <c r="AP18" s="178">
        <v>-0.87572051316528832</v>
      </c>
      <c r="AQ18" s="178">
        <v>-6.2045469165323122E-2</v>
      </c>
      <c r="AR18" s="178"/>
      <c r="AS18" s="178"/>
      <c r="AT18" s="178"/>
      <c r="AU18" s="178">
        <v>-0.64874899668761832</v>
      </c>
      <c r="AV18" s="178">
        <v>8.852646873856429</v>
      </c>
      <c r="AW18" s="178">
        <v>1.2</v>
      </c>
      <c r="AX18" s="178">
        <v>-12.320264292337542</v>
      </c>
      <c r="AY18" s="178">
        <v>-3.7363289483037558</v>
      </c>
      <c r="AZ18" s="178">
        <v>-3.4722619437283601E-2</v>
      </c>
      <c r="BA18" s="178">
        <v>-1.1154459531369763</v>
      </c>
      <c r="BB18" s="178"/>
      <c r="BC18" s="178"/>
      <c r="BD18" s="178"/>
      <c r="BE18" s="178">
        <v>-6.2317653473757737</v>
      </c>
      <c r="BF18" s="178">
        <v>-3.1158826736878869</v>
      </c>
      <c r="BG18" s="178">
        <v>-1.7241999247649638</v>
      </c>
      <c r="BH18" s="178">
        <v>1.2</v>
      </c>
      <c r="BI18" s="178">
        <v>-0.13313002671792118</v>
      </c>
      <c r="BJ18" s="178">
        <v>3.0944106420923969</v>
      </c>
      <c r="BK18" s="178">
        <v>-0.92352738596345985</v>
      </c>
      <c r="BL18" s="178">
        <v>-2.3369120052659147</v>
      </c>
      <c r="BM18" s="27"/>
      <c r="BN18" s="27"/>
    </row>
    <row r="19" spans="1:66">
      <c r="A19" s="27"/>
      <c r="B19" s="27"/>
      <c r="C19" s="27"/>
      <c r="D19" s="27"/>
      <c r="E19" s="27"/>
      <c r="F19" s="27"/>
      <c r="G19" s="27"/>
      <c r="H19" s="27"/>
      <c r="I19" s="27"/>
      <c r="J19" s="27"/>
      <c r="K19" s="27"/>
      <c r="L19" s="27"/>
      <c r="M19" s="2"/>
      <c r="N19" s="27"/>
      <c r="O19" s="178">
        <v>1.4</v>
      </c>
      <c r="P19" s="178">
        <v>2.8042453232177817</v>
      </c>
      <c r="Q19" s="178">
        <v>4.1425347762669581E-17</v>
      </c>
      <c r="R19" s="178">
        <v>7.8644385211158054E-7</v>
      </c>
      <c r="S19" s="178">
        <v>0.19575310389451375</v>
      </c>
      <c r="T19" s="178">
        <v>0.80424610966163401</v>
      </c>
      <c r="U19" s="178"/>
      <c r="V19" s="178"/>
      <c r="W19" s="178"/>
      <c r="X19" s="577">
        <v>0.16114432150007646</v>
      </c>
      <c r="Y19" s="577">
        <v>9.2745251997257583</v>
      </c>
      <c r="Z19" s="178">
        <v>3.3052786795679925</v>
      </c>
      <c r="AA19" s="178">
        <v>2.0482915201191303</v>
      </c>
      <c r="AB19" s="178">
        <v>1.3011828114673164E-12</v>
      </c>
      <c r="AC19" s="178">
        <v>3.0722828521512229E-4</v>
      </c>
      <c r="AD19" s="178">
        <v>0.95109402330653581</v>
      </c>
      <c r="AE19" s="178">
        <v>4.8598748406947924E-2</v>
      </c>
      <c r="AF19" s="178"/>
      <c r="AG19" s="178"/>
      <c r="AH19" s="178"/>
      <c r="AI19" s="178">
        <v>0.23609133425485659</v>
      </c>
      <c r="AJ19" s="178">
        <v>0.70827400276456987</v>
      </c>
      <c r="AK19" s="178">
        <v>0.1180456671274283</v>
      </c>
      <c r="AL19" s="178">
        <v>1.2277422512061016E-2</v>
      </c>
      <c r="AM19" s="178">
        <v>1.4</v>
      </c>
      <c r="AN19" s="178">
        <v>-16.382627775393203</v>
      </c>
      <c r="AO19" s="178">
        <v>-6.1042927588620568</v>
      </c>
      <c r="AP19" s="178">
        <v>-0.70828675749822378</v>
      </c>
      <c r="AQ19" s="178">
        <v>-9.4610418700555615E-2</v>
      </c>
      <c r="AR19" s="178"/>
      <c r="AS19" s="178"/>
      <c r="AT19" s="178"/>
      <c r="AU19" s="178">
        <v>-0.79277986132961276</v>
      </c>
      <c r="AV19" s="178">
        <v>9.2745251997257583</v>
      </c>
      <c r="AW19" s="178">
        <v>1.4</v>
      </c>
      <c r="AX19" s="178">
        <v>-11.885584734714383</v>
      </c>
      <c r="AY19" s="178">
        <v>-3.5125160629989387</v>
      </c>
      <c r="AZ19" s="178">
        <v>-2.1776406450808715E-2</v>
      </c>
      <c r="BA19" s="178">
        <v>-1.313366412468844</v>
      </c>
      <c r="BB19" s="178"/>
      <c r="BC19" s="178"/>
      <c r="BD19" s="178"/>
      <c r="BE19" s="178">
        <v>-6.111269325961147</v>
      </c>
      <c r="BF19" s="178">
        <v>-3.0556346629805735</v>
      </c>
      <c r="BG19" s="178">
        <v>-1.9108804271034623</v>
      </c>
      <c r="BH19" s="178">
        <v>1.4</v>
      </c>
      <c r="BI19" s="178">
        <v>-0.19575467678221825</v>
      </c>
      <c r="BJ19" s="178">
        <v>3.3052786795679925</v>
      </c>
      <c r="BK19" s="178">
        <v>-0.95170847988086971</v>
      </c>
      <c r="BL19" s="178">
        <v>-2.2917259972354302</v>
      </c>
      <c r="BM19" s="27"/>
      <c r="BN19" s="27"/>
    </row>
    <row r="20" spans="1:66">
      <c r="A20" s="27"/>
      <c r="B20" s="27"/>
      <c r="C20" s="27"/>
      <c r="D20" s="27"/>
      <c r="E20" s="27"/>
      <c r="F20" s="27"/>
      <c r="G20" s="27"/>
      <c r="H20" s="27"/>
      <c r="I20" s="27"/>
      <c r="J20" s="27"/>
      <c r="K20" s="27"/>
      <c r="L20" s="27"/>
      <c r="M20" s="2"/>
      <c r="N20" s="27"/>
      <c r="O20" s="178">
        <v>1.5999999999999999</v>
      </c>
      <c r="P20" s="178">
        <v>2.7216214725716306</v>
      </c>
      <c r="Q20" s="178">
        <v>1.479747818988091E-16</v>
      </c>
      <c r="R20" s="178">
        <v>1.772512339803593E-6</v>
      </c>
      <c r="S20" s="178">
        <v>0.27837498240368957</v>
      </c>
      <c r="T20" s="178">
        <v>0.72162324508397035</v>
      </c>
      <c r="U20" s="178"/>
      <c r="V20" s="178"/>
      <c r="W20" s="178"/>
      <c r="X20" s="577">
        <v>0.12505852047144986</v>
      </c>
      <c r="Y20" s="577">
        <v>9.5472193221212365</v>
      </c>
      <c r="Z20" s="178">
        <v>3.5159445293883027</v>
      </c>
      <c r="AA20" s="178">
        <v>2.0299749576428181</v>
      </c>
      <c r="AB20" s="178">
        <v>3.497631158045969E-12</v>
      </c>
      <c r="AC20" s="178">
        <v>5.0842984811543326E-4</v>
      </c>
      <c r="AD20" s="178">
        <v>0.96900818265045785</v>
      </c>
      <c r="AE20" s="178">
        <v>3.0483387497929074E-2</v>
      </c>
      <c r="AF20" s="178"/>
      <c r="AG20" s="178"/>
      <c r="AH20" s="178"/>
      <c r="AI20" s="178">
        <v>0.25113889495630731</v>
      </c>
      <c r="AJ20" s="178">
        <v>0.75341668486892199</v>
      </c>
      <c r="AK20" s="178">
        <v>0.12556944747815366</v>
      </c>
      <c r="AL20" s="178">
        <v>7.8855867062566122E-3</v>
      </c>
      <c r="AM20" s="178">
        <v>1.5999999999999999</v>
      </c>
      <c r="AN20" s="178">
        <v>-15.82970980944271</v>
      </c>
      <c r="AO20" s="178">
        <v>-5.7513734981138604</v>
      </c>
      <c r="AP20" s="178">
        <v>-0.55536620195232411</v>
      </c>
      <c r="AQ20" s="178">
        <v>-0.14168856835695287</v>
      </c>
      <c r="AR20" s="178"/>
      <c r="AS20" s="178"/>
      <c r="AT20" s="178"/>
      <c r="AU20" s="178">
        <v>-0.90288086834999737</v>
      </c>
      <c r="AV20" s="178">
        <v>9.5472193221212365</v>
      </c>
      <c r="AW20" s="178">
        <v>1.5999999999999999</v>
      </c>
      <c r="AX20" s="178">
        <v>-11.456151823399928</v>
      </c>
      <c r="AY20" s="178">
        <v>-3.2937476376565025</v>
      </c>
      <c r="AZ20" s="178">
        <v>-1.3672467080390742E-2</v>
      </c>
      <c r="BA20" s="178">
        <v>-1.5159269590704441</v>
      </c>
      <c r="BB20" s="178"/>
      <c r="BC20" s="178"/>
      <c r="BD20" s="178"/>
      <c r="BE20" s="178">
        <v>-5.9908888403495411</v>
      </c>
      <c r="BF20" s="178">
        <v>-2.9954444201747705</v>
      </c>
      <c r="BG20" s="178">
        <v>-2.1031523727263486</v>
      </c>
      <c r="BH20" s="178">
        <v>1.5999999999999999</v>
      </c>
      <c r="BI20" s="178">
        <v>-0.27837852742836944</v>
      </c>
      <c r="BJ20" s="178">
        <v>3.5159445293883027</v>
      </c>
      <c r="BK20" s="178">
        <v>-0.9700250423571819</v>
      </c>
      <c r="BL20" s="178">
        <v>-2.2465833151310779</v>
      </c>
      <c r="BM20" s="27"/>
      <c r="BN20" s="27"/>
    </row>
    <row r="21" spans="1:66">
      <c r="A21" s="27"/>
      <c r="B21" s="27"/>
      <c r="C21" s="27"/>
      <c r="D21" s="27"/>
      <c r="E21" s="27"/>
      <c r="F21" s="27"/>
      <c r="G21" s="27"/>
      <c r="H21" s="27"/>
      <c r="I21" s="27"/>
      <c r="J21" s="27"/>
      <c r="K21" s="27"/>
      <c r="L21" s="27"/>
      <c r="M21" s="2"/>
      <c r="N21" s="27"/>
      <c r="O21" s="178">
        <v>1.7999999999999998</v>
      </c>
      <c r="P21" s="178">
        <v>2.6205752893536549</v>
      </c>
      <c r="Q21" s="178">
        <v>5.0661069302882487E-16</v>
      </c>
      <c r="R21" s="178">
        <v>3.8289166367908159E-6</v>
      </c>
      <c r="S21" s="178">
        <v>0.3794170528130702</v>
      </c>
      <c r="T21" s="178">
        <v>0.62057911827029255</v>
      </c>
      <c r="U21" s="178"/>
      <c r="V21" s="178"/>
      <c r="W21" s="178"/>
      <c r="X21" s="577">
        <v>0.10393996046983531</v>
      </c>
      <c r="Y21" s="577">
        <v>9.7213898246991448</v>
      </c>
      <c r="Z21" s="178">
        <v>3.7264837975794283</v>
      </c>
      <c r="AA21" s="178">
        <v>2.0181538165590442</v>
      </c>
      <c r="AB21" s="178">
        <v>9.3288722063737369E-12</v>
      </c>
      <c r="AC21" s="178">
        <v>8.3511619349201018E-4</v>
      </c>
      <c r="AD21" s="178">
        <v>0.98017595102598487</v>
      </c>
      <c r="AE21" s="178">
        <v>1.8988932771194126E-2</v>
      </c>
      <c r="AF21" s="178"/>
      <c r="AG21" s="178"/>
      <c r="AH21" s="178"/>
      <c r="AI21" s="178">
        <v>0.26617741411281631</v>
      </c>
      <c r="AJ21" s="178">
        <v>0.79853224233844888</v>
      </c>
      <c r="AK21" s="178">
        <v>0.13308870705640816</v>
      </c>
      <c r="AL21" s="178">
        <v>5.0777183694843868E-3</v>
      </c>
      <c r="AM21" s="178">
        <v>1.7999999999999998</v>
      </c>
      <c r="AN21" s="178">
        <v>-15.295226626035157</v>
      </c>
      <c r="AO21" s="178">
        <v>-5.4168890199086066</v>
      </c>
      <c r="AP21" s="178">
        <v>-0.42088042894936656</v>
      </c>
      <c r="AQ21" s="178">
        <v>-0.20720150055629227</v>
      </c>
      <c r="AR21" s="178"/>
      <c r="AS21" s="178"/>
      <c r="AT21" s="178"/>
      <c r="AU21" s="178">
        <v>-0.9832110873443346</v>
      </c>
      <c r="AV21" s="178">
        <v>9.7213898246991448</v>
      </c>
      <c r="AW21" s="178">
        <v>1.7999999999999998</v>
      </c>
      <c r="AX21" s="178">
        <v>-11.030099446963357</v>
      </c>
      <c r="AY21" s="178">
        <v>-3.0782331663822529</v>
      </c>
      <c r="AZ21" s="178">
        <v>-8.6959009684621624E-3</v>
      </c>
      <c r="BA21" s="178">
        <v>-1.7214882981208366</v>
      </c>
      <c r="BB21" s="178"/>
      <c r="BC21" s="178"/>
      <c r="BD21" s="178"/>
      <c r="BE21" s="178">
        <v>-5.8705806870974691</v>
      </c>
      <c r="BF21" s="178">
        <v>-2.9352903435487345</v>
      </c>
      <c r="BG21" s="178">
        <v>-2.2943165370236014</v>
      </c>
      <c r="BH21" s="178">
        <v>1.7999999999999998</v>
      </c>
      <c r="BI21" s="178">
        <v>-0.37942471064634509</v>
      </c>
      <c r="BJ21" s="178">
        <v>3.7264837975794283</v>
      </c>
      <c r="BK21" s="178">
        <v>-0.98184618344095576</v>
      </c>
      <c r="BL21" s="178">
        <v>-2.2014677576615513</v>
      </c>
      <c r="BM21" s="27"/>
      <c r="BN21" s="27"/>
    </row>
    <row r="22" spans="1:66">
      <c r="A22" s="27"/>
      <c r="B22" s="27"/>
      <c r="C22" s="27"/>
      <c r="D22" s="27"/>
      <c r="E22" s="27"/>
      <c r="F22" s="27"/>
      <c r="G22" s="27"/>
      <c r="H22" s="27"/>
      <c r="I22" s="27"/>
      <c r="J22" s="27"/>
      <c r="K22" s="27"/>
      <c r="L22" s="27"/>
      <c r="M22" s="2"/>
      <c r="N22" s="27"/>
      <c r="O22" s="178">
        <v>1.9999999999999998</v>
      </c>
      <c r="P22" s="178">
        <v>2.5078625008491104</v>
      </c>
      <c r="Q22" s="178">
        <v>1.6505552712822386E-15</v>
      </c>
      <c r="R22" s="178">
        <v>7.8710311417591811E-6</v>
      </c>
      <c r="S22" s="178">
        <v>0.49212175708860068</v>
      </c>
      <c r="T22" s="178">
        <v>0.50787037188025586</v>
      </c>
      <c r="U22" s="178"/>
      <c r="V22" s="178"/>
      <c r="W22" s="178"/>
      <c r="X22" s="577">
        <v>8.8926100116968415E-2</v>
      </c>
      <c r="Y22" s="577">
        <v>9.8327682426315732</v>
      </c>
      <c r="Z22" s="178">
        <v>3.9369472311575628</v>
      </c>
      <c r="AA22" s="178">
        <v>2.0104106507743622</v>
      </c>
      <c r="AB22" s="178">
        <v>2.4757520557504773E-11</v>
      </c>
      <c r="AC22" s="178">
        <v>1.3650905995211621E-3</v>
      </c>
      <c r="AD22" s="178">
        <v>0.98685916795232298</v>
      </c>
      <c r="AE22" s="178">
        <v>1.1775741423398369E-2</v>
      </c>
      <c r="AF22" s="178"/>
      <c r="AG22" s="178"/>
      <c r="AH22" s="178"/>
      <c r="AI22" s="178">
        <v>0.2812105165112545</v>
      </c>
      <c r="AJ22" s="178">
        <v>0.84363154953376351</v>
      </c>
      <c r="AK22" s="178">
        <v>0.14060525825562725</v>
      </c>
      <c r="AL22" s="178">
        <v>3.3635885677255973E-3</v>
      </c>
      <c r="AM22" s="178">
        <v>1.9999999999999998</v>
      </c>
      <c r="AN22" s="178">
        <v>-14.78227422720456</v>
      </c>
      <c r="AO22" s="178">
        <v>-5.1039353262803031</v>
      </c>
      <c r="AP22" s="178">
        <v>-0.30792544052336041</v>
      </c>
      <c r="AQ22" s="178">
        <v>-0.2942452173325833</v>
      </c>
      <c r="AR22" s="178"/>
      <c r="AS22" s="178"/>
      <c r="AT22" s="178"/>
      <c r="AU22" s="178">
        <v>-1.0509639494198226</v>
      </c>
      <c r="AV22" s="178">
        <v>9.8327682426315732</v>
      </c>
      <c r="AW22" s="178">
        <v>1.9999999999999998</v>
      </c>
      <c r="AX22" s="178">
        <v>-10.606224186641596</v>
      </c>
      <c r="AY22" s="178">
        <v>-2.8648199771007756</v>
      </c>
      <c r="AZ22" s="178">
        <v>-5.7447827272678678E-3</v>
      </c>
      <c r="BA22" s="178">
        <v>-1.9289992509199254</v>
      </c>
      <c r="BB22" s="178"/>
      <c r="BC22" s="178"/>
      <c r="BD22" s="178"/>
      <c r="BE22" s="178">
        <v>-5.750315867909964</v>
      </c>
      <c r="BF22" s="178">
        <v>-2.875157933954982</v>
      </c>
      <c r="BG22" s="178">
        <v>-2.4731811208339844</v>
      </c>
      <c r="BH22" s="178">
        <v>1.9999999999999998</v>
      </c>
      <c r="BI22" s="178">
        <v>-0.49213749915088956</v>
      </c>
      <c r="BJ22" s="178">
        <v>3.9369472311575628</v>
      </c>
      <c r="BK22" s="178">
        <v>-0.98958934922563779</v>
      </c>
      <c r="BL22" s="178">
        <v>-2.1563684504662364</v>
      </c>
      <c r="BM22" s="27"/>
      <c r="BN22" s="27"/>
    </row>
    <row r="23" spans="1:66">
      <c r="A23" s="27"/>
      <c r="B23" s="27"/>
      <c r="C23" s="27"/>
      <c r="D23" s="27"/>
      <c r="E23" s="27"/>
      <c r="F23" s="27"/>
      <c r="G23" s="27"/>
      <c r="H23" s="27"/>
      <c r="I23" s="27"/>
      <c r="J23" s="27"/>
      <c r="K23" s="27"/>
      <c r="L23" s="27"/>
      <c r="M23" s="2"/>
      <c r="N23" s="27"/>
      <c r="O23" s="178">
        <v>2.1999999999999997</v>
      </c>
      <c r="P23" s="178">
        <v>2.3943396961374055</v>
      </c>
      <c r="Q23" s="178">
        <v>5.1022836530815549E-15</v>
      </c>
      <c r="R23" s="178">
        <v>1.5352042273947531E-5</v>
      </c>
      <c r="S23" s="178">
        <v>0.6056295997780311</v>
      </c>
      <c r="T23" s="178">
        <v>0.3943550481796898</v>
      </c>
      <c r="U23" s="178"/>
      <c r="V23" s="178"/>
      <c r="W23" s="178"/>
      <c r="X23" s="577">
        <v>7.47956349936299E-2</v>
      </c>
      <c r="Y23" s="577">
        <v>9.9056407503667288</v>
      </c>
      <c r="Z23" s="178">
        <v>4.1473695514894615</v>
      </c>
      <c r="AA23" s="178">
        <v>2.0050562957243598</v>
      </c>
      <c r="AB23" s="178">
        <v>6.5486080498795348E-11</v>
      </c>
      <c r="AC23" s="178">
        <v>2.2242367131681761E-3</v>
      </c>
      <c r="AD23" s="178">
        <v>0.99049523065284573</v>
      </c>
      <c r="AE23" s="178">
        <v>7.2805325685000354E-3</v>
      </c>
      <c r="AF23" s="178"/>
      <c r="AG23" s="178"/>
      <c r="AH23" s="178"/>
      <c r="AI23" s="178">
        <v>0.29624068224924727</v>
      </c>
      <c r="AJ23" s="178">
        <v>0.8887220467477418</v>
      </c>
      <c r="AK23" s="178">
        <v>0.14812034112462363</v>
      </c>
      <c r="AL23" s="178">
        <v>2.4061257913568306E-3</v>
      </c>
      <c r="AM23" s="178">
        <v>2.1999999999999997</v>
      </c>
      <c r="AN23" s="178">
        <v>-14.29214287339865</v>
      </c>
      <c r="AO23" s="178">
        <v>-4.8138026776766916</v>
      </c>
      <c r="AP23" s="178">
        <v>-0.21779149712204668</v>
      </c>
      <c r="AQ23" s="178">
        <v>-0.40410997913356639</v>
      </c>
      <c r="AR23" s="178"/>
      <c r="AS23" s="178"/>
      <c r="AT23" s="178"/>
      <c r="AU23" s="178">
        <v>-1.1261164559213934</v>
      </c>
      <c r="AV23" s="178">
        <v>9.9056407503667288</v>
      </c>
      <c r="AW23" s="178">
        <v>2.1999999999999997</v>
      </c>
      <c r="AX23" s="178">
        <v>-10.183785072240024</v>
      </c>
      <c r="AY23" s="178">
        <v>-2.6528018207594153</v>
      </c>
      <c r="AZ23" s="178">
        <v>-4.1475844461209832E-3</v>
      </c>
      <c r="BA23" s="178">
        <v>-2.1378230106989919</v>
      </c>
      <c r="BB23" s="178"/>
      <c r="BC23" s="178"/>
      <c r="BD23" s="178"/>
      <c r="BE23" s="178">
        <v>-5.6300745420060219</v>
      </c>
      <c r="BF23" s="178">
        <v>-2.8150372710030109</v>
      </c>
      <c r="BG23" s="178">
        <v>-2.618664718334438</v>
      </c>
      <c r="BH23" s="178">
        <v>2.1999999999999997</v>
      </c>
      <c r="BI23" s="178">
        <v>-0.60566030386259451</v>
      </c>
      <c r="BJ23" s="178">
        <v>4.1473695514894615</v>
      </c>
      <c r="BK23" s="178">
        <v>-0.99494370427564016</v>
      </c>
      <c r="BL23" s="178">
        <v>-2.1112779532522583</v>
      </c>
      <c r="BM23" s="27"/>
      <c r="BN23" s="27"/>
    </row>
    <row r="24" spans="1:66">
      <c r="A24" s="27"/>
      <c r="B24" s="27"/>
      <c r="C24" s="27"/>
      <c r="D24" s="27"/>
      <c r="E24" s="27"/>
      <c r="F24" s="27"/>
      <c r="G24" s="27"/>
      <c r="H24" s="27"/>
      <c r="I24" s="27"/>
      <c r="J24" s="27"/>
      <c r="K24" s="27"/>
      <c r="L24" s="27"/>
      <c r="M24" s="2"/>
      <c r="N24" s="27"/>
      <c r="O24" s="178">
        <v>2.4</v>
      </c>
      <c r="P24" s="178">
        <v>2.2911692447219174</v>
      </c>
      <c r="Q24" s="178">
        <v>1.4999098746496071E-14</v>
      </c>
      <c r="R24" s="178">
        <v>2.8475196065888572E-5</v>
      </c>
      <c r="S24" s="178">
        <v>0.7087738048859058</v>
      </c>
      <c r="T24" s="178">
        <v>0.29119771991801341</v>
      </c>
      <c r="U24" s="178"/>
      <c r="V24" s="178"/>
      <c r="W24" s="178"/>
      <c r="X24" s="577">
        <v>6.0025711943161267E-2</v>
      </c>
      <c r="Y24" s="577">
        <v>9.956512633652892</v>
      </c>
      <c r="Z24" s="178">
        <v>4.3577764259656462</v>
      </c>
      <c r="AA24" s="178">
        <v>2.0008754989469919</v>
      </c>
      <c r="AB24" s="178">
        <v>1.7281250659819446E-10</v>
      </c>
      <c r="AC24" s="178">
        <v>3.6157658811562065E-3</v>
      </c>
      <c r="AD24" s="178">
        <v>0.99189296877225785</v>
      </c>
      <c r="AE24" s="178">
        <v>4.4912651737733398E-3</v>
      </c>
      <c r="AF24" s="178"/>
      <c r="AG24" s="178"/>
      <c r="AH24" s="178"/>
      <c r="AI24" s="178">
        <v>0.31126974471183189</v>
      </c>
      <c r="AJ24" s="178">
        <v>0.93380923413549566</v>
      </c>
      <c r="AK24" s="178">
        <v>0.15563487235591594</v>
      </c>
      <c r="AL24" s="178">
        <v>2.0041947750685132E-3</v>
      </c>
      <c r="AM24" s="178">
        <v>2.4</v>
      </c>
      <c r="AN24" s="178">
        <v>-13.823845339694474</v>
      </c>
      <c r="AO24" s="178">
        <v>-4.5455038491748105</v>
      </c>
      <c r="AP24" s="178">
        <v>-0.14949137382246278</v>
      </c>
      <c r="AQ24" s="178">
        <v>-0.53580856103627961</v>
      </c>
      <c r="AR24" s="178"/>
      <c r="AS24" s="178"/>
      <c r="AT24" s="178"/>
      <c r="AU24" s="178">
        <v>-1.2216547712011616</v>
      </c>
      <c r="AV24" s="178">
        <v>9.956512633652892</v>
      </c>
      <c r="AW24" s="178">
        <v>2.4</v>
      </c>
      <c r="AX24" s="178">
        <v>-9.7623616286070796</v>
      </c>
      <c r="AY24" s="178">
        <v>-2.4417838894309676</v>
      </c>
      <c r="AZ24" s="178">
        <v>-3.5351654221690561E-3</v>
      </c>
      <c r="BA24" s="178">
        <v>-2.347616103979536</v>
      </c>
      <c r="BB24" s="178"/>
      <c r="BC24" s="178"/>
      <c r="BD24" s="178"/>
      <c r="BE24" s="178">
        <v>-5.5098420423053449</v>
      </c>
      <c r="BF24" s="178">
        <v>-2.7549210211526725</v>
      </c>
      <c r="BG24" s="178">
        <v>-2.6980426071981696</v>
      </c>
      <c r="BH24" s="178">
        <v>2.4</v>
      </c>
      <c r="BI24" s="178">
        <v>-0.70883075527808259</v>
      </c>
      <c r="BJ24" s="178">
        <v>4.3577764259656462</v>
      </c>
      <c r="BK24" s="178">
        <v>-0.9991245010530081</v>
      </c>
      <c r="BL24" s="178">
        <v>-2.0661907658645045</v>
      </c>
      <c r="BM24" s="27"/>
      <c r="BN24" s="27"/>
    </row>
    <row r="25" spans="1:66">
      <c r="A25" s="27"/>
      <c r="B25" s="27"/>
      <c r="C25" s="27"/>
      <c r="D25" s="27"/>
      <c r="E25" s="27"/>
      <c r="F25" s="27"/>
      <c r="G25" s="27"/>
      <c r="H25" s="27"/>
      <c r="I25" s="27"/>
      <c r="J25" s="27"/>
      <c r="K25" s="27"/>
      <c r="L25" s="27"/>
      <c r="M25" s="2"/>
      <c r="N25" s="27"/>
      <c r="O25" s="178">
        <v>2.6</v>
      </c>
      <c r="P25" s="178">
        <v>2.2058010662864009</v>
      </c>
      <c r="Q25" s="178">
        <v>4.221156976112795E-14</v>
      </c>
      <c r="R25" s="178">
        <v>5.0563026567084006E-5</v>
      </c>
      <c r="S25" s="178">
        <v>0.79409780766033788</v>
      </c>
      <c r="T25" s="178">
        <v>0.20585162931305281</v>
      </c>
      <c r="U25" s="178"/>
      <c r="V25" s="178"/>
      <c r="W25" s="178"/>
      <c r="X25" s="577">
        <v>4.5538805827459554E-2</v>
      </c>
      <c r="Y25" s="577">
        <v>9.9971799951163121</v>
      </c>
      <c r="Z25" s="178">
        <v>4.568190022913047</v>
      </c>
      <c r="AA25" s="178">
        <v>1.9968986233493355</v>
      </c>
      <c r="AB25" s="178">
        <v>4.5516887120333683E-10</v>
      </c>
      <c r="AC25" s="178">
        <v>5.8665677308931755E-3</v>
      </c>
      <c r="AD25" s="178">
        <v>0.99136823982337163</v>
      </c>
      <c r="AE25" s="178">
        <v>2.7651919905664008E-3</v>
      </c>
      <c r="AF25" s="178"/>
      <c r="AG25" s="178"/>
      <c r="AH25" s="178"/>
      <c r="AI25" s="178">
        <v>0.32629928735093194</v>
      </c>
      <c r="AJ25" s="178">
        <v>0.97889786205279583</v>
      </c>
      <c r="AK25" s="178">
        <v>0.16314964367546597</v>
      </c>
      <c r="AL25" s="178">
        <v>2.0701265063632845E-3</v>
      </c>
      <c r="AM25" s="178">
        <v>2.6</v>
      </c>
      <c r="AN25" s="178">
        <v>-13.374481910227319</v>
      </c>
      <c r="AO25" s="178">
        <v>-4.2961391249099536</v>
      </c>
      <c r="AP25" s="178">
        <v>-0.10012535475990293</v>
      </c>
      <c r="AQ25" s="178">
        <v>-0.68644124717601718</v>
      </c>
      <c r="AR25" s="178"/>
      <c r="AS25" s="178"/>
      <c r="AT25" s="178"/>
      <c r="AU25" s="178">
        <v>-1.3416096765343324</v>
      </c>
      <c r="AV25" s="178">
        <v>9.9971799951163121</v>
      </c>
      <c r="AW25" s="178">
        <v>2.6</v>
      </c>
      <c r="AX25" s="178">
        <v>-9.3417669679202699</v>
      </c>
      <c r="AY25" s="178">
        <v>-2.2316014634763484</v>
      </c>
      <c r="AZ25" s="178">
        <v>-3.7649741997409572E-3</v>
      </c>
      <c r="BA25" s="178">
        <v>-2.5582581474892985</v>
      </c>
      <c r="BB25" s="178"/>
      <c r="BC25" s="178"/>
      <c r="BD25" s="178"/>
      <c r="BE25" s="178">
        <v>-5.3896057011925445</v>
      </c>
      <c r="BF25" s="178">
        <v>-2.6948028505962722</v>
      </c>
      <c r="BG25" s="178">
        <v>-2.6839857375953677</v>
      </c>
      <c r="BH25" s="178">
        <v>2.6</v>
      </c>
      <c r="BI25" s="178">
        <v>-0.79419893371359906</v>
      </c>
      <c r="BJ25" s="178">
        <v>4.568190022913047</v>
      </c>
      <c r="BK25" s="178">
        <v>-1.0031013766506645</v>
      </c>
      <c r="BL25" s="178">
        <v>-2.0211021379472043</v>
      </c>
      <c r="BM25" s="27"/>
      <c r="BN25" s="27"/>
    </row>
    <row r="26" spans="1:66">
      <c r="A26" s="27"/>
      <c r="B26" s="27"/>
      <c r="C26" s="27"/>
      <c r="D26" s="27"/>
      <c r="E26" s="27"/>
      <c r="F26" s="27"/>
      <c r="G26" s="27"/>
      <c r="H26" s="27"/>
      <c r="I26" s="27"/>
      <c r="J26" s="27"/>
      <c r="K26" s="27"/>
      <c r="L26" s="27"/>
      <c r="M26" s="2"/>
      <c r="N26" s="27"/>
      <c r="O26" s="178">
        <v>2.8000000000000003</v>
      </c>
      <c r="P26" s="178">
        <v>2.1404705795938317</v>
      </c>
      <c r="Q26" s="178">
        <v>1.1474416422634397E-13</v>
      </c>
      <c r="R26" s="178">
        <v>8.6722575229162792E-5</v>
      </c>
      <c r="S26" s="178">
        <v>0.859355975255366</v>
      </c>
      <c r="T26" s="178">
        <v>0.14055730216929008</v>
      </c>
      <c r="U26" s="178"/>
      <c r="V26" s="178"/>
      <c r="W26" s="178"/>
      <c r="X26" s="577">
        <v>3.2813287508899898E-2</v>
      </c>
      <c r="Y26" s="577">
        <v>10.037190483126324</v>
      </c>
      <c r="Z26" s="178">
        <v>4.7786339196049799</v>
      </c>
      <c r="AA26" s="178">
        <v>1.9921993189339051</v>
      </c>
      <c r="AB26" s="178">
        <v>1.1965600882484132E-9</v>
      </c>
      <c r="AC26" s="178">
        <v>9.4995307272474853E-3</v>
      </c>
      <c r="AD26" s="178">
        <v>0.98880161602191963</v>
      </c>
      <c r="AE26" s="178">
        <v>1.6988520542728144E-3</v>
      </c>
      <c r="AF26" s="178"/>
      <c r="AG26" s="178"/>
      <c r="AH26" s="178"/>
      <c r="AI26" s="178">
        <v>0.34133099425749858</v>
      </c>
      <c r="AJ26" s="178">
        <v>1.0239929827724956</v>
      </c>
      <c r="AK26" s="178">
        <v>0.17066549712874929</v>
      </c>
      <c r="AL26" s="178">
        <v>2.6167592589254425E-3</v>
      </c>
      <c r="AM26" s="178">
        <v>2.8000000000000003</v>
      </c>
      <c r="AN26" s="178">
        <v>-12.94018561785745</v>
      </c>
      <c r="AO26" s="178">
        <v>-4.0618415377423824</v>
      </c>
      <c r="AP26" s="178">
        <v>-6.5826472794628915E-2</v>
      </c>
      <c r="AQ26" s="178">
        <v>-0.8521410704130401</v>
      </c>
      <c r="AR26" s="178"/>
      <c r="AS26" s="178"/>
      <c r="AT26" s="178"/>
      <c r="AU26" s="178">
        <v>-1.4839406491127689</v>
      </c>
      <c r="AV26" s="178">
        <v>10.037190483126324</v>
      </c>
      <c r="AW26" s="178">
        <v>2.8000000000000003</v>
      </c>
      <c r="AX26" s="178">
        <v>-8.9220077259731223</v>
      </c>
      <c r="AY26" s="178">
        <v>-2.0222847558097645</v>
      </c>
      <c r="AZ26" s="178">
        <v>-4.8908008137197997E-3</v>
      </c>
      <c r="BA26" s="178">
        <v>-2.76982650838384</v>
      </c>
      <c r="BB26" s="178"/>
      <c r="BC26" s="178"/>
      <c r="BD26" s="178"/>
      <c r="BE26" s="178">
        <v>-5.2693520459400114</v>
      </c>
      <c r="BF26" s="178">
        <v>-2.6346760229700057</v>
      </c>
      <c r="BG26" s="178">
        <v>-2.5822195131179457</v>
      </c>
      <c r="BH26" s="178">
        <v>2.8000000000000003</v>
      </c>
      <c r="BI26" s="178">
        <v>-0.85952942040616831</v>
      </c>
      <c r="BJ26" s="178">
        <v>4.7786339196049799</v>
      </c>
      <c r="BK26" s="178">
        <v>-1.0078006810660949</v>
      </c>
      <c r="BL26" s="178">
        <v>-1.9760070172275044</v>
      </c>
      <c r="BM26" s="27"/>
      <c r="BN26" s="27"/>
    </row>
    <row r="27" spans="1:66">
      <c r="A27" s="27"/>
      <c r="B27" s="27"/>
      <c r="C27" s="27"/>
      <c r="D27" s="27"/>
      <c r="E27" s="27"/>
      <c r="F27" s="27"/>
      <c r="G27" s="27"/>
      <c r="H27" s="27"/>
      <c r="I27" s="27"/>
      <c r="J27" s="27"/>
      <c r="K27" s="27"/>
      <c r="L27" s="27"/>
      <c r="M27" s="2"/>
      <c r="N27" s="27"/>
      <c r="O27" s="178">
        <v>3.0000000000000004</v>
      </c>
      <c r="P27" s="178">
        <v>2.0933876497116342</v>
      </c>
      <c r="Q27" s="178">
        <v>3.0397665827208917E-13</v>
      </c>
      <c r="R27" s="178">
        <v>1.4495786874006304E-4</v>
      </c>
      <c r="S27" s="178">
        <v>0.90632243454997419</v>
      </c>
      <c r="T27" s="178">
        <v>9.3532607580981864E-2</v>
      </c>
      <c r="U27" s="178"/>
      <c r="V27" s="178"/>
      <c r="W27" s="178"/>
      <c r="X27" s="577">
        <v>2.2699211486316154E-2</v>
      </c>
      <c r="Y27" s="577">
        <v>10.085949620406609</v>
      </c>
      <c r="Z27" s="178">
        <v>4.989138153184598</v>
      </c>
      <c r="AA27" s="178">
        <v>1.9856973561205173</v>
      </c>
      <c r="AB27" s="178">
        <v>3.1380458866878923E-9</v>
      </c>
      <c r="AC27" s="178">
        <v>1.5343438448308065E-2</v>
      </c>
      <c r="AD27" s="178">
        <v>0.98361575756872865</v>
      </c>
      <c r="AE27" s="178">
        <v>1.0408008449173151E-3</v>
      </c>
      <c r="AF27" s="178"/>
      <c r="AG27" s="178"/>
      <c r="AH27" s="178"/>
      <c r="AI27" s="178">
        <v>0.35636701094175699</v>
      </c>
      <c r="AJ27" s="178">
        <v>1.069101032825271</v>
      </c>
      <c r="AK27" s="178">
        <v>0.17818350547087849</v>
      </c>
      <c r="AL27" s="178">
        <v>3.7577038512558131E-3</v>
      </c>
      <c r="AM27" s="178">
        <v>3.0000000000000004</v>
      </c>
      <c r="AN27" s="178">
        <v>-12.517078727721731</v>
      </c>
      <c r="AO27" s="178">
        <v>-3.8387333528089611</v>
      </c>
      <c r="AP27" s="178">
        <v>-4.2716993063504481E-2</v>
      </c>
      <c r="AQ27" s="178">
        <v>-1.029030295884213</v>
      </c>
      <c r="AR27" s="178"/>
      <c r="AS27" s="178"/>
      <c r="AT27" s="178"/>
      <c r="AU27" s="178">
        <v>-1.643978585678681</v>
      </c>
      <c r="AV27" s="178">
        <v>10.085949620406609</v>
      </c>
      <c r="AW27" s="178">
        <v>3.0000000000000004</v>
      </c>
      <c r="AX27" s="178">
        <v>-8.5032856596168074</v>
      </c>
      <c r="AY27" s="178">
        <v>-1.8140655602310758</v>
      </c>
      <c r="AZ27" s="178">
        <v>-7.1744760126583301E-3</v>
      </c>
      <c r="BA27" s="178">
        <v>-2.9826130543604061</v>
      </c>
      <c r="BB27" s="178"/>
      <c r="BC27" s="178"/>
      <c r="BD27" s="178"/>
      <c r="BE27" s="178">
        <v>-5.1490639124659445</v>
      </c>
      <c r="BF27" s="178">
        <v>-2.5745319562329723</v>
      </c>
      <c r="BG27" s="178">
        <v>-2.4250617501856602</v>
      </c>
      <c r="BH27" s="178">
        <v>3.0000000000000004</v>
      </c>
      <c r="BI27" s="178">
        <v>-0.90661235028836584</v>
      </c>
      <c r="BJ27" s="178">
        <v>4.989138153184598</v>
      </c>
      <c r="BK27" s="178">
        <v>-1.0143026438794827</v>
      </c>
      <c r="BL27" s="178">
        <v>-1.930898967174729</v>
      </c>
      <c r="BM27" s="27"/>
      <c r="BN27" s="27"/>
    </row>
    <row r="28" spans="1:66">
      <c r="A28" s="27"/>
      <c r="B28" s="27"/>
      <c r="C28" s="27"/>
      <c r="D28" s="27"/>
      <c r="E28" s="27"/>
      <c r="F28" s="27"/>
      <c r="G28" s="27"/>
      <c r="H28" s="27"/>
      <c r="I28" s="27"/>
      <c r="J28" s="27"/>
      <c r="K28" s="27"/>
      <c r="L28" s="27"/>
      <c r="M28" s="2"/>
      <c r="N28" s="27"/>
      <c r="O28" s="178">
        <v>3.2000000000000006</v>
      </c>
      <c r="P28" s="178">
        <v>2.0608816653317112</v>
      </c>
      <c r="Q28" s="178">
        <v>7.907836902459769E-13</v>
      </c>
      <c r="R28" s="178">
        <v>2.3793551020771512E-4</v>
      </c>
      <c r="S28" s="178">
        <v>0.93864246364550075</v>
      </c>
      <c r="T28" s="178">
        <v>6.1119600843500703E-2</v>
      </c>
      <c r="U28" s="178"/>
      <c r="V28" s="178"/>
      <c r="W28" s="178"/>
      <c r="X28" s="577">
        <v>1.5254130980503867E-2</v>
      </c>
      <c r="Y28" s="577">
        <v>10.154803957266267</v>
      </c>
      <c r="Z28" s="178">
        <v>5.1997450596983432</v>
      </c>
      <c r="AA28" s="178">
        <v>1.9759426375741156</v>
      </c>
      <c r="AB28" s="178">
        <v>8.2017471553174256E-9</v>
      </c>
      <c r="AC28" s="178">
        <v>2.4692375672517825E-2</v>
      </c>
      <c r="AD28" s="178">
        <v>0.97467258647560751</v>
      </c>
      <c r="AE28" s="178">
        <v>6.3502965012762432E-4</v>
      </c>
      <c r="AF28" s="178"/>
      <c r="AG28" s="178"/>
      <c r="AH28" s="178"/>
      <c r="AI28" s="178">
        <v>0.37141036140702449</v>
      </c>
      <c r="AJ28" s="178">
        <v>1.1142310842210734</v>
      </c>
      <c r="AK28" s="178">
        <v>0.18570518070351225</v>
      </c>
      <c r="AL28" s="178">
        <v>5.7184422263458412E-3</v>
      </c>
      <c r="AM28" s="178">
        <v>3.2000000000000006</v>
      </c>
      <c r="AN28" s="178">
        <v>-12.101863948666605</v>
      </c>
      <c r="AO28" s="178">
        <v>-3.6235172789561321</v>
      </c>
      <c r="AP28" s="178">
        <v>-2.7499624412972507E-2</v>
      </c>
      <c r="AQ28" s="178">
        <v>-1.2138116324359784</v>
      </c>
      <c r="AR28" s="178"/>
      <c r="AS28" s="178"/>
      <c r="AT28" s="178"/>
      <c r="AU28" s="178">
        <v>-1.8166007681072209</v>
      </c>
      <c r="AV28" s="178">
        <v>10.154803957266267</v>
      </c>
      <c r="AW28" s="178">
        <v>3.2000000000000006</v>
      </c>
      <c r="AX28" s="178">
        <v>-8.0860412740598768</v>
      </c>
      <c r="AY28" s="178">
        <v>-1.6074267177211958</v>
      </c>
      <c r="AZ28" s="178">
        <v>-1.1141176549829938E-2</v>
      </c>
      <c r="BA28" s="178">
        <v>-3.1971852979446291</v>
      </c>
      <c r="BB28" s="178"/>
      <c r="BC28" s="178"/>
      <c r="BD28" s="178"/>
      <c r="BE28" s="178">
        <v>-5.0287171087438036</v>
      </c>
      <c r="BF28" s="178">
        <v>-2.5143585543719018</v>
      </c>
      <c r="BG28" s="178">
        <v>-2.2427077428700595</v>
      </c>
      <c r="BH28" s="178">
        <v>3.2000000000000006</v>
      </c>
      <c r="BI28" s="178">
        <v>-0.93911833466828876</v>
      </c>
      <c r="BJ28" s="178">
        <v>5.1997450596983432</v>
      </c>
      <c r="BK28" s="178">
        <v>-1.0240573624258844</v>
      </c>
      <c r="BL28" s="178">
        <v>-1.8857689157789266</v>
      </c>
      <c r="BM28" s="27"/>
      <c r="BN28" s="27"/>
    </row>
    <row r="29" spans="1:66">
      <c r="A29" s="27"/>
      <c r="B29" s="27"/>
      <c r="C29" s="27"/>
      <c r="D29" s="27"/>
      <c r="E29" s="27"/>
      <c r="F29" s="27"/>
      <c r="G29" s="27"/>
      <c r="H29" s="27"/>
      <c r="I29" s="27"/>
      <c r="J29" s="27"/>
      <c r="K29" s="27"/>
      <c r="L29" s="27"/>
      <c r="M29" s="2"/>
      <c r="N29" s="27"/>
      <c r="O29" s="178">
        <v>3.4000000000000008</v>
      </c>
      <c r="P29" s="178">
        <v>2.0390624038956275</v>
      </c>
      <c r="Q29" s="178">
        <v>2.0319072181472707E-12</v>
      </c>
      <c r="R29" s="178">
        <v>3.857495533720253E-4</v>
      </c>
      <c r="S29" s="178">
        <v>0.9601660969915321</v>
      </c>
      <c r="T29" s="178">
        <v>3.9448153453063878E-2</v>
      </c>
      <c r="U29" s="178"/>
      <c r="V29" s="178"/>
      <c r="W29" s="178"/>
      <c r="X29" s="577">
        <v>1.0069737700588876E-2</v>
      </c>
      <c r="Y29" s="577">
        <v>10.259427917480934</v>
      </c>
      <c r="Z29" s="178">
        <v>5.4105160650546065</v>
      </c>
      <c r="AA29" s="178">
        <v>1.9608673875398863</v>
      </c>
      <c r="AB29" s="178">
        <v>2.1325779702365025E-8</v>
      </c>
      <c r="AC29" s="178">
        <v>3.9517586474782131E-2</v>
      </c>
      <c r="AD29" s="178">
        <v>0.96009737553321006</v>
      </c>
      <c r="AE29" s="178">
        <v>3.8501666622801618E-4</v>
      </c>
      <c r="AF29" s="178"/>
      <c r="AG29" s="178"/>
      <c r="AH29" s="178"/>
      <c r="AI29" s="178">
        <v>0.38646543321818616</v>
      </c>
      <c r="AJ29" s="178">
        <v>1.1593962996545584</v>
      </c>
      <c r="AK29" s="178">
        <v>0.19323271660909308</v>
      </c>
      <c r="AL29" s="178">
        <v>8.8475804211573233E-3</v>
      </c>
      <c r="AM29" s="178">
        <v>3.4000000000000008</v>
      </c>
      <c r="AN29" s="178">
        <v>-11.692020432387464</v>
      </c>
      <c r="AO29" s="178">
        <v>-3.4136724678792878</v>
      </c>
      <c r="AP29" s="178">
        <v>-1.7653518538425471E-2</v>
      </c>
      <c r="AQ29" s="178">
        <v>-1.4039642317637284</v>
      </c>
      <c r="AR29" s="178"/>
      <c r="AS29" s="178"/>
      <c r="AT29" s="178"/>
      <c r="AU29" s="178">
        <v>-1.9969689134885644</v>
      </c>
      <c r="AV29" s="178">
        <v>10.259427917480934</v>
      </c>
      <c r="AW29" s="178">
        <v>3.4000000000000008</v>
      </c>
      <c r="AX29" s="178">
        <v>-7.6710454188336472</v>
      </c>
      <c r="AY29" s="178">
        <v>-1.4032005033221626</v>
      </c>
      <c r="AZ29" s="178">
        <v>-1.7684602977992143E-2</v>
      </c>
      <c r="BA29" s="178">
        <v>-3.4144983651999867</v>
      </c>
      <c r="BB29" s="178"/>
      <c r="BC29" s="178"/>
      <c r="BD29" s="178"/>
      <c r="BE29" s="178">
        <v>-4.9082765342545107</v>
      </c>
      <c r="BF29" s="178">
        <v>-2.4541382671272554</v>
      </c>
      <c r="BG29" s="178">
        <v>-2.0531621888655573</v>
      </c>
      <c r="BH29" s="178">
        <v>3.4000000000000008</v>
      </c>
      <c r="BI29" s="178">
        <v>-0.96093759610437246</v>
      </c>
      <c r="BJ29" s="178">
        <v>5.4105160650546065</v>
      </c>
      <c r="BK29" s="178">
        <v>-1.0391326124601137</v>
      </c>
      <c r="BL29" s="178">
        <v>-1.8406037003454416</v>
      </c>
      <c r="BM29" s="27"/>
      <c r="BN29" s="27"/>
    </row>
    <row r="30" spans="1:66">
      <c r="A30" s="27"/>
      <c r="B30" s="27"/>
      <c r="C30" s="27"/>
      <c r="D30" s="27"/>
      <c r="E30" s="27"/>
      <c r="F30" s="27"/>
      <c r="G30" s="27"/>
      <c r="H30" s="27"/>
      <c r="I30" s="27"/>
      <c r="J30" s="27"/>
      <c r="K30" s="27"/>
      <c r="L30" s="27"/>
      <c r="M30" s="2"/>
      <c r="N30" s="27"/>
      <c r="O30" s="178">
        <v>3.600000000000001</v>
      </c>
      <c r="P30" s="178">
        <v>2.0246317632949862</v>
      </c>
      <c r="Q30" s="178">
        <v>5.1781354298277304E-12</v>
      </c>
      <c r="R30" s="178">
        <v>6.202616978898672E-4</v>
      </c>
      <c r="S30" s="178">
        <v>0.97412771329370007</v>
      </c>
      <c r="T30" s="178">
        <v>2.5252025003232065E-2</v>
      </c>
      <c r="U30" s="178"/>
      <c r="V30" s="178"/>
      <c r="W30" s="178"/>
      <c r="X30" s="577">
        <v>6.6056703737249608E-3</v>
      </c>
      <c r="Y30" s="577">
        <v>10.422738817578647</v>
      </c>
      <c r="Z30" s="178">
        <v>5.6215382068211683</v>
      </c>
      <c r="AA30" s="178">
        <v>1.9375308878094686</v>
      </c>
      <c r="AB30" s="178">
        <v>5.5005398479131462E-8</v>
      </c>
      <c r="AC30" s="178">
        <v>6.2700162613408619E-2</v>
      </c>
      <c r="AD30" s="178">
        <v>0.9370686219475185</v>
      </c>
      <c r="AE30" s="178">
        <v>2.3116043367431068E-4</v>
      </c>
      <c r="AF30" s="178"/>
      <c r="AG30" s="178"/>
      <c r="AH30" s="178"/>
      <c r="AI30" s="178">
        <v>0.40153844334436917</v>
      </c>
      <c r="AJ30" s="178">
        <v>1.2046153300331075</v>
      </c>
      <c r="AK30" s="178">
        <v>0.20076922167218458</v>
      </c>
      <c r="AL30" s="178">
        <v>1.3599564947747413E-2</v>
      </c>
      <c r="AM30" s="178">
        <v>3.600000000000001</v>
      </c>
      <c r="AN30" s="178">
        <v>-11.285753530829691</v>
      </c>
      <c r="AO30" s="178">
        <v>-3.2074042715238127</v>
      </c>
      <c r="AP30" s="178">
        <v>-1.1384027385247636E-2</v>
      </c>
      <c r="AQ30" s="178">
        <v>-1.5976934458128478</v>
      </c>
      <c r="AR30" s="178"/>
      <c r="AS30" s="178"/>
      <c r="AT30" s="178"/>
      <c r="AU30" s="178">
        <v>-2.1800689877840971</v>
      </c>
      <c r="AV30" s="178">
        <v>10.422738817578647</v>
      </c>
      <c r="AW30" s="178">
        <v>3.600000000000001</v>
      </c>
      <c r="AX30" s="178">
        <v>-7.2595476862523745</v>
      </c>
      <c r="AY30" s="178">
        <v>-1.2027235463525303</v>
      </c>
      <c r="AZ30" s="178">
        <v>-2.8228421619999413E-2</v>
      </c>
      <c r="BA30" s="178">
        <v>-3.6360629594536338</v>
      </c>
      <c r="BB30" s="178"/>
      <c r="BC30" s="178"/>
      <c r="BD30" s="178"/>
      <c r="BE30" s="178">
        <v>-4.7876924532450467</v>
      </c>
      <c r="BF30" s="178">
        <v>-2.3938462266225233</v>
      </c>
      <c r="BG30" s="178">
        <v>-1.8664629010197229</v>
      </c>
      <c r="BH30" s="178">
        <v>3.600000000000001</v>
      </c>
      <c r="BI30" s="178">
        <v>-0.97536823670501382</v>
      </c>
      <c r="BJ30" s="178">
        <v>5.6215382068211683</v>
      </c>
      <c r="BK30" s="178">
        <v>-1.0624691121905314</v>
      </c>
      <c r="BL30" s="178">
        <v>-1.7953846699668925</v>
      </c>
      <c r="BM30" s="27"/>
      <c r="BN30" s="27"/>
    </row>
    <row r="31" spans="1:66">
      <c r="A31" s="27"/>
      <c r="B31" s="27"/>
      <c r="C31" s="27"/>
      <c r="D31" s="27"/>
      <c r="E31" s="27"/>
      <c r="F31" s="27"/>
      <c r="G31" s="27"/>
      <c r="H31" s="27"/>
      <c r="I31" s="27"/>
      <c r="J31" s="27"/>
      <c r="K31" s="27"/>
      <c r="L31" s="27"/>
      <c r="M31" s="2"/>
      <c r="N31" s="27"/>
      <c r="O31" s="178">
        <v>3.8000000000000012</v>
      </c>
      <c r="P31" s="178">
        <v>2.0150850077366527</v>
      </c>
      <c r="Q31" s="178">
        <v>1.3124434334030952E-11</v>
      </c>
      <c r="R31" s="178">
        <v>9.9193257587202807E-4</v>
      </c>
      <c r="S31" s="178">
        <v>0.98293112707222985</v>
      </c>
      <c r="T31" s="178">
        <v>1.6076940338773684E-2</v>
      </c>
      <c r="U31" s="178"/>
      <c r="V31" s="178"/>
      <c r="W31" s="178"/>
      <c r="X31" s="577">
        <v>4.3750896008728328E-3</v>
      </c>
      <c r="Y31" s="577">
        <v>10.678157336951699</v>
      </c>
      <c r="Z31" s="178">
        <v>5.8329258111339772</v>
      </c>
      <c r="AA31" s="178">
        <v>1.9019735995181097</v>
      </c>
      <c r="AB31" s="178">
        <v>1.4011071420006007E-7</v>
      </c>
      <c r="AC31" s="178">
        <v>9.8162835434375664E-2</v>
      </c>
      <c r="AD31" s="178">
        <v>0.90170030928099598</v>
      </c>
      <c r="AE31" s="178">
        <v>1.3671517391404436E-4</v>
      </c>
      <c r="AF31" s="178"/>
      <c r="AG31" s="178"/>
      <c r="AH31" s="178"/>
      <c r="AI31" s="178">
        <v>0.41663755793814122</v>
      </c>
      <c r="AJ31" s="178">
        <v>1.2499126738144237</v>
      </c>
      <c r="AK31" s="178">
        <v>0.20831877896907061</v>
      </c>
      <c r="AL31" s="178">
        <v>2.0426605452487964E-2</v>
      </c>
      <c r="AM31" s="178">
        <v>3.8000000000000012</v>
      </c>
      <c r="AN31" s="178">
        <v>-10.881848956283839</v>
      </c>
      <c r="AO31" s="178">
        <v>-3.0034984021802575</v>
      </c>
      <c r="AP31" s="178">
        <v>-7.4768632439899266E-3</v>
      </c>
      <c r="AQ31" s="178">
        <v>-1.7937849868738873</v>
      </c>
      <c r="AR31" s="178"/>
      <c r="AS31" s="178"/>
      <c r="AT31" s="178"/>
      <c r="AU31" s="178">
        <v>-2.3589977760717327</v>
      </c>
      <c r="AV31" s="178">
        <v>10.678157336951699</v>
      </c>
      <c r="AW31" s="178">
        <v>3.8000000000000012</v>
      </c>
      <c r="AX31" s="178">
        <v>-6.8534842834849217</v>
      </c>
      <c r="AY31" s="178">
        <v>-1.0080463793769636</v>
      </c>
      <c r="AZ31" s="178">
        <v>-4.4937490436319061E-2</v>
      </c>
      <c r="BA31" s="178">
        <v>-3.8641582640618397</v>
      </c>
      <c r="BB31" s="178"/>
      <c r="BC31" s="178"/>
      <c r="BD31" s="178"/>
      <c r="BE31" s="178">
        <v>-4.6668995364948707</v>
      </c>
      <c r="BF31" s="178">
        <v>-2.3334497682474353</v>
      </c>
      <c r="BG31" s="178">
        <v>-1.6897928598106833</v>
      </c>
      <c r="BH31" s="178">
        <v>3.8000000000000012</v>
      </c>
      <c r="BI31" s="178">
        <v>-0.98491499226334733</v>
      </c>
      <c r="BJ31" s="178">
        <v>5.8329258111339772</v>
      </c>
      <c r="BK31" s="178">
        <v>-1.0980264004818903</v>
      </c>
      <c r="BL31" s="178">
        <v>-1.7500873261855763</v>
      </c>
      <c r="BM31" s="27"/>
      <c r="BN31" s="27"/>
    </row>
    <row r="32" spans="1:66">
      <c r="A32" s="27"/>
      <c r="B32" s="27"/>
      <c r="C32" s="27"/>
      <c r="D32" s="27"/>
      <c r="E32" s="27"/>
      <c r="F32" s="27"/>
      <c r="G32" s="27"/>
      <c r="H32" s="27"/>
      <c r="I32" s="27"/>
      <c r="J32" s="27"/>
      <c r="K32" s="27"/>
      <c r="L32" s="27"/>
      <c r="M32" s="2"/>
      <c r="N32" s="27"/>
      <c r="O32" s="178">
        <v>4.0000000000000009</v>
      </c>
      <c r="P32" s="178">
        <v>2.008617887036531</v>
      </c>
      <c r="Q32" s="178">
        <v>3.3144507831273126E-11</v>
      </c>
      <c r="R32" s="178">
        <v>1.5805678116768828E-3</v>
      </c>
      <c r="S32" s="178">
        <v>0.98822097724068203</v>
      </c>
      <c r="T32" s="178">
        <v>1.0198454914496596E-2</v>
      </c>
      <c r="U32" s="178"/>
      <c r="V32" s="178"/>
      <c r="W32" s="178"/>
      <c r="X32" s="577">
        <v>3.0088542726794112E-3</v>
      </c>
      <c r="Y32" s="577">
        <v>11.071775054733735</v>
      </c>
      <c r="Z32" s="178">
        <v>6.0448065155412518</v>
      </c>
      <c r="AA32" s="178">
        <v>1.8494747455127238</v>
      </c>
      <c r="AB32" s="178">
        <v>3.50138884725792E-7</v>
      </c>
      <c r="AC32" s="178">
        <v>0.15060361180535739</v>
      </c>
      <c r="AD32" s="178">
        <v>0.849316980459907</v>
      </c>
      <c r="AE32" s="178">
        <v>7.9057595850825493E-5</v>
      </c>
      <c r="AF32" s="178"/>
      <c r="AG32" s="178"/>
      <c r="AH32" s="178"/>
      <c r="AI32" s="178">
        <v>0.43177189396723226</v>
      </c>
      <c r="AJ32" s="178">
        <v>1.2953156819016967</v>
      </c>
      <c r="AK32" s="178">
        <v>0.21588594698361613</v>
      </c>
      <c r="AL32" s="178">
        <v>2.9482181557288992E-2</v>
      </c>
      <c r="AM32" s="178">
        <v>4.0000000000000009</v>
      </c>
      <c r="AN32" s="178">
        <v>-10.479520580779928</v>
      </c>
      <c r="AO32" s="178">
        <v>-2.8011687318786431</v>
      </c>
      <c r="AP32" s="178">
        <v>-5.1458981446719067E-3</v>
      </c>
      <c r="AQ32" s="178">
        <v>-1.991452726976866</v>
      </c>
      <c r="AR32" s="178"/>
      <c r="AS32" s="178"/>
      <c r="AT32" s="178"/>
      <c r="AU32" s="178">
        <v>-2.5215825210584151</v>
      </c>
      <c r="AV32" s="178">
        <v>11.071775054733735</v>
      </c>
      <c r="AW32" s="178">
        <v>4.0000000000000009</v>
      </c>
      <c r="AX32" s="178">
        <v>-6.4557178614046489</v>
      </c>
      <c r="AY32" s="178">
        <v>-0.82215928999071852</v>
      </c>
      <c r="AZ32" s="178">
        <v>-7.0929733744101789E-2</v>
      </c>
      <c r="BA32" s="178">
        <v>-4.1020298400636506</v>
      </c>
      <c r="BB32" s="178"/>
      <c r="BC32" s="178"/>
      <c r="BD32" s="178"/>
      <c r="BE32" s="178">
        <v>-4.5458248482621419</v>
      </c>
      <c r="BF32" s="178">
        <v>-2.272912424131071</v>
      </c>
      <c r="BG32" s="178">
        <v>-1.5304304756076039</v>
      </c>
      <c r="BH32" s="178">
        <v>4.0000000000000009</v>
      </c>
      <c r="BI32" s="178">
        <v>-0.99138211296346901</v>
      </c>
      <c r="BJ32" s="178">
        <v>6.0448065155412518</v>
      </c>
      <c r="BK32" s="178">
        <v>-1.1505252544872762</v>
      </c>
      <c r="BL32" s="178">
        <v>-1.7046843180983033</v>
      </c>
      <c r="BM32" s="27"/>
      <c r="BN32" s="27"/>
    </row>
    <row r="33" spans="1:66">
      <c r="A33" s="27"/>
      <c r="B33" s="27"/>
      <c r="C33" s="27"/>
      <c r="D33" s="27"/>
      <c r="E33" s="27"/>
      <c r="F33" s="27"/>
      <c r="G33" s="27"/>
      <c r="H33" s="27"/>
      <c r="I33" s="27"/>
      <c r="J33" s="27"/>
      <c r="K33" s="27"/>
      <c r="L33" s="27"/>
      <c r="M33" s="2"/>
      <c r="N33" s="27"/>
      <c r="O33" s="178">
        <v>4.2000000000000011</v>
      </c>
      <c r="P33" s="178">
        <v>2.003940947844145</v>
      </c>
      <c r="Q33" s="178">
        <v>8.3492290936471959E-11</v>
      </c>
      <c r="R33" s="178">
        <v>2.5121637038570035E-3</v>
      </c>
      <c r="S33" s="178">
        <v>0.99103472449766428</v>
      </c>
      <c r="T33" s="178">
        <v>6.4531117149865163E-3</v>
      </c>
      <c r="U33" s="178"/>
      <c r="V33" s="178"/>
      <c r="W33" s="178"/>
      <c r="X33" s="577">
        <v>2.2587108182286508E-3</v>
      </c>
      <c r="Y33" s="577">
        <v>11.659035268530715</v>
      </c>
      <c r="Z33" s="178">
        <v>6.2572748607294768</v>
      </c>
      <c r="AA33" s="178">
        <v>1.7757132431442808</v>
      </c>
      <c r="AB33" s="178">
        <v>8.5066652356466898E-7</v>
      </c>
      <c r="AC33" s="178">
        <v>0.22432932022682273</v>
      </c>
      <c r="AD33" s="178">
        <v>0.77562556440250341</v>
      </c>
      <c r="AE33" s="178">
        <v>4.4264704150428966E-5</v>
      </c>
      <c r="AF33" s="178"/>
      <c r="AG33" s="178"/>
      <c r="AH33" s="178"/>
      <c r="AI33" s="178">
        <v>0.44694820433781979</v>
      </c>
      <c r="AJ33" s="178">
        <v>1.3408446130134593</v>
      </c>
      <c r="AK33" s="178">
        <v>0.22347410216890989</v>
      </c>
      <c r="AL33" s="178">
        <v>4.0083711620936199E-2</v>
      </c>
      <c r="AM33" s="178">
        <v>4.2000000000000011</v>
      </c>
      <c r="AN33" s="178">
        <v>-10.078288375075124</v>
      </c>
      <c r="AO33" s="178">
        <v>-2.5999352313761359</v>
      </c>
      <c r="AP33" s="178">
        <v>-3.9111028444622897E-3</v>
      </c>
      <c r="AQ33" s="178">
        <v>-2.190216636878954</v>
      </c>
      <c r="AR33" s="178"/>
      <c r="AS33" s="178"/>
      <c r="AT33" s="178"/>
      <c r="AU33" s="178">
        <v>-2.6461222369797843</v>
      </c>
      <c r="AV33" s="178">
        <v>11.659035268530715</v>
      </c>
      <c r="AW33" s="178">
        <v>4.2000000000000011</v>
      </c>
      <c r="AX33" s="178">
        <v>-6.0702013590607162</v>
      </c>
      <c r="AY33" s="178">
        <v>-0.64910975731738441</v>
      </c>
      <c r="AZ33" s="178">
        <v>-0.11034717074136613</v>
      </c>
      <c r="BA33" s="178">
        <v>-4.3539142467315131</v>
      </c>
      <c r="BB33" s="178"/>
      <c r="BC33" s="178"/>
      <c r="BD33" s="178"/>
      <c r="BE33" s="178">
        <v>-4.4244143652974417</v>
      </c>
      <c r="BF33" s="178">
        <v>-2.2122071826487208</v>
      </c>
      <c r="BG33" s="178">
        <v>-1.3970230266569772</v>
      </c>
      <c r="BH33" s="178">
        <v>4.2000000000000011</v>
      </c>
      <c r="BI33" s="178">
        <v>-0.996059052155855</v>
      </c>
      <c r="BJ33" s="178">
        <v>6.2572748607294768</v>
      </c>
      <c r="BK33" s="178">
        <v>-1.2242867568557192</v>
      </c>
      <c r="BL33" s="178">
        <v>-1.6591553869865407</v>
      </c>
      <c r="BM33" s="27"/>
      <c r="BN33" s="27"/>
    </row>
    <row r="34" spans="1:66">
      <c r="A34" s="27"/>
      <c r="B34" s="27"/>
      <c r="C34" s="27"/>
      <c r="D34" s="27"/>
      <c r="E34" s="27"/>
      <c r="F34" s="27"/>
      <c r="G34" s="27"/>
      <c r="H34" s="27"/>
      <c r="I34" s="27"/>
      <c r="J34" s="27"/>
      <c r="K34" s="27"/>
      <c r="L34" s="27"/>
      <c r="M34" s="2"/>
      <c r="N34" s="27"/>
      <c r="O34" s="178">
        <v>4.4000000000000012</v>
      </c>
      <c r="P34" s="178">
        <v>2.0000902089411978</v>
      </c>
      <c r="Q34" s="178">
        <v>2.0991462130368041E-10</v>
      </c>
      <c r="R34" s="178">
        <v>3.9851461076055644E-3</v>
      </c>
      <c r="S34" s="178">
        <v>0.99193949821384786</v>
      </c>
      <c r="T34" s="178">
        <v>4.0753554686320179E-3</v>
      </c>
      <c r="U34" s="178"/>
      <c r="V34" s="178"/>
      <c r="W34" s="178"/>
      <c r="X34" s="577">
        <v>1.9809032321157359E-3</v>
      </c>
      <c r="Y34" s="577">
        <v>12.487507292826194</v>
      </c>
      <c r="Z34" s="178">
        <v>6.4703073210120445</v>
      </c>
      <c r="AA34" s="178">
        <v>1.6792131080557846</v>
      </c>
      <c r="AB34" s="178">
        <v>1.9867770108898077E-6</v>
      </c>
      <c r="AC34" s="178">
        <v>0.32080665124426688</v>
      </c>
      <c r="AD34" s="178">
        <v>0.67916762912464923</v>
      </c>
      <c r="AE34" s="178">
        <v>2.3732854073145566E-5</v>
      </c>
      <c r="AF34" s="178"/>
      <c r="AG34" s="178"/>
      <c r="AH34" s="178"/>
      <c r="AI34" s="178">
        <v>0.46216480864371745</v>
      </c>
      <c r="AJ34" s="178">
        <v>1.3864944259311525</v>
      </c>
      <c r="AK34" s="178">
        <v>0.23108240432185873</v>
      </c>
      <c r="AL34" s="178">
        <v>5.0182661686161686E-2</v>
      </c>
      <c r="AM34" s="178">
        <v>4.4000000000000012</v>
      </c>
      <c r="AN34" s="178">
        <v>-9.6778946552165799</v>
      </c>
      <c r="AO34" s="178">
        <v>-2.3995402167198892</v>
      </c>
      <c r="AP34" s="178">
        <v>-3.5147933905125806E-3</v>
      </c>
      <c r="AQ34" s="178">
        <v>-2.389819032627301</v>
      </c>
      <c r="AR34" s="178"/>
      <c r="AS34" s="178"/>
      <c r="AT34" s="178"/>
      <c r="AU34" s="178">
        <v>-2.703119239319439</v>
      </c>
      <c r="AV34" s="178">
        <v>12.487507292826194</v>
      </c>
      <c r="AW34" s="178">
        <v>4.4000000000000012</v>
      </c>
      <c r="AX34" s="178">
        <v>-5.7018139601769082</v>
      </c>
      <c r="AY34" s="178">
        <v>-0.49375343954644241</v>
      </c>
      <c r="AZ34" s="178">
        <v>-0.16802193408329069</v>
      </c>
      <c r="BA34" s="178">
        <v>-4.624620091186304</v>
      </c>
      <c r="BB34" s="178"/>
      <c r="BC34" s="178"/>
      <c r="BD34" s="178"/>
      <c r="BE34" s="178">
        <v>-4.3026815308502604</v>
      </c>
      <c r="BF34" s="178">
        <v>-2.1513407654251302</v>
      </c>
      <c r="BG34" s="178">
        <v>-1.2994378948498715</v>
      </c>
      <c r="BH34" s="178">
        <v>4.4000000000000012</v>
      </c>
      <c r="BI34" s="178">
        <v>-0.99990979105880218</v>
      </c>
      <c r="BJ34" s="178">
        <v>6.4703073210120445</v>
      </c>
      <c r="BK34" s="178">
        <v>-1.3207868919442154</v>
      </c>
      <c r="BL34" s="178">
        <v>-1.6135055740688475</v>
      </c>
      <c r="BM34" s="27"/>
      <c r="BN34" s="27"/>
    </row>
    <row r="35" spans="1:66">
      <c r="A35" s="27"/>
      <c r="B35" s="27"/>
      <c r="C35" s="27"/>
      <c r="D35" s="27"/>
      <c r="E35" s="27"/>
      <c r="F35" s="27"/>
      <c r="G35" s="27"/>
      <c r="H35" s="27"/>
      <c r="I35" s="27"/>
      <c r="J35" s="27"/>
      <c r="K35" s="27"/>
      <c r="L35" s="27"/>
      <c r="M35" s="2"/>
      <c r="N35" s="27"/>
      <c r="O35" s="178">
        <v>4.6000000000000014</v>
      </c>
      <c r="P35" s="178">
        <v>1.996258437390193</v>
      </c>
      <c r="Q35" s="178">
        <v>5.2684603733069823E-10</v>
      </c>
      <c r="R35" s="178">
        <v>6.3108124936036769E-3</v>
      </c>
      <c r="S35" s="178">
        <v>0.99111993604206161</v>
      </c>
      <c r="T35" s="178">
        <v>2.5692509374887259E-3</v>
      </c>
      <c r="U35" s="178"/>
      <c r="V35" s="178"/>
      <c r="W35" s="178"/>
      <c r="X35" s="577">
        <v>2.1203038438928948E-3</v>
      </c>
      <c r="Y35" s="577">
        <v>13.560292513284367</v>
      </c>
      <c r="Z35" s="178">
        <v>6.6836852438660559</v>
      </c>
      <c r="AA35" s="178">
        <v>1.5643292180516335</v>
      </c>
      <c r="AB35" s="178">
        <v>4.4100686946713258E-6</v>
      </c>
      <c r="AC35" s="178">
        <v>0.43567402639711872</v>
      </c>
      <c r="AD35" s="178">
        <v>0.56430949894804516</v>
      </c>
      <c r="AE35" s="178">
        <v>1.2064586141501544E-5</v>
      </c>
      <c r="AF35" s="178"/>
      <c r="AG35" s="178"/>
      <c r="AH35" s="178"/>
      <c r="AI35" s="178">
        <v>0.4774060888475754</v>
      </c>
      <c r="AJ35" s="178">
        <v>1.4322182665427263</v>
      </c>
      <c r="AK35" s="178">
        <v>0.2387030444237877</v>
      </c>
      <c r="AL35" s="178">
        <v>5.6620516248900223E-2</v>
      </c>
      <c r="AM35" s="178">
        <v>4.6000000000000014</v>
      </c>
      <c r="AN35" s="178">
        <v>-9.2782562144309519</v>
      </c>
      <c r="AO35" s="178">
        <v>-2.1999004811365599</v>
      </c>
      <c r="AP35" s="178">
        <v>-3.8737630094802218E-3</v>
      </c>
      <c r="AQ35" s="178">
        <v>-2.590176707448566</v>
      </c>
      <c r="AR35" s="178"/>
      <c r="AS35" s="178"/>
      <c r="AT35" s="178"/>
      <c r="AU35" s="178">
        <v>-2.6735845904529354</v>
      </c>
      <c r="AV35" s="178">
        <v>13.560292513284367</v>
      </c>
      <c r="AW35" s="178">
        <v>4.6000000000000014</v>
      </c>
      <c r="AX35" s="178">
        <v>-5.3555199737704609</v>
      </c>
      <c r="AY35" s="178">
        <v>-0.36083599458778487</v>
      </c>
      <c r="AZ35" s="178">
        <v>-0.24848103057242255</v>
      </c>
      <c r="BA35" s="178">
        <v>-4.9184557291232256</v>
      </c>
      <c r="BB35" s="178"/>
      <c r="BC35" s="178"/>
      <c r="BD35" s="178"/>
      <c r="BE35" s="178">
        <v>-4.1807512892193968</v>
      </c>
      <c r="BF35" s="178">
        <v>-2.0903756446096984</v>
      </c>
      <c r="BG35" s="178">
        <v>-1.2470181019527826</v>
      </c>
      <c r="BH35" s="178">
        <v>4.6000000000000014</v>
      </c>
      <c r="BI35" s="178">
        <v>-1.003741562609807</v>
      </c>
      <c r="BJ35" s="178">
        <v>6.6836852438660559</v>
      </c>
      <c r="BK35" s="178">
        <v>-1.4356707819483665</v>
      </c>
      <c r="BL35" s="178">
        <v>-1.5677817334572737</v>
      </c>
      <c r="BM35" s="27"/>
      <c r="BN35" s="27"/>
    </row>
    <row r="36" spans="1:66">
      <c r="A36" s="27"/>
      <c r="B36" s="27"/>
      <c r="C36" s="27"/>
      <c r="D36" s="27"/>
      <c r="E36" s="27"/>
      <c r="F36" s="27"/>
      <c r="G36" s="27"/>
      <c r="H36" s="27"/>
      <c r="I36" s="27"/>
      <c r="J36" s="27"/>
      <c r="K36" s="27"/>
      <c r="L36" s="27"/>
      <c r="M36" s="2"/>
      <c r="N36" s="27"/>
      <c r="O36" s="178">
        <v>4.8000000000000016</v>
      </c>
      <c r="P36" s="178">
        <v>1.9916420471138339</v>
      </c>
      <c r="Q36" s="178">
        <v>1.3197573329844578E-9</v>
      </c>
      <c r="R36" s="178">
        <v>9.9746035334933817E-3</v>
      </c>
      <c r="S36" s="178">
        <v>0.98840874185990757</v>
      </c>
      <c r="T36" s="178">
        <v>1.6166532868417721E-3</v>
      </c>
      <c r="U36" s="178"/>
      <c r="V36" s="178"/>
      <c r="W36" s="178"/>
      <c r="X36" s="577">
        <v>2.7026419144125357E-3</v>
      </c>
      <c r="Y36" s="577">
        <v>14.799194350780454</v>
      </c>
      <c r="Z36" s="178">
        <v>6.8970304591995308</v>
      </c>
      <c r="AA36" s="178">
        <v>1.4421220084531423</v>
      </c>
      <c r="AB36" s="178">
        <v>9.2290768443755326E-6</v>
      </c>
      <c r="AC36" s="178">
        <v>0.55786531687919105</v>
      </c>
      <c r="AD36" s="178">
        <v>0.44211967055794249</v>
      </c>
      <c r="AE36" s="178">
        <v>5.783486022211367E-6</v>
      </c>
      <c r="AF36" s="178"/>
      <c r="AG36" s="178"/>
      <c r="AH36" s="178"/>
      <c r="AI36" s="178">
        <v>0.49264503279996646</v>
      </c>
      <c r="AJ36" s="178">
        <v>1.4779350983998996</v>
      </c>
      <c r="AK36" s="178">
        <v>0.24632251639998323</v>
      </c>
      <c r="AL36" s="178">
        <v>5.6801221251091313E-2</v>
      </c>
      <c r="AM36" s="178">
        <v>4.8000000000000016</v>
      </c>
      <c r="AN36" s="178">
        <v>-8.8794484304250254</v>
      </c>
      <c r="AO36" s="178">
        <v>-2.0010914023329303</v>
      </c>
      <c r="AP36" s="178">
        <v>-5.0633894081479934E-3</v>
      </c>
      <c r="AQ36" s="178">
        <v>-2.791365039049531</v>
      </c>
      <c r="AR36" s="178"/>
      <c r="AS36" s="178"/>
      <c r="AT36" s="178"/>
      <c r="AU36" s="178">
        <v>-2.5681948656121656</v>
      </c>
      <c r="AV36" s="178">
        <v>14.799194350780454</v>
      </c>
      <c r="AW36" s="178">
        <v>4.8000000000000016</v>
      </c>
      <c r="AX36" s="178">
        <v>-5.0348091424095607</v>
      </c>
      <c r="AY36" s="178">
        <v>-0.25346899736588613</v>
      </c>
      <c r="AZ36" s="178">
        <v>-0.35445786748952518</v>
      </c>
      <c r="BA36" s="178">
        <v>-5.237776400179329</v>
      </c>
      <c r="BB36" s="178"/>
      <c r="BC36" s="178"/>
      <c r="BD36" s="178"/>
      <c r="BE36" s="178">
        <v>-4.0588397376002678</v>
      </c>
      <c r="BF36" s="178">
        <v>-2.0294198688001339</v>
      </c>
      <c r="BG36" s="178">
        <v>-1.2456342623932413</v>
      </c>
      <c r="BH36" s="178">
        <v>4.8000000000000016</v>
      </c>
      <c r="BI36" s="178">
        <v>-1.0083579528861661</v>
      </c>
      <c r="BJ36" s="178">
        <v>6.8970304591995308</v>
      </c>
      <c r="BK36" s="178">
        <v>-1.5578779915468577</v>
      </c>
      <c r="BL36" s="178">
        <v>-1.5220649016001004</v>
      </c>
      <c r="BM36" s="27"/>
      <c r="BN36" s="27"/>
    </row>
    <row r="37" spans="1:66">
      <c r="A37" s="27"/>
      <c r="B37" s="27"/>
      <c r="C37" s="27"/>
      <c r="D37" s="27"/>
      <c r="E37" s="27"/>
      <c r="F37" s="27"/>
      <c r="G37" s="27"/>
      <c r="H37" s="27"/>
      <c r="I37" s="27"/>
      <c r="J37" s="27"/>
      <c r="K37" s="27"/>
      <c r="L37" s="27"/>
      <c r="M37" s="2"/>
      <c r="N37" s="27"/>
      <c r="O37" s="178">
        <v>5.0000000000000018</v>
      </c>
      <c r="P37" s="178">
        <v>1.9852884028818854</v>
      </c>
      <c r="Q37" s="178">
        <v>3.2978083794106951E-9</v>
      </c>
      <c r="R37" s="178">
        <v>1.5726315201629662E-2</v>
      </c>
      <c r="S37" s="178">
        <v>0.98325895682143016</v>
      </c>
      <c r="T37" s="178">
        <v>1.0147246791317637E-3</v>
      </c>
      <c r="U37" s="178"/>
      <c r="V37" s="178"/>
      <c r="W37" s="178"/>
      <c r="X37" s="577">
        <v>3.8363343263158826E-3</v>
      </c>
      <c r="Y37" s="577">
        <v>16.054576211899985</v>
      </c>
      <c r="Z37" s="178">
        <v>7.1099804688999608</v>
      </c>
      <c r="AA37" s="178">
        <v>1.3267410063578309</v>
      </c>
      <c r="AB37" s="178">
        <v>1.818608846681325E-5</v>
      </c>
      <c r="AC37" s="178">
        <v>0.67322523917021149</v>
      </c>
      <c r="AD37" s="178">
        <v>0.32675395703634608</v>
      </c>
      <c r="AE37" s="178">
        <v>2.6177049757527026E-6</v>
      </c>
      <c r="AF37" s="178"/>
      <c r="AG37" s="178"/>
      <c r="AH37" s="178"/>
      <c r="AI37" s="178">
        <v>0.50785574777856868</v>
      </c>
      <c r="AJ37" s="178">
        <v>1.5235672433357057</v>
      </c>
      <c r="AK37" s="178">
        <v>0.25392787388928434</v>
      </c>
      <c r="AL37" s="178">
        <v>5.0663130026491296E-2</v>
      </c>
      <c r="AM37" s="178">
        <v>5.0000000000000018</v>
      </c>
      <c r="AN37" s="178">
        <v>-8.4817196719167924</v>
      </c>
      <c r="AO37" s="178">
        <v>-1.8033613490269937</v>
      </c>
      <c r="AP37" s="178">
        <v>-7.3320413045089208E-3</v>
      </c>
      <c r="AQ37" s="178">
        <v>-2.9936323961481892</v>
      </c>
      <c r="AR37" s="178"/>
      <c r="AS37" s="178"/>
      <c r="AT37" s="178"/>
      <c r="AU37" s="178">
        <v>-2.4160679105478882</v>
      </c>
      <c r="AV37" s="178">
        <v>16.054576211899985</v>
      </c>
      <c r="AW37" s="178">
        <v>5.0000000000000018</v>
      </c>
      <c r="AX37" s="178">
        <v>-4.7402300122107635</v>
      </c>
      <c r="AY37" s="178">
        <v>-0.17183849823160141</v>
      </c>
      <c r="AZ37" s="178">
        <v>-0.4857759994197533</v>
      </c>
      <c r="BA37" s="178">
        <v>-5.5820431631740703</v>
      </c>
      <c r="BB37" s="178"/>
      <c r="BC37" s="178"/>
      <c r="BD37" s="178"/>
      <c r="BE37" s="178">
        <v>-3.9371540177714506</v>
      </c>
      <c r="BF37" s="178">
        <v>-1.9685770088857253</v>
      </c>
      <c r="BG37" s="178">
        <v>-1.2952995966945955</v>
      </c>
      <c r="BH37" s="178">
        <v>5.0000000000000018</v>
      </c>
      <c r="BI37" s="178">
        <v>-1.0147115971181146</v>
      </c>
      <c r="BJ37" s="178">
        <v>7.1099804688999608</v>
      </c>
      <c r="BK37" s="178">
        <v>-1.6732589936421691</v>
      </c>
      <c r="BL37" s="178">
        <v>-1.4764327566642943</v>
      </c>
      <c r="BM37" s="27"/>
      <c r="BN37" s="27"/>
    </row>
    <row r="38" spans="1:66">
      <c r="A38" s="27"/>
      <c r="B38" s="27"/>
      <c r="C38" s="27"/>
      <c r="D38" s="27"/>
      <c r="E38" s="27"/>
      <c r="F38" s="27"/>
      <c r="G38" s="27"/>
      <c r="H38" s="27"/>
      <c r="I38" s="27"/>
      <c r="J38" s="27"/>
      <c r="K38" s="27"/>
      <c r="L38" s="27"/>
      <c r="M38" s="2"/>
      <c r="N38" s="27"/>
      <c r="O38" s="178">
        <v>5.200000000000002</v>
      </c>
      <c r="P38" s="178">
        <v>1.9759281057245239</v>
      </c>
      <c r="Q38" s="178">
        <v>8.2112660208903606E-9</v>
      </c>
      <c r="R38" s="178">
        <v>2.4706525870862278E-2</v>
      </c>
      <c r="S38" s="178">
        <v>0.97465881789995357</v>
      </c>
      <c r="T38" s="178">
        <v>6.3464801791815657E-4</v>
      </c>
      <c r="U38" s="178"/>
      <c r="V38" s="178"/>
      <c r="W38" s="178"/>
      <c r="X38" s="577">
        <v>5.7214399195630056E-3</v>
      </c>
      <c r="Y38" s="577">
        <v>17.173922529036645</v>
      </c>
      <c r="Z38" s="178">
        <v>7.322349098093679</v>
      </c>
      <c r="AA38" s="178">
        <v>1.2293307256665629</v>
      </c>
      <c r="AB38" s="178">
        <v>3.3945167735827202E-5</v>
      </c>
      <c r="AC38" s="178">
        <v>0.77060251081517328</v>
      </c>
      <c r="AD38" s="178">
        <v>0.22936241719988304</v>
      </c>
      <c r="AE38" s="178">
        <v>1.1268172078437581E-6</v>
      </c>
      <c r="AF38" s="178"/>
      <c r="AG38" s="178"/>
      <c r="AH38" s="178"/>
      <c r="AI38" s="178">
        <v>0.52302493557811991</v>
      </c>
      <c r="AJ38" s="178">
        <v>1.5690748067343598</v>
      </c>
      <c r="AK38" s="178">
        <v>0.26151246778905995</v>
      </c>
      <c r="AL38" s="178">
        <v>4.0712689287526034E-2</v>
      </c>
      <c r="AM38" s="178">
        <v>5.200000000000002</v>
      </c>
      <c r="AN38" s="178">
        <v>-8.0855375317612506</v>
      </c>
      <c r="AO38" s="178">
        <v>-1.6071779140737474</v>
      </c>
      <c r="AP38" s="178">
        <v>-1.1147311553559814E-2</v>
      </c>
      <c r="AQ38" s="178">
        <v>-3.1974463715995367</v>
      </c>
      <c r="AR38" s="178"/>
      <c r="AS38" s="178"/>
      <c r="AT38" s="178"/>
      <c r="AU38" s="178">
        <v>-2.2424801403113128</v>
      </c>
      <c r="AV38" s="178">
        <v>17.173922529036645</v>
      </c>
      <c r="AW38" s="178">
        <v>5.200000000000002</v>
      </c>
      <c r="AX38" s="178">
        <v>-4.4691931072799216</v>
      </c>
      <c r="AY38" s="178">
        <v>-0.11316884762241186</v>
      </c>
      <c r="AZ38" s="178">
        <v>-0.63947360313221557</v>
      </c>
      <c r="BA38" s="178">
        <v>-5.9481080212081849</v>
      </c>
      <c r="BB38" s="178"/>
      <c r="BC38" s="178"/>
      <c r="BD38" s="178"/>
      <c r="BE38" s="178">
        <v>-3.8158005153750407</v>
      </c>
      <c r="BF38" s="178">
        <v>-1.9079002576875204</v>
      </c>
      <c r="BG38" s="178">
        <v>-1.3902612086421298</v>
      </c>
      <c r="BH38" s="178">
        <v>5.200000000000002</v>
      </c>
      <c r="BI38" s="178">
        <v>-1.0240718942754761</v>
      </c>
      <c r="BJ38" s="178">
        <v>7.322349098093679</v>
      </c>
      <c r="BK38" s="178">
        <v>-1.7706692743334371</v>
      </c>
      <c r="BL38" s="178">
        <v>-1.4309251932656402</v>
      </c>
      <c r="BM38" s="27"/>
      <c r="BN38" s="27"/>
    </row>
    <row r="39" spans="1:66">
      <c r="A39" s="27"/>
      <c r="B39" s="27"/>
      <c r="C39" s="27"/>
      <c r="D39" s="27"/>
      <c r="E39" s="27"/>
      <c r="F39" s="27"/>
      <c r="G39" s="27"/>
      <c r="H39" s="27"/>
      <c r="I39" s="27"/>
      <c r="J39" s="27"/>
      <c r="K39" s="27"/>
      <c r="L39" s="27"/>
      <c r="M39" s="2"/>
      <c r="N39" s="27"/>
      <c r="O39" s="178">
        <v>5.4000000000000021</v>
      </c>
      <c r="P39" s="178">
        <v>1.9617864520174519</v>
      </c>
      <c r="Q39" s="178">
        <v>2.0336652115339193E-8</v>
      </c>
      <c r="R39" s="178">
        <v>3.8608330146724913E-2</v>
      </c>
      <c r="S39" s="178">
        <v>0.96099682667914177</v>
      </c>
      <c r="T39" s="178">
        <v>3.948228374812158E-4</v>
      </c>
      <c r="U39" s="178"/>
      <c r="V39" s="178"/>
      <c r="W39" s="178"/>
      <c r="X39" s="577">
        <v>8.6571389955358014E-3</v>
      </c>
      <c r="Y39" s="577">
        <v>18.068469061108772</v>
      </c>
      <c r="Z39" s="178">
        <v>7.5341386806955644</v>
      </c>
      <c r="AA39" s="178">
        <v>1.1544571268197175</v>
      </c>
      <c r="AB39" s="178">
        <v>6.0647190950524324E-5</v>
      </c>
      <c r="AC39" s="178">
        <v>0.84542204493954298</v>
      </c>
      <c r="AD39" s="178">
        <v>0.15451684172834532</v>
      </c>
      <c r="AE39" s="178">
        <v>4.6614116130020139E-7</v>
      </c>
      <c r="AF39" s="178"/>
      <c r="AG39" s="178"/>
      <c r="AH39" s="178"/>
      <c r="AI39" s="178">
        <v>0.53815276290682601</v>
      </c>
      <c r="AJ39" s="178">
        <v>1.6144582887204781</v>
      </c>
      <c r="AK39" s="178">
        <v>0.269076381453413</v>
      </c>
      <c r="AL39" s="178">
        <v>3.0101300522318894E-2</v>
      </c>
      <c r="AM39" s="178">
        <v>5.4000000000000021</v>
      </c>
      <c r="AN39" s="178">
        <v>-7.6916707443640977</v>
      </c>
      <c r="AO39" s="178">
        <v>-1.4133098318788941</v>
      </c>
      <c r="AP39" s="178">
        <v>-1.7277934561003509E-2</v>
      </c>
      <c r="AQ39" s="178">
        <v>-3.4035756998092781</v>
      </c>
      <c r="AR39" s="178"/>
      <c r="AS39" s="178"/>
      <c r="AT39" s="178"/>
      <c r="AU39" s="178">
        <v>-2.0626122561549995</v>
      </c>
      <c r="AV39" s="178">
        <v>18.068469061108772</v>
      </c>
      <c r="AW39" s="178">
        <v>5.4000000000000021</v>
      </c>
      <c r="AX39" s="178">
        <v>-4.2171620078972731</v>
      </c>
      <c r="AY39" s="178">
        <v>-7.2925959718322886E-2</v>
      </c>
      <c r="AZ39" s="178">
        <v>-0.81101892670668674</v>
      </c>
      <c r="BA39" s="178">
        <v>-6.3314415562612156</v>
      </c>
      <c r="BB39" s="178"/>
      <c r="BC39" s="178"/>
      <c r="BD39" s="178"/>
      <c r="BE39" s="178">
        <v>-3.6947778967453919</v>
      </c>
      <c r="BF39" s="178">
        <v>-1.847388948372696</v>
      </c>
      <c r="BG39" s="178">
        <v>-1.5214048907492108</v>
      </c>
      <c r="BH39" s="178">
        <v>5.4000000000000021</v>
      </c>
      <c r="BI39" s="178">
        <v>-1.0382135479825481</v>
      </c>
      <c r="BJ39" s="178">
        <v>7.5341386806955644</v>
      </c>
      <c r="BK39" s="178">
        <v>-1.8455428731802825</v>
      </c>
      <c r="BL39" s="178">
        <v>-1.3855417112795219</v>
      </c>
      <c r="BM39" s="27"/>
      <c r="BN39" s="27"/>
    </row>
    <row r="40" spans="1:66">
      <c r="A40" s="27"/>
      <c r="B40" s="27"/>
      <c r="C40" s="27"/>
      <c r="D40" s="27"/>
      <c r="E40" s="27"/>
      <c r="F40" s="27"/>
      <c r="G40" s="27"/>
      <c r="H40" s="27"/>
      <c r="I40" s="27"/>
      <c r="J40" s="27"/>
      <c r="K40" s="27"/>
      <c r="L40" s="27"/>
      <c r="M40" s="2"/>
      <c r="N40" s="27"/>
      <c r="O40" s="178">
        <v>5.6000000000000023</v>
      </c>
      <c r="P40" s="178">
        <v>1.9403962096175249</v>
      </c>
      <c r="Q40" s="178">
        <v>4.9962400410346974E-8</v>
      </c>
      <c r="R40" s="178">
        <v>5.9847340281337709E-2</v>
      </c>
      <c r="S40" s="178">
        <v>0.93990895993259838</v>
      </c>
      <c r="T40" s="178">
        <v>2.4364982366356042E-4</v>
      </c>
      <c r="U40" s="178"/>
      <c r="V40" s="178"/>
      <c r="W40" s="178"/>
      <c r="X40" s="577">
        <v>1.3026465792526273E-2</v>
      </c>
      <c r="Y40" s="577">
        <v>18.725484058086295</v>
      </c>
      <c r="Z40" s="178">
        <v>7.7454546772478645</v>
      </c>
      <c r="AA40" s="178">
        <v>1.1008900013775746</v>
      </c>
      <c r="AB40" s="178">
        <v>1.048973913078582E-4</v>
      </c>
      <c r="AC40" s="178">
        <v>0.89890039113363585</v>
      </c>
      <c r="AD40" s="178">
        <v>0.10099452418123012</v>
      </c>
      <c r="AE40" s="178">
        <v>1.8729382622054976E-7</v>
      </c>
      <c r="AF40" s="178"/>
      <c r="AG40" s="178"/>
      <c r="AH40" s="178"/>
      <c r="AI40" s="178">
        <v>0.55324676266056172</v>
      </c>
      <c r="AJ40" s="178">
        <v>1.6597402879816854</v>
      </c>
      <c r="AK40" s="178">
        <v>0.27662338133028086</v>
      </c>
      <c r="AL40" s="178">
        <v>2.0937370852789204E-2</v>
      </c>
      <c r="AM40" s="178">
        <v>5.6000000000000023</v>
      </c>
      <c r="AN40" s="178">
        <v>-7.3013094355072443</v>
      </c>
      <c r="AO40" s="178">
        <v>-1.2229472282243379</v>
      </c>
      <c r="AP40" s="178">
        <v>-2.6914036108744547E-2</v>
      </c>
      <c r="AQ40" s="178">
        <v>-3.6132105065593167</v>
      </c>
      <c r="AR40" s="178"/>
      <c r="AS40" s="178"/>
      <c r="AT40" s="178"/>
      <c r="AU40" s="178">
        <v>-1.8851611920525837</v>
      </c>
      <c r="AV40" s="178">
        <v>18.725484058086295</v>
      </c>
      <c r="AW40" s="178">
        <v>5.6000000000000023</v>
      </c>
      <c r="AX40" s="178">
        <v>-3.979209550613426</v>
      </c>
      <c r="AY40" s="178">
        <v>-4.6288130929440743E-2</v>
      </c>
      <c r="AZ40" s="178">
        <v>-0.99569572641276993</v>
      </c>
      <c r="BA40" s="178">
        <v>-6.727432984462264</v>
      </c>
      <c r="BB40" s="178"/>
      <c r="BC40" s="178"/>
      <c r="BD40" s="178"/>
      <c r="BE40" s="178">
        <v>-3.5740258987155062</v>
      </c>
      <c r="BF40" s="178">
        <v>-1.7870129493577531</v>
      </c>
      <c r="BG40" s="178">
        <v>-1.6790669841226737</v>
      </c>
      <c r="BH40" s="178">
        <v>5.6000000000000023</v>
      </c>
      <c r="BI40" s="178">
        <v>-1.0596037903824751</v>
      </c>
      <c r="BJ40" s="178">
        <v>7.7454546772478645</v>
      </c>
      <c r="BK40" s="178">
        <v>-1.8991099986224254</v>
      </c>
      <c r="BL40" s="178">
        <v>-1.3402597120183146</v>
      </c>
      <c r="BM40" s="27"/>
      <c r="BN40" s="27"/>
    </row>
    <row r="41" spans="1:66">
      <c r="A41" s="27"/>
      <c r="B41" s="27"/>
      <c r="C41" s="27"/>
      <c r="D41" s="27"/>
      <c r="E41" s="27"/>
      <c r="F41" s="27"/>
      <c r="G41" s="27"/>
      <c r="H41" s="27"/>
      <c r="I41" s="27"/>
      <c r="J41" s="27"/>
      <c r="K41" s="27"/>
      <c r="L41" s="27"/>
      <c r="M41" s="2"/>
      <c r="N41" s="27"/>
      <c r="O41" s="178">
        <v>5.8000000000000025</v>
      </c>
      <c r="P41" s="178">
        <v>1.908496630216685</v>
      </c>
      <c r="Q41" s="178">
        <v>1.2126594080327146E-7</v>
      </c>
      <c r="R41" s="178">
        <v>9.1651673485564397E-2</v>
      </c>
      <c r="S41" s="178">
        <v>0.90819965901436384</v>
      </c>
      <c r="T41" s="178">
        <v>1.485462341309651E-4</v>
      </c>
      <c r="U41" s="178"/>
      <c r="V41" s="178"/>
      <c r="W41" s="178"/>
      <c r="X41" s="577">
        <v>1.9215086013653238E-2</v>
      </c>
      <c r="Y41" s="577">
        <v>19.179874857945833</v>
      </c>
      <c r="Z41" s="178">
        <v>7.9564249462523851</v>
      </c>
      <c r="AA41" s="178">
        <v>1.0644642973705616</v>
      </c>
      <c r="AB41" s="178">
        <v>1.7738588714674849E-4</v>
      </c>
      <c r="AC41" s="178">
        <v>0.93518100460599518</v>
      </c>
      <c r="AD41" s="178">
        <v>6.4641535756007895E-2</v>
      </c>
      <c r="AE41" s="178">
        <v>7.3750850225657765E-8</v>
      </c>
      <c r="AF41" s="178"/>
      <c r="AG41" s="178"/>
      <c r="AH41" s="178"/>
      <c r="AI41" s="178">
        <v>0.56831606758945608</v>
      </c>
      <c r="AJ41" s="178">
        <v>1.7049482027683684</v>
      </c>
      <c r="AK41" s="178">
        <v>0.28415803379472804</v>
      </c>
      <c r="AL41" s="178">
        <v>1.3971285891724097E-2</v>
      </c>
      <c r="AM41" s="178">
        <v>5.8000000000000025</v>
      </c>
      <c r="AN41" s="178">
        <v>-6.9162163837522224</v>
      </c>
      <c r="AO41" s="178">
        <v>-1.0378528816716126</v>
      </c>
      <c r="AP41" s="178">
        <v>-4.1818394758316536E-2</v>
      </c>
      <c r="AQ41" s="178">
        <v>-3.8281135704111855</v>
      </c>
      <c r="AR41" s="178"/>
      <c r="AS41" s="178"/>
      <c r="AT41" s="178"/>
      <c r="AU41" s="178">
        <v>-1.7163465554567656</v>
      </c>
      <c r="AV41" s="178">
        <v>19.179874857945833</v>
      </c>
      <c r="AW41" s="178">
        <v>5.8000000000000025</v>
      </c>
      <c r="AX41" s="178">
        <v>-3.7510566512224637</v>
      </c>
      <c r="AY41" s="178">
        <v>-2.9104134723900957E-2</v>
      </c>
      <c r="AZ41" s="178">
        <v>-1.1894806333926522</v>
      </c>
      <c r="BA41" s="178">
        <v>-7.1321867946275681</v>
      </c>
      <c r="BB41" s="178"/>
      <c r="BC41" s="178"/>
      <c r="BD41" s="178"/>
      <c r="BE41" s="178">
        <v>-3.4534714592843514</v>
      </c>
      <c r="BF41" s="178">
        <v>-1.7267357296421757</v>
      </c>
      <c r="BG41" s="178">
        <v>-1.8547516126542216</v>
      </c>
      <c r="BH41" s="178">
        <v>5.8000000000000025</v>
      </c>
      <c r="BI41" s="178">
        <v>-1.091503369783315</v>
      </c>
      <c r="BJ41" s="178">
        <v>7.9564249462523851</v>
      </c>
      <c r="BK41" s="178">
        <v>-1.9355357026294384</v>
      </c>
      <c r="BL41" s="178">
        <v>-1.2950517972316316</v>
      </c>
      <c r="BM41" s="27"/>
      <c r="BN41" s="27"/>
    </row>
    <row r="42" spans="1:66">
      <c r="A42" s="27"/>
      <c r="B42" s="27"/>
      <c r="C42" s="27"/>
      <c r="D42" s="27"/>
      <c r="E42" s="27"/>
      <c r="F42" s="27"/>
      <c r="G42" s="27"/>
      <c r="H42" s="27"/>
      <c r="I42" s="27"/>
      <c r="J42" s="27"/>
      <c r="K42" s="27"/>
      <c r="L42" s="27"/>
      <c r="M42" s="2"/>
      <c r="N42" s="27"/>
      <c r="O42" s="178">
        <v>6.0000000000000027</v>
      </c>
      <c r="P42" s="178">
        <v>1.862213708144731</v>
      </c>
      <c r="Q42" s="178">
        <v>2.8912320242957626E-7</v>
      </c>
      <c r="R42" s="178">
        <v>0.13787467585744287</v>
      </c>
      <c r="S42" s="178">
        <v>0.86203607277077576</v>
      </c>
      <c r="T42" s="178">
        <v>8.8962248578955901E-5</v>
      </c>
      <c r="U42" s="178"/>
      <c r="V42" s="178"/>
      <c r="W42" s="178"/>
      <c r="X42" s="577">
        <v>2.7399441936952266E-2</v>
      </c>
      <c r="Y42" s="577">
        <v>19.48181740444852</v>
      </c>
      <c r="Z42" s="178">
        <v>8.1671594790759396</v>
      </c>
      <c r="AA42" s="178">
        <v>1.0405042712995929</v>
      </c>
      <c r="AB42" s="178">
        <v>2.9548361825373806E-4</v>
      </c>
      <c r="AC42" s="178">
        <v>0.95890479011740626</v>
      </c>
      <c r="AD42" s="178">
        <v>4.0799697610833505E-2</v>
      </c>
      <c r="AE42" s="178">
        <v>2.865350651527517E-8</v>
      </c>
      <c r="AF42" s="178"/>
      <c r="AG42" s="178"/>
      <c r="AH42" s="178"/>
      <c r="AI42" s="178">
        <v>0.58336853421971002</v>
      </c>
      <c r="AJ42" s="178">
        <v>1.7501056026591297</v>
      </c>
      <c r="AK42" s="178">
        <v>0.29168426710985501</v>
      </c>
      <c r="AL42" s="178">
        <v>9.0895024566001945E-3</v>
      </c>
      <c r="AM42" s="178">
        <v>6.0000000000000027</v>
      </c>
      <c r="AN42" s="178">
        <v>-6.538874721485219</v>
      </c>
      <c r="AO42" s="178">
        <v>-0.86050992460690634</v>
      </c>
      <c r="AP42" s="178">
        <v>-6.4474142895907346E-2</v>
      </c>
      <c r="AQ42" s="178">
        <v>-4.0507680237510737</v>
      </c>
      <c r="AR42" s="178"/>
      <c r="AS42" s="178"/>
      <c r="AT42" s="178"/>
      <c r="AU42" s="178">
        <v>-1.5622481686181029</v>
      </c>
      <c r="AV42" s="178">
        <v>19.48181740444852</v>
      </c>
      <c r="AW42" s="178">
        <v>6.0000000000000027</v>
      </c>
      <c r="AX42" s="178">
        <v>-3.5294437418728508</v>
      </c>
      <c r="AY42" s="178">
        <v>-1.8224393904897704E-2</v>
      </c>
      <c r="AZ42" s="178">
        <v>-1.3893340611042584</v>
      </c>
      <c r="BA42" s="178">
        <v>-7.542773390869784</v>
      </c>
      <c r="BB42" s="178"/>
      <c r="BC42" s="178"/>
      <c r="BD42" s="178"/>
      <c r="BE42" s="178">
        <v>-3.3330517262423198</v>
      </c>
      <c r="BF42" s="178">
        <v>-1.6665258631211599</v>
      </c>
      <c r="BG42" s="178">
        <v>-2.041446672256702</v>
      </c>
      <c r="BH42" s="178">
        <v>6.0000000000000027</v>
      </c>
      <c r="BI42" s="178">
        <v>-1.137786291855269</v>
      </c>
      <c r="BJ42" s="178">
        <v>8.1671594790759396</v>
      </c>
      <c r="BK42" s="178">
        <v>-1.9594957287004071</v>
      </c>
      <c r="BL42" s="178">
        <v>-1.2498943973408703</v>
      </c>
      <c r="BM42" s="27"/>
      <c r="BN42" s="27"/>
    </row>
    <row r="43" spans="1:66">
      <c r="A43" s="27"/>
      <c r="B43" s="27"/>
      <c r="C43" s="27"/>
      <c r="D43" s="27"/>
      <c r="E43" s="27"/>
      <c r="F43" s="27"/>
      <c r="G43" s="27"/>
      <c r="H43" s="27"/>
      <c r="I43" s="27"/>
      <c r="J43" s="27"/>
      <c r="K43" s="27"/>
      <c r="L43" s="27"/>
      <c r="M43" s="2"/>
      <c r="N43" s="27"/>
      <c r="O43" s="178">
        <v>6.2000000000000028</v>
      </c>
      <c r="P43" s="178">
        <v>1.7978345155889783</v>
      </c>
      <c r="Q43" s="178">
        <v>6.7206942484213787E-7</v>
      </c>
      <c r="R43" s="178">
        <v>0.20221608445803738</v>
      </c>
      <c r="S43" s="178">
        <v>0.7977312992866723</v>
      </c>
      <c r="T43" s="178">
        <v>5.1944185865410136E-5</v>
      </c>
      <c r="U43" s="178"/>
      <c r="V43" s="178"/>
      <c r="W43" s="178"/>
      <c r="X43" s="577">
        <v>3.7165955225248883E-2</v>
      </c>
      <c r="Y43" s="577">
        <v>19.677734184369911</v>
      </c>
      <c r="Z43" s="178">
        <v>8.377740060160809</v>
      </c>
      <c r="AA43" s="178">
        <v>1.0250312290295356</v>
      </c>
      <c r="AB43" s="178">
        <v>4.8741037087566755E-4</v>
      </c>
      <c r="AC43" s="178">
        <v>0.97399396126435001</v>
      </c>
      <c r="AD43" s="178">
        <v>2.5518617329137926E-2</v>
      </c>
      <c r="AE43" s="178">
        <v>1.103563660294274E-8</v>
      </c>
      <c r="AF43" s="178"/>
      <c r="AG43" s="178"/>
      <c r="AH43" s="178"/>
      <c r="AI43" s="178">
        <v>0.59841000429720059</v>
      </c>
      <c r="AJ43" s="178">
        <v>1.7952300128916019</v>
      </c>
      <c r="AK43" s="178">
        <v>0.2992050021486003</v>
      </c>
      <c r="AL43" s="178">
        <v>5.8514373680934777E-3</v>
      </c>
      <c r="AM43" s="178">
        <v>6.2000000000000028</v>
      </c>
      <c r="AN43" s="178">
        <v>-6.1725459007133079</v>
      </c>
      <c r="AO43" s="178">
        <v>-0.6941798090372916</v>
      </c>
      <c r="AP43" s="178">
        <v>-9.8142732528590002E-2</v>
      </c>
      <c r="AQ43" s="178">
        <v>-4.2844353185860529</v>
      </c>
      <c r="AR43" s="178"/>
      <c r="AS43" s="178"/>
      <c r="AT43" s="178"/>
      <c r="AU43" s="178">
        <v>-1.4298454437830439</v>
      </c>
      <c r="AV43" s="178">
        <v>19.677734184369911</v>
      </c>
      <c r="AW43" s="178">
        <v>6.2000000000000028</v>
      </c>
      <c r="AX43" s="178">
        <v>-3.31208379181956</v>
      </c>
      <c r="AY43" s="178">
        <v>-1.1443661640212741E-2</v>
      </c>
      <c r="AZ43" s="178">
        <v>-1.5931325466281794</v>
      </c>
      <c r="BA43" s="178">
        <v>-7.9571510941823114</v>
      </c>
      <c r="BB43" s="178"/>
      <c r="BC43" s="178"/>
      <c r="BD43" s="178"/>
      <c r="BE43" s="178">
        <v>-3.2127199656223953</v>
      </c>
      <c r="BF43" s="178">
        <v>-1.6063599828111976</v>
      </c>
      <c r="BG43" s="178">
        <v>-2.2327229844397816</v>
      </c>
      <c r="BH43" s="178">
        <v>6.2000000000000028</v>
      </c>
      <c r="BI43" s="178">
        <v>-1.2021654844110217</v>
      </c>
      <c r="BJ43" s="178">
        <v>8.377740060160809</v>
      </c>
      <c r="BK43" s="178">
        <v>-1.9749687709704644</v>
      </c>
      <c r="BL43" s="178">
        <v>-1.2047699871083981</v>
      </c>
      <c r="BM43" s="27"/>
      <c r="BN43" s="27"/>
    </row>
    <row r="44" spans="1:66">
      <c r="A44" s="27"/>
      <c r="B44" s="27"/>
      <c r="C44" s="27"/>
      <c r="D44" s="27"/>
      <c r="E44" s="27"/>
      <c r="F44" s="27"/>
      <c r="G44" s="27"/>
      <c r="H44" s="27"/>
      <c r="I44" s="27"/>
      <c r="J44" s="27"/>
      <c r="K44" s="27"/>
      <c r="L44" s="27"/>
      <c r="M44" s="2"/>
      <c r="N44" s="27"/>
      <c r="O44" s="178">
        <v>6.400000000000003</v>
      </c>
      <c r="P44" s="178">
        <v>1.7134275971245549</v>
      </c>
      <c r="Q44" s="178">
        <v>1.5096373964799736E-6</v>
      </c>
      <c r="R44" s="178">
        <v>0.28659869222613604</v>
      </c>
      <c r="S44" s="178">
        <v>0.71337048951098347</v>
      </c>
      <c r="T44" s="178">
        <v>2.9308625483955826E-5</v>
      </c>
      <c r="U44" s="178"/>
      <c r="V44" s="178"/>
      <c r="W44" s="178"/>
      <c r="X44" s="577">
        <v>4.7091869337586766E-2</v>
      </c>
      <c r="Y44" s="577">
        <v>19.803712518478278</v>
      </c>
      <c r="Z44" s="178">
        <v>8.5882232426729104</v>
      </c>
      <c r="AA44" s="178">
        <v>1.0150689142924705</v>
      </c>
      <c r="AB44" s="178">
        <v>7.9895510728205331E-4</v>
      </c>
      <c r="AC44" s="178">
        <v>0.9833331797194127</v>
      </c>
      <c r="AD44" s="178">
        <v>1.5867860946857992E-2</v>
      </c>
      <c r="AE44" s="178">
        <v>4.2264472709273067E-9</v>
      </c>
      <c r="AF44" s="178"/>
      <c r="AG44" s="178"/>
      <c r="AH44" s="178"/>
      <c r="AI44" s="178">
        <v>0.61344451733377936</v>
      </c>
      <c r="AJ44" s="178">
        <v>1.840333552001338</v>
      </c>
      <c r="AK44" s="178">
        <v>0.30672225866688968</v>
      </c>
      <c r="AL44" s="178">
        <v>3.7976668512049406E-3</v>
      </c>
      <c r="AM44" s="178">
        <v>6.400000000000003</v>
      </c>
      <c r="AN44" s="178">
        <v>-5.8210896685294404</v>
      </c>
      <c r="AO44" s="178">
        <v>-0.54272228205572171</v>
      </c>
      <c r="AP44" s="178">
        <v>-0.1466839107493173</v>
      </c>
      <c r="AQ44" s="178">
        <v>-4.5329752020090783</v>
      </c>
      <c r="AR44" s="178"/>
      <c r="AS44" s="178"/>
      <c r="AT44" s="178"/>
      <c r="AU44" s="178">
        <v>-1.3270454783245937</v>
      </c>
      <c r="AV44" s="178">
        <v>19.803712518478278</v>
      </c>
      <c r="AW44" s="178">
        <v>6.400000000000003</v>
      </c>
      <c r="AX44" s="178">
        <v>-3.097457569663248</v>
      </c>
      <c r="AY44" s="178">
        <v>-7.2992593302961192E-3</v>
      </c>
      <c r="AZ44" s="178">
        <v>-1.7994699641646581</v>
      </c>
      <c r="BA44" s="178">
        <v>-8.3739703315651859</v>
      </c>
      <c r="BB44" s="178"/>
      <c r="BC44" s="178"/>
      <c r="BD44" s="178"/>
      <c r="BE44" s="178">
        <v>-3.0924438613297651</v>
      </c>
      <c r="BF44" s="178">
        <v>-1.5462219306648826</v>
      </c>
      <c r="BG44" s="178">
        <v>-2.4204674660565133</v>
      </c>
      <c r="BH44" s="178">
        <v>6.400000000000003</v>
      </c>
      <c r="BI44" s="178">
        <v>-1.2865724028754451</v>
      </c>
      <c r="BJ44" s="178">
        <v>8.5882232426729104</v>
      </c>
      <c r="BK44" s="178">
        <v>-1.9849310857075295</v>
      </c>
      <c r="BL44" s="178">
        <v>-1.159666447998662</v>
      </c>
      <c r="BM44" s="27"/>
      <c r="BN44" s="27"/>
    </row>
    <row r="45" spans="1:66">
      <c r="A45" s="27"/>
      <c r="B45" s="27"/>
      <c r="C45" s="27"/>
      <c r="D45" s="27"/>
      <c r="E45" s="27"/>
      <c r="F45" s="27"/>
      <c r="G45" s="27"/>
      <c r="H45" s="27"/>
      <c r="I45" s="27"/>
      <c r="J45" s="27"/>
      <c r="K45" s="27"/>
      <c r="L45" s="27"/>
      <c r="M45" s="2"/>
      <c r="N45" s="27"/>
      <c r="O45" s="178">
        <v>6.6000000000000032</v>
      </c>
      <c r="P45" s="178">
        <v>1.6109890343481337</v>
      </c>
      <c r="Q45" s="178">
        <v>3.2476611840598506E-6</v>
      </c>
      <c r="R45" s="178">
        <v>0.38902030808085397</v>
      </c>
      <c r="S45" s="178">
        <v>0.61096060650660677</v>
      </c>
      <c r="T45" s="178">
        <v>1.583775135534311E-5</v>
      </c>
      <c r="U45" s="178"/>
      <c r="V45" s="178"/>
      <c r="W45" s="178"/>
      <c r="X45" s="577">
        <v>5.4738230046080957E-2</v>
      </c>
      <c r="Y45" s="577">
        <v>19.885540132236201</v>
      </c>
      <c r="Z45" s="178">
        <v>8.7986468997393832</v>
      </c>
      <c r="AA45" s="178">
        <v>1.0085251900875707</v>
      </c>
      <c r="AB45" s="178">
        <v>1.304316128477666E-3</v>
      </c>
      <c r="AC45" s="178">
        <v>0.98886617926821629</v>
      </c>
      <c r="AD45" s="178">
        <v>9.8295029905638067E-3</v>
      </c>
      <c r="AE45" s="178">
        <v>1.6127422781590192E-9</v>
      </c>
      <c r="AF45" s="178"/>
      <c r="AG45" s="178"/>
      <c r="AH45" s="178"/>
      <c r="AI45" s="178">
        <v>0.62847477855281308</v>
      </c>
      <c r="AJ45" s="178">
        <v>1.8854243356584395</v>
      </c>
      <c r="AK45" s="178">
        <v>0.31423738927640654</v>
      </c>
      <c r="AL45" s="178">
        <v>2.5668140430031984E-3</v>
      </c>
      <c r="AM45" s="178">
        <v>6.6000000000000032</v>
      </c>
      <c r="AN45" s="178">
        <v>-5.4883937533043365</v>
      </c>
      <c r="AO45" s="178">
        <v>-0.41002507203291566</v>
      </c>
      <c r="AP45" s="178">
        <v>-0.21398540592880841</v>
      </c>
      <c r="AQ45" s="178">
        <v>-4.8002754023908665</v>
      </c>
      <c r="AR45" s="178"/>
      <c r="AS45" s="178"/>
      <c r="AT45" s="178"/>
      <c r="AU45" s="178">
        <v>-1.261701081266194</v>
      </c>
      <c r="AV45" s="178">
        <v>19.885540132236201</v>
      </c>
      <c r="AW45" s="178">
        <v>6.6000000000000032</v>
      </c>
      <c r="AX45" s="178">
        <v>-2.8845984604555168</v>
      </c>
      <c r="AY45" s="178">
        <v>-4.8624449086987556E-3</v>
      </c>
      <c r="AZ45" s="178">
        <v>-2.0074554445291946</v>
      </c>
      <c r="BA45" s="178">
        <v>-8.7923781067158551</v>
      </c>
      <c r="BB45" s="178"/>
      <c r="BC45" s="178"/>
      <c r="BD45" s="178"/>
      <c r="BE45" s="178">
        <v>-2.9722017715774953</v>
      </c>
      <c r="BF45" s="178">
        <v>-1.4861008857887477</v>
      </c>
      <c r="BG45" s="178">
        <v>-2.5905888218045434</v>
      </c>
      <c r="BH45" s="178">
        <v>6.6000000000000032</v>
      </c>
      <c r="BI45" s="178">
        <v>-1.3890109656518663</v>
      </c>
      <c r="BJ45" s="178">
        <v>8.7986468997393832</v>
      </c>
      <c r="BK45" s="178">
        <v>-1.9914748099124293</v>
      </c>
      <c r="BL45" s="178">
        <v>-1.1145756643415605</v>
      </c>
      <c r="BM45" s="27"/>
      <c r="BN45" s="27"/>
    </row>
    <row r="46" spans="1:66">
      <c r="A46" s="27"/>
      <c r="B46" s="27"/>
      <c r="C46" s="27"/>
      <c r="D46" s="27"/>
      <c r="E46" s="27"/>
      <c r="F46" s="27"/>
      <c r="G46" s="27"/>
      <c r="H46" s="27"/>
      <c r="I46" s="27"/>
      <c r="J46" s="27"/>
      <c r="K46" s="27"/>
      <c r="L46" s="27"/>
      <c r="M46" s="2"/>
      <c r="N46" s="27"/>
      <c r="O46" s="178">
        <v>6.8000000000000034</v>
      </c>
      <c r="P46" s="178">
        <v>1.4977232711550779</v>
      </c>
      <c r="Q46" s="178">
        <v>6.6456435715217657E-6</v>
      </c>
      <c r="R46" s="178">
        <v>0.50227157822216806</v>
      </c>
      <c r="S46" s="178">
        <v>0.49771363546987102</v>
      </c>
      <c r="T46" s="178">
        <v>8.1406643892509785E-6</v>
      </c>
      <c r="U46" s="178"/>
      <c r="V46" s="178"/>
      <c r="W46" s="178"/>
      <c r="X46" s="577">
        <v>5.7571312361428463E-2</v>
      </c>
      <c r="Y46" s="577">
        <v>19.941073826339561</v>
      </c>
      <c r="Z46" s="178">
        <v>9.0090364657241615</v>
      </c>
      <c r="AA46" s="178">
        <v>1.0039498342282533</v>
      </c>
      <c r="AB46" s="178">
        <v>2.1235395929480078E-3</v>
      </c>
      <c r="AC46" s="178">
        <v>0.99180308719971677</v>
      </c>
      <c r="AD46" s="178">
        <v>6.0733725934689255E-3</v>
      </c>
      <c r="AE46" s="178">
        <v>6.1386627061715563E-10</v>
      </c>
      <c r="AF46" s="178"/>
      <c r="AG46" s="178"/>
      <c r="AH46" s="178"/>
      <c r="AI46" s="178">
        <v>0.64350260469458298</v>
      </c>
      <c r="AJ46" s="178">
        <v>1.9305078140837488</v>
      </c>
      <c r="AK46" s="178">
        <v>0.32175130234729149</v>
      </c>
      <c r="AL46" s="178">
        <v>1.9160856448971017E-3</v>
      </c>
      <c r="AM46" s="178">
        <v>6.8000000000000034</v>
      </c>
      <c r="AN46" s="178">
        <v>-5.1774294362878512</v>
      </c>
      <c r="AO46" s="178">
        <v>-0.29905946021872737</v>
      </c>
      <c r="AP46" s="178">
        <v>-0.30301849931691732</v>
      </c>
      <c r="AQ46" s="178">
        <v>-5.0893072009812723</v>
      </c>
      <c r="AR46" s="178"/>
      <c r="AS46" s="178"/>
      <c r="AT46" s="178"/>
      <c r="AU46" s="178">
        <v>-1.2397858441017922</v>
      </c>
      <c r="AV46" s="178">
        <v>19.941073826339561</v>
      </c>
      <c r="AW46" s="178">
        <v>6.8000000000000034</v>
      </c>
      <c r="AX46" s="178">
        <v>-2.6729223326882483</v>
      </c>
      <c r="AY46" s="178">
        <v>-3.5745210665743331E-3</v>
      </c>
      <c r="AZ46" s="178">
        <v>-2.2165557246122143</v>
      </c>
      <c r="BA46" s="178">
        <v>-9.2118665907240196</v>
      </c>
      <c r="BB46" s="178"/>
      <c r="BC46" s="178"/>
      <c r="BD46" s="178"/>
      <c r="BE46" s="178">
        <v>-2.8519791624433362</v>
      </c>
      <c r="BF46" s="178">
        <v>-1.4259895812216681</v>
      </c>
      <c r="BG46" s="178">
        <v>-2.7175674891820401</v>
      </c>
      <c r="BH46" s="178">
        <v>6.8000000000000034</v>
      </c>
      <c r="BI46" s="178">
        <v>-1.5022767288449221</v>
      </c>
      <c r="BJ46" s="178">
        <v>9.0090364657241615</v>
      </c>
      <c r="BK46" s="178">
        <v>-1.9960501657717467</v>
      </c>
      <c r="BL46" s="178">
        <v>-1.0694921859162512</v>
      </c>
      <c r="BM46" s="27"/>
      <c r="BN46" s="27"/>
    </row>
    <row r="47" spans="1:66">
      <c r="A47" s="27"/>
      <c r="B47" s="27"/>
      <c r="C47" s="27"/>
      <c r="D47" s="27"/>
      <c r="E47" s="27"/>
      <c r="F47" s="27"/>
      <c r="G47" s="27"/>
      <c r="H47" s="27"/>
      <c r="I47" s="27"/>
      <c r="J47" s="27"/>
      <c r="K47" s="27"/>
      <c r="L47" s="27"/>
      <c r="M47" s="2"/>
      <c r="N47" s="27"/>
      <c r="O47" s="178">
        <v>7.0000000000000036</v>
      </c>
      <c r="P47" s="178">
        <v>1.3846916337500561</v>
      </c>
      <c r="Q47" s="178">
        <v>1.2902558878774451E-5</v>
      </c>
      <c r="R47" s="178">
        <v>0.61528653120667598</v>
      </c>
      <c r="S47" s="178">
        <v>0.38469659615995588</v>
      </c>
      <c r="T47" s="178">
        <v>3.9700744894651892E-6</v>
      </c>
      <c r="U47" s="178"/>
      <c r="V47" s="178"/>
      <c r="W47" s="178"/>
      <c r="X47" s="577">
        <v>5.4511858383608947E-2</v>
      </c>
      <c r="Y47" s="577">
        <v>19.982924718351569</v>
      </c>
      <c r="Z47" s="178">
        <v>9.2194099000282304</v>
      </c>
      <c r="AA47" s="178">
        <v>1.0002949498465075</v>
      </c>
      <c r="AB47" s="178">
        <v>3.4504199136122732E-3</v>
      </c>
      <c r="AC47" s="178">
        <v>0.99280421055948764</v>
      </c>
      <c r="AD47" s="178">
        <v>3.7453692936804763E-3</v>
      </c>
      <c r="AE47" s="178">
        <v>2.3321960601169937E-10</v>
      </c>
      <c r="AF47" s="178"/>
      <c r="AG47" s="178"/>
      <c r="AH47" s="178"/>
      <c r="AI47" s="178">
        <v>0.65852927857344501</v>
      </c>
      <c r="AJ47" s="178">
        <v>1.9755878357203349</v>
      </c>
      <c r="AK47" s="178">
        <v>0.3292646392867225</v>
      </c>
      <c r="AL47" s="178">
        <v>1.7092382844294443E-3</v>
      </c>
      <c r="AM47" s="178">
        <v>7.0000000000000036</v>
      </c>
      <c r="AN47" s="178">
        <v>-4.8892924969913283</v>
      </c>
      <c r="AO47" s="178">
        <v>-0.2109212261245012</v>
      </c>
      <c r="AP47" s="178">
        <v>-0.41487897042498834</v>
      </c>
      <c r="AQ47" s="178">
        <v>-5.4011663772916405</v>
      </c>
      <c r="AR47" s="178"/>
      <c r="AS47" s="178"/>
      <c r="AT47" s="178"/>
      <c r="AU47" s="178">
        <v>-1.2635008320858065</v>
      </c>
      <c r="AV47" s="178">
        <v>19.982924718351569</v>
      </c>
      <c r="AW47" s="178">
        <v>7.0000000000000036</v>
      </c>
      <c r="AX47" s="178">
        <v>-2.4621121085967661</v>
      </c>
      <c r="AY47" s="178">
        <v>-3.136369323963641E-3</v>
      </c>
      <c r="AZ47" s="178">
        <v>-2.4264896452184748</v>
      </c>
      <c r="BA47" s="178">
        <v>-9.6321725836791519</v>
      </c>
      <c r="BB47" s="178"/>
      <c r="BC47" s="178"/>
      <c r="BD47" s="178"/>
      <c r="BE47" s="178">
        <v>-2.7317657714124399</v>
      </c>
      <c r="BF47" s="178">
        <v>-1.36588288570622</v>
      </c>
      <c r="BG47" s="178">
        <v>-2.7671794733826753</v>
      </c>
      <c r="BH47" s="178">
        <v>7.0000000000000036</v>
      </c>
      <c r="BI47" s="178">
        <v>-1.6153083662499439</v>
      </c>
      <c r="BJ47" s="178">
        <v>9.2194099000282304</v>
      </c>
      <c r="BK47" s="178">
        <v>-1.9997050501534925</v>
      </c>
      <c r="BL47" s="178">
        <v>-1.0244121642796651</v>
      </c>
      <c r="BM47" s="27"/>
      <c r="BN47" s="27"/>
    </row>
    <row r="48" spans="1:66">
      <c r="A48" s="27"/>
      <c r="B48" s="27"/>
      <c r="C48" s="27"/>
      <c r="D48" s="27"/>
      <c r="E48" s="27"/>
      <c r="F48" s="27"/>
      <c r="G48" s="27"/>
      <c r="H48" s="27"/>
      <c r="I48" s="27"/>
      <c r="J48" s="27"/>
      <c r="K48" s="27"/>
      <c r="L48" s="27"/>
      <c r="M48" s="2"/>
      <c r="N48" s="27"/>
      <c r="O48" s="178">
        <v>7.2000000000000037</v>
      </c>
      <c r="P48" s="178">
        <v>1.2828668475747922</v>
      </c>
      <c r="Q48" s="178">
        <v>2.3832548745316712E-5</v>
      </c>
      <c r="R48" s="178">
        <v>0.71708732934328256</v>
      </c>
      <c r="S48" s="178">
        <v>0.28288699609240647</v>
      </c>
      <c r="T48" s="178">
        <v>1.8420155655257713E-6</v>
      </c>
      <c r="U48" s="178"/>
      <c r="V48" s="178"/>
      <c r="W48" s="178"/>
      <c r="X48" s="577">
        <v>4.6721498724623375E-2</v>
      </c>
      <c r="Y48" s="577">
        <v>20.020832466252614</v>
      </c>
      <c r="Z48" s="178">
        <v>9.4297815209616029</v>
      </c>
      <c r="AA48" s="178">
        <v>0.99670902887488744</v>
      </c>
      <c r="AB48" s="178">
        <v>5.5967295712693729E-3</v>
      </c>
      <c r="AC48" s="178">
        <v>0.99209751207102714</v>
      </c>
      <c r="AD48" s="178">
        <v>2.3057582692506133E-3</v>
      </c>
      <c r="AE48" s="178">
        <v>8.8452999689201531E-11</v>
      </c>
      <c r="AF48" s="178"/>
      <c r="AG48" s="178"/>
      <c r="AH48" s="178"/>
      <c r="AI48" s="178">
        <v>0.67355582292582883</v>
      </c>
      <c r="AJ48" s="178">
        <v>2.0206674687774862</v>
      </c>
      <c r="AK48" s="178">
        <v>0.33677791146291441</v>
      </c>
      <c r="AL48" s="178">
        <v>1.902114852590626E-3</v>
      </c>
      <c r="AM48" s="178">
        <v>7.2000000000000037</v>
      </c>
      <c r="AN48" s="178">
        <v>-4.6227995818862198</v>
      </c>
      <c r="AO48" s="178">
        <v>-0.14442701622169068</v>
      </c>
      <c r="AP48" s="178">
        <v>-0.54838346572447505</v>
      </c>
      <c r="AQ48" s="178">
        <v>-5.7346695777934249</v>
      </c>
      <c r="AR48" s="178"/>
      <c r="AS48" s="178"/>
      <c r="AT48" s="178"/>
      <c r="AU48" s="178">
        <v>-1.330474620911404</v>
      </c>
      <c r="AV48" s="178">
        <v>20.020832466252614</v>
      </c>
      <c r="AW48" s="178">
        <v>7.2000000000000037</v>
      </c>
      <c r="AX48" s="178">
        <v>-2.2520510974415542</v>
      </c>
      <c r="AY48" s="178">
        <v>-3.4456171586660514E-3</v>
      </c>
      <c r="AZ48" s="178">
        <v>-2.6371691520430924</v>
      </c>
      <c r="BA48" s="178">
        <v>-10.053222349493684</v>
      </c>
      <c r="BB48" s="178"/>
      <c r="BC48" s="178"/>
      <c r="BD48" s="178"/>
      <c r="BE48" s="178">
        <v>-2.6115534165933694</v>
      </c>
      <c r="BF48" s="178">
        <v>-1.3057767082966847</v>
      </c>
      <c r="BG48" s="178">
        <v>-2.7207456490547539</v>
      </c>
      <c r="BH48" s="178">
        <v>7.2000000000000037</v>
      </c>
      <c r="BI48" s="178">
        <v>-1.7171331524252078</v>
      </c>
      <c r="BJ48" s="178">
        <v>9.4297815209616029</v>
      </c>
      <c r="BK48" s="178">
        <v>-2.0032909711251126</v>
      </c>
      <c r="BL48" s="178">
        <v>-0.97933253122251385</v>
      </c>
      <c r="BM48" s="27"/>
      <c r="BN48" s="27"/>
    </row>
    <row r="49" spans="1:66">
      <c r="A49" s="27"/>
      <c r="B49" s="27"/>
      <c r="C49" s="27"/>
      <c r="D49" s="27"/>
      <c r="E49" s="27"/>
      <c r="F49" s="27"/>
      <c r="G49" s="27"/>
      <c r="H49" s="27"/>
      <c r="I49" s="27"/>
      <c r="J49" s="27"/>
      <c r="K49" s="27"/>
      <c r="L49" s="27"/>
      <c r="M49" s="2"/>
      <c r="N49" s="27"/>
      <c r="O49" s="178">
        <v>7.4000000000000039</v>
      </c>
      <c r="P49" s="178">
        <v>1.1992521678102512</v>
      </c>
      <c r="Q49" s="178">
        <v>4.2174399443621063E-5</v>
      </c>
      <c r="R49" s="178">
        <v>0.80066430217932116</v>
      </c>
      <c r="S49" s="178">
        <v>0.19929270463277571</v>
      </c>
      <c r="T49" s="178">
        <v>8.1878845952411779E-7</v>
      </c>
      <c r="U49" s="178"/>
      <c r="V49" s="178"/>
      <c r="W49" s="178"/>
      <c r="X49" s="577">
        <v>3.6758871322346925E-2</v>
      </c>
      <c r="Y49" s="577">
        <v>20.063731157279108</v>
      </c>
      <c r="Z49" s="178">
        <v>9.6401651822701666</v>
      </c>
      <c r="AA49" s="178">
        <v>0.99235550633772174</v>
      </c>
      <c r="AB49" s="178">
        <v>9.0612697157870393E-3</v>
      </c>
      <c r="AC49" s="178">
        <v>0.98952195426418688</v>
      </c>
      <c r="AD49" s="178">
        <v>1.4167759865438161E-3</v>
      </c>
      <c r="AE49" s="178">
        <v>3.3482379668866955E-11</v>
      </c>
      <c r="AF49" s="178"/>
      <c r="AG49" s="178"/>
      <c r="AH49" s="178"/>
      <c r="AI49" s="178">
        <v>0.68858322730501187</v>
      </c>
      <c r="AJ49" s="178">
        <v>2.0657496819150358</v>
      </c>
      <c r="AK49" s="178">
        <v>0.34429161365250593</v>
      </c>
      <c r="AL49" s="178">
        <v>2.5371637300328153E-3</v>
      </c>
      <c r="AM49" s="178">
        <v>7.4000000000000039</v>
      </c>
      <c r="AN49" s="178">
        <v>-4.3749227695923043</v>
      </c>
      <c r="AO49" s="178">
        <v>-9.6548909130071858E-2</v>
      </c>
      <c r="AP49" s="178">
        <v>-0.7005040638351534</v>
      </c>
      <c r="AQ49" s="178">
        <v>-6.0867888811064006</v>
      </c>
      <c r="AR49" s="178"/>
      <c r="AS49" s="178"/>
      <c r="AT49" s="178"/>
      <c r="AU49" s="178">
        <v>-1.4346285442231814</v>
      </c>
      <c r="AV49" s="178">
        <v>20.063731157279108</v>
      </c>
      <c r="AW49" s="178">
        <v>7.4000000000000039</v>
      </c>
      <c r="AX49" s="178">
        <v>-2.0427977171529212</v>
      </c>
      <c r="AY49" s="178">
        <v>-4.5745361571904054E-3</v>
      </c>
      <c r="AZ49" s="178">
        <v>-2.8486803703287733</v>
      </c>
      <c r="BA49" s="178">
        <v>-10.475115867066521</v>
      </c>
      <c r="BB49" s="178"/>
      <c r="BC49" s="178"/>
      <c r="BD49" s="178"/>
      <c r="BE49" s="178">
        <v>-2.491334181559905</v>
      </c>
      <c r="BF49" s="178">
        <v>-1.2456670907799525</v>
      </c>
      <c r="BG49" s="178">
        <v>-2.595634701459185</v>
      </c>
      <c r="BH49" s="178">
        <v>7.4000000000000039</v>
      </c>
      <c r="BI49" s="178">
        <v>-1.8007478321897488</v>
      </c>
      <c r="BJ49" s="178">
        <v>9.6401651822701666</v>
      </c>
      <c r="BK49" s="178">
        <v>-2.0076444936622782</v>
      </c>
      <c r="BL49" s="178">
        <v>-0.93425031808496417</v>
      </c>
      <c r="BM49" s="27"/>
      <c r="BN49" s="27"/>
    </row>
    <row r="50" spans="1:66">
      <c r="A50" s="27"/>
      <c r="B50" s="27"/>
      <c r="C50" s="27"/>
      <c r="D50" s="27"/>
      <c r="E50" s="27"/>
      <c r="F50" s="27"/>
      <c r="G50" s="27"/>
      <c r="H50" s="27"/>
      <c r="I50" s="27"/>
      <c r="J50" s="27"/>
      <c r="K50" s="27"/>
      <c r="L50" s="27"/>
      <c r="M50" s="2"/>
      <c r="N50" s="27"/>
      <c r="O50" s="178">
        <v>7.6000000000000041</v>
      </c>
      <c r="P50" s="178">
        <v>1.135652640101614</v>
      </c>
      <c r="Q50" s="178">
        <v>7.2146359476865304E-5</v>
      </c>
      <c r="R50" s="178">
        <v>0.8642034190129636</v>
      </c>
      <c r="S50" s="178">
        <v>0.13572408279402837</v>
      </c>
      <c r="T50" s="178">
        <v>3.5183353121811691E-7</v>
      </c>
      <c r="U50" s="178"/>
      <c r="V50" s="178"/>
      <c r="W50" s="178"/>
      <c r="X50" s="577">
        <v>2.7032938824863007E-2</v>
      </c>
      <c r="Y50" s="577">
        <v>20.121755062427837</v>
      </c>
      <c r="Z50" s="178">
        <v>9.8505773086917063</v>
      </c>
      <c r="AA50" s="178">
        <v>0.98623340655917535</v>
      </c>
      <c r="AB50" s="178">
        <v>1.4634909706761921E-2</v>
      </c>
      <c r="AC50" s="178">
        <v>0.98449677403994207</v>
      </c>
      <c r="AD50" s="178">
        <v>8.6831624065514159E-4</v>
      </c>
      <c r="AE50" s="178">
        <v>1.2640985321765592E-11</v>
      </c>
      <c r="AF50" s="178"/>
      <c r="AG50" s="178"/>
      <c r="AH50" s="178"/>
      <c r="AI50" s="178">
        <v>0.7036126649065505</v>
      </c>
      <c r="AJ50" s="178">
        <v>2.1108379947196516</v>
      </c>
      <c r="AK50" s="178">
        <v>0.35180633245327525</v>
      </c>
      <c r="AL50" s="178">
        <v>3.7500662528696009E-3</v>
      </c>
      <c r="AM50" s="178">
        <v>7.6000000000000041</v>
      </c>
      <c r="AN50" s="178">
        <v>-4.1417587647522502</v>
      </c>
      <c r="AO50" s="178">
        <v>-6.3383609492315043E-2</v>
      </c>
      <c r="AP50" s="178">
        <v>-0.86733746939969381</v>
      </c>
      <c r="AQ50" s="178">
        <v>-6.4536209918732377</v>
      </c>
      <c r="AR50" s="178"/>
      <c r="AS50" s="178"/>
      <c r="AT50" s="178"/>
      <c r="AU50" s="178">
        <v>-1.5680965864864231</v>
      </c>
      <c r="AV50" s="178">
        <v>20.121755062427837</v>
      </c>
      <c r="AW50" s="178">
        <v>7.6000000000000041</v>
      </c>
      <c r="AX50" s="178">
        <v>-1.834598075451819</v>
      </c>
      <c r="AY50" s="178">
        <v>-6.7856586719375125E-3</v>
      </c>
      <c r="AZ50" s="178">
        <v>-3.0613022570593702</v>
      </c>
      <c r="BA50" s="178">
        <v>-10.898148518012968</v>
      </c>
      <c r="BB50" s="178"/>
      <c r="BC50" s="178"/>
      <c r="BD50" s="178"/>
      <c r="BE50" s="178">
        <v>-2.371098680747596</v>
      </c>
      <c r="BF50" s="178">
        <v>-1.185549340373798</v>
      </c>
      <c r="BG50" s="178">
        <v>-2.425945353827843</v>
      </c>
      <c r="BH50" s="178">
        <v>7.6000000000000041</v>
      </c>
      <c r="BI50" s="178">
        <v>-1.864347359898386</v>
      </c>
      <c r="BJ50" s="178">
        <v>9.8505773086917063</v>
      </c>
      <c r="BK50" s="178">
        <v>-2.0137665934408249</v>
      </c>
      <c r="BL50" s="178">
        <v>-0.88916200528034839</v>
      </c>
      <c r="BM50" s="27"/>
      <c r="BN50" s="27"/>
    </row>
    <row r="51" spans="1:66">
      <c r="A51" s="27"/>
      <c r="B51" s="27"/>
      <c r="C51" s="27"/>
      <c r="D51" s="27"/>
      <c r="E51" s="27"/>
      <c r="F51" s="27"/>
      <c r="G51" s="27"/>
      <c r="H51" s="27"/>
      <c r="I51" s="27"/>
      <c r="J51" s="27"/>
      <c r="K51" s="27"/>
      <c r="L51" s="27"/>
      <c r="M51" s="2"/>
      <c r="N51" s="27"/>
      <c r="O51" s="178">
        <v>7.8000000000000043</v>
      </c>
      <c r="P51" s="178">
        <v>1.0900275611270687</v>
      </c>
      <c r="Q51" s="178">
        <v>1.2036822074125432E-4</v>
      </c>
      <c r="R51" s="178">
        <v>0.9097318498780097</v>
      </c>
      <c r="S51" s="178">
        <v>9.0147634454688388E-2</v>
      </c>
      <c r="T51" s="178">
        <v>1.4744656068899661E-7</v>
      </c>
      <c r="U51" s="178"/>
      <c r="V51" s="178"/>
      <c r="W51" s="178"/>
      <c r="X51" s="577">
        <v>1.89210404673637E-2</v>
      </c>
      <c r="Y51" s="577">
        <v>20.208536063728388</v>
      </c>
      <c r="Z51" s="178">
        <v>10.061040246754805</v>
      </c>
      <c r="AA51" s="178">
        <v>0.97697688906088376</v>
      </c>
      <c r="AB51" s="178">
        <v>2.3553278780268305E-2</v>
      </c>
      <c r="AC51" s="178">
        <v>0.9759165533833335</v>
      </c>
      <c r="AD51" s="178">
        <v>5.3016783164428036E-4</v>
      </c>
      <c r="AE51" s="178">
        <v>4.7539371746000665E-12</v>
      </c>
      <c r="AF51" s="178"/>
      <c r="AG51" s="178"/>
      <c r="AH51" s="178"/>
      <c r="AI51" s="178">
        <v>0.71864573191105752</v>
      </c>
      <c r="AJ51" s="178">
        <v>2.1559371957331726</v>
      </c>
      <c r="AK51" s="178">
        <v>0.35932286595552876</v>
      </c>
      <c r="AL51" s="178">
        <v>5.7869642000559279E-3</v>
      </c>
      <c r="AM51" s="178">
        <v>7.8000000000000043</v>
      </c>
      <c r="AN51" s="178">
        <v>-3.9194627843574894</v>
      </c>
      <c r="AO51" s="178">
        <v>-4.1086334299851784E-2</v>
      </c>
      <c r="AP51" s="178">
        <v>-1.0450388994095279</v>
      </c>
      <c r="AQ51" s="178">
        <v>-6.8313211270853689</v>
      </c>
      <c r="AR51" s="178"/>
      <c r="AS51" s="178"/>
      <c r="AT51" s="178"/>
      <c r="AU51" s="178">
        <v>-1.7230438304007814</v>
      </c>
      <c r="AV51" s="178">
        <v>20.208536063728388</v>
      </c>
      <c r="AW51" s="178">
        <v>7.8000000000000043</v>
      </c>
      <c r="AX51" s="178">
        <v>-1.6279380881926695</v>
      </c>
      <c r="AY51" s="178">
        <v>-1.0587246941243305E-2</v>
      </c>
      <c r="AZ51" s="178">
        <v>-3.2755654208571312</v>
      </c>
      <c r="BA51" s="178">
        <v>-11.322873257339184</v>
      </c>
      <c r="BB51" s="178"/>
      <c r="BC51" s="178"/>
      <c r="BD51" s="178"/>
      <c r="BE51" s="178">
        <v>-2.2508341447115399</v>
      </c>
      <c r="BF51" s="178">
        <v>-1.1254170723557699</v>
      </c>
      <c r="BG51" s="178">
        <v>-2.237534718439806</v>
      </c>
      <c r="BH51" s="178">
        <v>7.8000000000000043</v>
      </c>
      <c r="BI51" s="178">
        <v>-1.9099724388729313</v>
      </c>
      <c r="BJ51" s="178">
        <v>10.061040246754805</v>
      </c>
      <c r="BK51" s="178">
        <v>-2.0230231109391164</v>
      </c>
      <c r="BL51" s="178">
        <v>-0.84406280426682745</v>
      </c>
      <c r="BM51" s="27"/>
      <c r="BN51" s="27"/>
    </row>
    <row r="52" spans="1:66">
      <c r="A52" s="27"/>
      <c r="B52" s="27"/>
      <c r="C52" s="27"/>
      <c r="D52" s="27"/>
      <c r="E52" s="27"/>
      <c r="F52" s="27"/>
      <c r="G52" s="27"/>
      <c r="H52" s="27"/>
      <c r="I52" s="27"/>
      <c r="J52" s="27"/>
      <c r="K52" s="27"/>
      <c r="L52" s="27"/>
      <c r="M52" s="2"/>
      <c r="N52" s="27"/>
      <c r="O52" s="178">
        <v>8.0000000000000036</v>
      </c>
      <c r="P52" s="178">
        <v>1.0586352315950041</v>
      </c>
      <c r="Q52" s="178">
        <v>1.9732145293333274E-4</v>
      </c>
      <c r="R52" s="178">
        <v>0.94097018621428463</v>
      </c>
      <c r="S52" s="178">
        <v>5.8832431617626718E-2</v>
      </c>
      <c r="T52" s="178">
        <v>6.0715155332756712E-8</v>
      </c>
      <c r="U52" s="178"/>
      <c r="V52" s="178"/>
      <c r="W52" s="178"/>
      <c r="X52" s="577">
        <v>1.2803782459765203E-2</v>
      </c>
      <c r="Y52" s="577">
        <v>20.344214436772745</v>
      </c>
      <c r="Z52" s="178">
        <v>10.271586190317612</v>
      </c>
      <c r="AA52" s="178">
        <v>0.96262111482621326</v>
      </c>
      <c r="AB52" s="178">
        <v>3.77007100777026E-2</v>
      </c>
      <c r="AC52" s="178">
        <v>0.96197746502015857</v>
      </c>
      <c r="AD52" s="178">
        <v>3.2182490036170675E-4</v>
      </c>
      <c r="AE52" s="178">
        <v>1.7771077666103948E-12</v>
      </c>
      <c r="AF52" s="178"/>
      <c r="AG52" s="178"/>
      <c r="AH52" s="178"/>
      <c r="AI52" s="178">
        <v>0.73368472787982941</v>
      </c>
      <c r="AJ52" s="178">
        <v>2.2010541836394881</v>
      </c>
      <c r="AK52" s="178">
        <v>0.36684236393991471</v>
      </c>
      <c r="AL52" s="178">
        <v>9.0237242972199313E-3</v>
      </c>
      <c r="AM52" s="178">
        <v>8.0000000000000036</v>
      </c>
      <c r="AN52" s="178">
        <v>-3.7048017103667541</v>
      </c>
      <c r="AO52" s="178">
        <v>-2.6423965511412583E-2</v>
      </c>
      <c r="AP52" s="178">
        <v>-1.230375235823385</v>
      </c>
      <c r="AQ52" s="178">
        <v>-7.2166561687015216</v>
      </c>
      <c r="AR52" s="178"/>
      <c r="AS52" s="178"/>
      <c r="AT52" s="178"/>
      <c r="AU52" s="178">
        <v>-1.8926494601929622</v>
      </c>
      <c r="AV52" s="178">
        <v>20.344214436772745</v>
      </c>
      <c r="AW52" s="178">
        <v>8.0000000000000036</v>
      </c>
      <c r="AX52" s="178">
        <v>-1.4236412532585876</v>
      </c>
      <c r="AY52" s="178">
        <v>-1.6834992497947374E-2</v>
      </c>
      <c r="AZ52" s="178">
        <v>-3.4923577469046214</v>
      </c>
      <c r="BA52" s="178">
        <v>-11.75021016387746</v>
      </c>
      <c r="BB52" s="178"/>
      <c r="BC52" s="178"/>
      <c r="BD52" s="178"/>
      <c r="BE52" s="178">
        <v>-2.1305221769613647</v>
      </c>
      <c r="BF52" s="178">
        <v>-1.0652610884806823</v>
      </c>
      <c r="BG52" s="178">
        <v>-2.0446009453934413</v>
      </c>
      <c r="BH52" s="178">
        <v>8.0000000000000036</v>
      </c>
      <c r="BI52" s="178">
        <v>-1.9413647684049959</v>
      </c>
      <c r="BJ52" s="178">
        <v>10.271586190317612</v>
      </c>
      <c r="BK52" s="178">
        <v>-2.0373788851737866</v>
      </c>
      <c r="BL52" s="178">
        <v>-0.79894581636051187</v>
      </c>
      <c r="BM52" s="27"/>
      <c r="BN52" s="27"/>
    </row>
    <row r="53" spans="1:66">
      <c r="A53" s="27"/>
      <c r="B53" s="27"/>
      <c r="C53" s="27"/>
      <c r="D53" s="27"/>
      <c r="E53" s="27"/>
      <c r="F53" s="27"/>
      <c r="G53" s="27"/>
      <c r="H53" s="27"/>
      <c r="I53" s="27"/>
      <c r="J53" s="27"/>
      <c r="K53" s="27"/>
      <c r="L53" s="27"/>
      <c r="M53" s="2"/>
      <c r="N53" s="27"/>
      <c r="O53" s="178">
        <v>8.2000000000000028</v>
      </c>
      <c r="P53" s="178">
        <v>1.0376205341301283</v>
      </c>
      <c r="Q53" s="178">
        <v>3.19636391314406E-4</v>
      </c>
      <c r="R53" s="178">
        <v>0.96174021779191099</v>
      </c>
      <c r="S53" s="178">
        <v>3.7940121112106456E-2</v>
      </c>
      <c r="T53" s="178">
        <v>2.4704668157883247E-8</v>
      </c>
      <c r="U53" s="178"/>
      <c r="V53" s="178"/>
      <c r="W53" s="178"/>
      <c r="X53" s="577">
        <v>8.4888528221923453E-3</v>
      </c>
      <c r="Y53" s="577">
        <v>20.55962798622204</v>
      </c>
      <c r="Z53" s="178">
        <v>10.482261360601155</v>
      </c>
      <c r="AA53" s="178">
        <v>0.94035611414584397</v>
      </c>
      <c r="AB53" s="178">
        <v>5.9837480380462445E-2</v>
      </c>
      <c r="AC53" s="178">
        <v>0.93996892509388918</v>
      </c>
      <c r="AD53" s="178">
        <v>1.9359452499020393E-4</v>
      </c>
      <c r="AE53" s="178">
        <v>6.5813050629886932E-13</v>
      </c>
      <c r="AF53" s="178"/>
      <c r="AG53" s="178"/>
      <c r="AH53" s="178"/>
      <c r="AI53" s="178">
        <v>0.74873295432865394</v>
      </c>
      <c r="AJ53" s="178">
        <v>2.2461988629859619</v>
      </c>
      <c r="AK53" s="178">
        <v>0.37436647716432697</v>
      </c>
      <c r="AL53" s="178">
        <v>1.3962587989361388E-2</v>
      </c>
      <c r="AM53" s="178">
        <v>8.2000000000000028</v>
      </c>
      <c r="AN53" s="178">
        <v>-3.495321152334447</v>
      </c>
      <c r="AO53" s="178">
        <v>-1.6942112681401805E-2</v>
      </c>
      <c r="AP53" s="178">
        <v>-1.4208920881956704</v>
      </c>
      <c r="AQ53" s="178">
        <v>-7.6071717262761043</v>
      </c>
      <c r="AR53" s="178"/>
      <c r="AS53" s="178"/>
      <c r="AT53" s="178"/>
      <c r="AU53" s="178">
        <v>-2.0711375874444218</v>
      </c>
      <c r="AV53" s="178">
        <v>20.55962798622204</v>
      </c>
      <c r="AW53" s="178">
        <v>8.2000000000000028</v>
      </c>
      <c r="AX53" s="178">
        <v>-1.2230187840458024</v>
      </c>
      <c r="AY53" s="178">
        <v>-2.6886329660073378E-2</v>
      </c>
      <c r="AZ53" s="178">
        <v>-3.7130828904416582</v>
      </c>
      <c r="BA53" s="178">
        <v>-12.181609113789408</v>
      </c>
      <c r="BB53" s="178"/>
      <c r="BC53" s="178"/>
      <c r="BD53" s="178"/>
      <c r="BE53" s="178">
        <v>-2.0101363653707685</v>
      </c>
      <c r="BF53" s="178">
        <v>-1.0050681826853842</v>
      </c>
      <c r="BG53" s="178">
        <v>-1.8550220675637872</v>
      </c>
      <c r="BH53" s="178">
        <v>8.2000000000000028</v>
      </c>
      <c r="BI53" s="178">
        <v>-1.9623794658698717</v>
      </c>
      <c r="BJ53" s="178">
        <v>10.482261360601155</v>
      </c>
      <c r="BK53" s="178">
        <v>-2.0596438858541561</v>
      </c>
      <c r="BL53" s="178">
        <v>-0.75380113701403806</v>
      </c>
      <c r="BM53" s="27"/>
      <c r="BN53" s="27"/>
    </row>
    <row r="54" spans="1:66">
      <c r="A54" s="27"/>
      <c r="B54" s="27"/>
      <c r="C54" s="27"/>
      <c r="D54" s="27"/>
      <c r="E54" s="27"/>
      <c r="F54" s="27"/>
      <c r="G54" s="27"/>
      <c r="H54" s="27"/>
      <c r="I54" s="27"/>
      <c r="J54" s="27"/>
      <c r="K54" s="27"/>
      <c r="L54" s="27"/>
      <c r="M54" s="2"/>
      <c r="N54" s="27"/>
      <c r="O54" s="178">
        <v>8.4000000000000021</v>
      </c>
      <c r="P54" s="178">
        <v>1.0237602664100949</v>
      </c>
      <c r="Q54" s="178">
        <v>5.1368589803868188E-4</v>
      </c>
      <c r="R54" s="178">
        <v>0.97521237176670439</v>
      </c>
      <c r="S54" s="178">
        <v>2.4273932362380131E-2</v>
      </c>
      <c r="T54" s="178">
        <v>9.9728766901973487E-9</v>
      </c>
      <c r="U54" s="178"/>
      <c r="V54" s="178"/>
      <c r="W54" s="178"/>
      <c r="X54" s="577">
        <v>5.5855601527922119E-3</v>
      </c>
      <c r="Y54" s="577">
        <v>20.902049214055296</v>
      </c>
      <c r="Z54" s="178">
        <v>10.693128606202979</v>
      </c>
      <c r="AA54" s="178">
        <v>0.90637486967590586</v>
      </c>
      <c r="AB54" s="178">
        <v>9.3739974801512915E-2</v>
      </c>
      <c r="AC54" s="178">
        <v>0.90614518072130856</v>
      </c>
      <c r="AD54" s="178">
        <v>1.1484447693830227E-4</v>
      </c>
      <c r="AE54" s="178">
        <v>2.4024912777926512E-13</v>
      </c>
      <c r="AF54" s="178"/>
      <c r="AG54" s="178"/>
      <c r="AH54" s="178"/>
      <c r="AI54" s="178">
        <v>0.76379490044306997</v>
      </c>
      <c r="AJ54" s="178">
        <v>2.2913847013292101</v>
      </c>
      <c r="AK54" s="178">
        <v>0.38189745022153498</v>
      </c>
      <c r="AL54" s="178">
        <v>2.1150985142444165E-2</v>
      </c>
      <c r="AM54" s="178">
        <v>8.4000000000000021</v>
      </c>
      <c r="AN54" s="178">
        <v>-3.2892810616749264</v>
      </c>
      <c r="AO54" s="178">
        <v>-1.0900727224177623E-2</v>
      </c>
      <c r="AP54" s="178">
        <v>-1.6148494079407425</v>
      </c>
      <c r="AQ54" s="178">
        <v>-8.0011277512234731</v>
      </c>
      <c r="AR54" s="178"/>
      <c r="AS54" s="178"/>
      <c r="AT54" s="178"/>
      <c r="AU54" s="178">
        <v>-2.2529186812977184</v>
      </c>
      <c r="AV54" s="178">
        <v>20.902049214055296</v>
      </c>
      <c r="AW54" s="178">
        <v>8.4000000000000021</v>
      </c>
      <c r="AX54" s="178">
        <v>-1.0280685118127981</v>
      </c>
      <c r="AY54" s="178">
        <v>-4.2801937876766297E-2</v>
      </c>
      <c r="AZ54" s="178">
        <v>-3.939864379108049</v>
      </c>
      <c r="BA54" s="178">
        <v>-12.619256482905495</v>
      </c>
      <c r="BB54" s="178"/>
      <c r="BC54" s="178"/>
      <c r="BD54" s="178"/>
      <c r="BE54" s="178">
        <v>-1.8896407964554403</v>
      </c>
      <c r="BF54" s="178">
        <v>-0.94482039822772013</v>
      </c>
      <c r="BG54" s="178">
        <v>-1.6746585580368465</v>
      </c>
      <c r="BH54" s="178">
        <v>8.4000000000000021</v>
      </c>
      <c r="BI54" s="178">
        <v>-1.9762397335899051</v>
      </c>
      <c r="BJ54" s="178">
        <v>10.693128606202979</v>
      </c>
      <c r="BK54" s="178">
        <v>-2.093625130324094</v>
      </c>
      <c r="BL54" s="178">
        <v>-0.70861529867078987</v>
      </c>
      <c r="BM54" s="27"/>
      <c r="BN54" s="27"/>
    </row>
    <row r="55" spans="1:66">
      <c r="A55" s="27"/>
      <c r="B55" s="27"/>
      <c r="C55" s="27"/>
      <c r="D55" s="27"/>
      <c r="E55" s="27"/>
      <c r="F55" s="27"/>
      <c r="G55" s="27"/>
      <c r="H55" s="27"/>
      <c r="I55" s="27"/>
      <c r="J55" s="27"/>
      <c r="K55" s="27"/>
      <c r="L55" s="27"/>
      <c r="M55" s="2"/>
      <c r="N55" s="27"/>
      <c r="O55" s="178">
        <v>8.6000000000000014</v>
      </c>
      <c r="P55" s="178">
        <v>1.0146283338641378</v>
      </c>
      <c r="Q55" s="178">
        <v>8.2124737248838583E-4</v>
      </c>
      <c r="R55" s="178">
        <v>0.98372917539583271</v>
      </c>
      <c r="S55" s="178">
        <v>1.5449573226731616E-2</v>
      </c>
      <c r="T55" s="178">
        <v>4.0049472372732479E-9</v>
      </c>
      <c r="U55" s="178"/>
      <c r="V55" s="178"/>
      <c r="W55" s="178"/>
      <c r="X55" s="577">
        <v>3.7098336826356755E-3</v>
      </c>
      <c r="Y55" s="577">
        <v>21.442285725788679</v>
      </c>
      <c r="Z55" s="178">
        <v>10.904263374595613</v>
      </c>
      <c r="AA55" s="178">
        <v>0.85608395997254494</v>
      </c>
      <c r="AB55" s="178">
        <v>0.14398275544777889</v>
      </c>
      <c r="AC55" s="178">
        <v>0.85595052913198311</v>
      </c>
      <c r="AD55" s="178">
        <v>6.6715420152146162E-5</v>
      </c>
      <c r="AE55" s="178">
        <v>8.5830800419083384E-14</v>
      </c>
      <c r="AF55" s="178"/>
      <c r="AG55" s="178"/>
      <c r="AH55" s="178"/>
      <c r="AI55" s="178">
        <v>0.77887595532825815</v>
      </c>
      <c r="AJ55" s="178">
        <v>2.3366278659847741</v>
      </c>
      <c r="AK55" s="178">
        <v>0.38943797766412908</v>
      </c>
      <c r="AL55" s="178">
        <v>3.0933696563526972E-2</v>
      </c>
      <c r="AM55" s="178">
        <v>8.6000000000000014</v>
      </c>
      <c r="AN55" s="178">
        <v>-3.0855060312585278</v>
      </c>
      <c r="AO55" s="178">
        <v>-7.124402010075013E-3</v>
      </c>
      <c r="AP55" s="178">
        <v>-1.8110717879289362</v>
      </c>
      <c r="AQ55" s="178">
        <v>-8.3973488364139612</v>
      </c>
      <c r="AR55" s="178"/>
      <c r="AS55" s="178"/>
      <c r="AT55" s="178"/>
      <c r="AU55" s="178">
        <v>-2.4306298240449578</v>
      </c>
      <c r="AV55" s="178">
        <v>21.442285725788679</v>
      </c>
      <c r="AW55" s="178">
        <v>8.6000000000000014</v>
      </c>
      <c r="AX55" s="178">
        <v>-0.84168407036049175</v>
      </c>
      <c r="AY55" s="178">
        <v>-6.7550897933028736E-2</v>
      </c>
      <c r="AZ55" s="178">
        <v>-4.1757467406728797</v>
      </c>
      <c r="BA55" s="178">
        <v>-13.066272245978896</v>
      </c>
      <c r="BB55" s="178"/>
      <c r="BC55" s="178"/>
      <c r="BD55" s="178"/>
      <c r="BE55" s="178">
        <v>-1.7689923573739348</v>
      </c>
      <c r="BF55" s="178">
        <v>-0.88449617868696739</v>
      </c>
      <c r="BG55" s="178">
        <v>-1.5095584059635347</v>
      </c>
      <c r="BH55" s="178">
        <v>8.6000000000000014</v>
      </c>
      <c r="BI55" s="178">
        <v>-1.9853716661358622</v>
      </c>
      <c r="BJ55" s="178">
        <v>10.904263374595613</v>
      </c>
      <c r="BK55" s="178">
        <v>-2.1439160400274551</v>
      </c>
      <c r="BL55" s="178">
        <v>-0.66337213401522588</v>
      </c>
      <c r="BM55" s="27"/>
      <c r="BN55" s="27"/>
    </row>
    <row r="56" spans="1:66">
      <c r="A56" s="27"/>
      <c r="B56" s="27"/>
      <c r="C56" s="27"/>
      <c r="D56" s="27"/>
      <c r="E56" s="27"/>
      <c r="F56" s="27"/>
      <c r="G56" s="27"/>
      <c r="H56" s="27"/>
      <c r="I56" s="27"/>
      <c r="J56" s="27"/>
      <c r="K56" s="27"/>
      <c r="L56" s="27"/>
      <c r="M56" s="2"/>
      <c r="N56" s="27"/>
      <c r="O56" s="178">
        <v>8.8000000000000007</v>
      </c>
      <c r="P56" s="178">
        <v>1.0084907676125705</v>
      </c>
      <c r="Q56" s="178">
        <v>1.3084209128806058E-3</v>
      </c>
      <c r="R56" s="178">
        <v>0.98889239216443514</v>
      </c>
      <c r="S56" s="178">
        <v>9.7991853199178025E-3</v>
      </c>
      <c r="T56" s="178">
        <v>1.6027665969451879E-9</v>
      </c>
      <c r="U56" s="178"/>
      <c r="V56" s="178"/>
      <c r="W56" s="178"/>
      <c r="X56" s="577">
        <v>2.5609751118751442E-3</v>
      </c>
      <c r="Y56" s="577">
        <v>22.281442677194718</v>
      </c>
      <c r="Z56" s="178">
        <v>11.115733453073027</v>
      </c>
      <c r="AA56" s="178">
        <v>0.78513773598320757</v>
      </c>
      <c r="AB56" s="178">
        <v>0.21489986608505141</v>
      </c>
      <c r="AC56" s="178">
        <v>0.78506253184671959</v>
      </c>
      <c r="AD56" s="178">
        <v>3.7602068199399629E-5</v>
      </c>
      <c r="AE56" s="178">
        <v>2.9727513941282283E-14</v>
      </c>
      <c r="AF56" s="178"/>
      <c r="AG56" s="178"/>
      <c r="AH56" s="178"/>
      <c r="AI56" s="178">
        <v>0.79398096093378767</v>
      </c>
      <c r="AJ56" s="178">
        <v>2.3819428828013627</v>
      </c>
      <c r="AK56" s="178">
        <v>0.39699048046689384</v>
      </c>
      <c r="AL56" s="178">
        <v>4.2984919636895227E-2</v>
      </c>
      <c r="AM56" s="178">
        <v>8.8000000000000007</v>
      </c>
      <c r="AN56" s="178">
        <v>-2.8832338568899885</v>
      </c>
      <c r="AO56" s="178">
        <v>-4.8509328438319805E-3</v>
      </c>
      <c r="AP56" s="178">
        <v>-2.0087970239649895</v>
      </c>
      <c r="AQ56" s="178">
        <v>-8.7950727776523117</v>
      </c>
      <c r="AR56" s="178"/>
      <c r="AS56" s="178"/>
      <c r="AT56" s="178"/>
      <c r="AU56" s="178">
        <v>-2.5915778641273337</v>
      </c>
      <c r="AV56" s="178">
        <v>22.281442677194718</v>
      </c>
      <c r="AW56" s="178">
        <v>8.8000000000000007</v>
      </c>
      <c r="AX56" s="178">
        <v>-0.66775953204374605</v>
      </c>
      <c r="AY56" s="178">
        <v>-0.1050950690388371</v>
      </c>
      <c r="AZ56" s="178">
        <v>-4.4247596212012423</v>
      </c>
      <c r="BA56" s="178">
        <v>-13.526753835929812</v>
      </c>
      <c r="BB56" s="178"/>
      <c r="BC56" s="178"/>
      <c r="BD56" s="178"/>
      <c r="BE56" s="178">
        <v>-1.6481523125296986</v>
      </c>
      <c r="BF56" s="178">
        <v>-0.82407615626484931</v>
      </c>
      <c r="BG56" s="178">
        <v>-1.3666750329710169</v>
      </c>
      <c r="BH56" s="178">
        <v>8.8000000000000007</v>
      </c>
      <c r="BI56" s="178">
        <v>-1.9915092323874295</v>
      </c>
      <c r="BJ56" s="178">
        <v>11.115733453073027</v>
      </c>
      <c r="BK56" s="178">
        <v>-2.2148622640167925</v>
      </c>
      <c r="BL56" s="178">
        <v>-0.61805711719863732</v>
      </c>
      <c r="BM56" s="27"/>
      <c r="BN56" s="27"/>
    </row>
    <row r="57" spans="1:66">
      <c r="A57" s="27"/>
      <c r="B57" s="27"/>
      <c r="C57" s="27"/>
      <c r="D57" s="27"/>
      <c r="E57" s="27"/>
      <c r="F57" s="27"/>
      <c r="G57" s="27"/>
      <c r="H57" s="27"/>
      <c r="I57" s="27"/>
      <c r="J57" s="27"/>
      <c r="K57" s="27"/>
      <c r="L57" s="27"/>
      <c r="M57" s="2"/>
      <c r="N57" s="27"/>
      <c r="O57" s="178">
        <v>9</v>
      </c>
      <c r="P57" s="178">
        <v>1.0041209106735629</v>
      </c>
      <c r="Q57" s="178">
        <v>2.0796365076225982E-3</v>
      </c>
      <c r="R57" s="178">
        <v>0.99171981695108924</v>
      </c>
      <c r="S57" s="178">
        <v>6.2005459013909619E-3</v>
      </c>
      <c r="T57" s="178">
        <v>6.3989724238773515E-10</v>
      </c>
      <c r="U57" s="178"/>
      <c r="V57" s="178"/>
      <c r="W57" s="178"/>
      <c r="X57" s="577">
        <v>1.934277442721292E-3</v>
      </c>
      <c r="Y57" s="577">
        <v>23.553723619261291</v>
      </c>
      <c r="Z57" s="178">
        <v>11.327553158845967</v>
      </c>
      <c r="AA57" s="178">
        <v>0.69167954517122454</v>
      </c>
      <c r="AB57" s="178">
        <v>0.3083407955882988</v>
      </c>
      <c r="AC57" s="178">
        <v>0.69163886365218774</v>
      </c>
      <c r="AD57" s="178">
        <v>2.0340759503612788E-5</v>
      </c>
      <c r="AE57" s="178">
        <v>9.8740271701039566E-15</v>
      </c>
      <c r="AF57" s="178"/>
      <c r="AG57" s="178"/>
      <c r="AH57" s="178"/>
      <c r="AI57" s="178">
        <v>0.80911093991756911</v>
      </c>
      <c r="AJ57" s="178">
        <v>2.4273328197527073</v>
      </c>
      <c r="AK57" s="178">
        <v>0.40455546995878455</v>
      </c>
      <c r="AL57" s="178">
        <v>5.5830074549314442E-2</v>
      </c>
      <c r="AM57" s="178">
        <v>9</v>
      </c>
      <c r="AN57" s="178">
        <v>-2.6819952038961108</v>
      </c>
      <c r="AO57" s="178">
        <v>-3.6109850522506553E-3</v>
      </c>
      <c r="AP57" s="178">
        <v>-2.2075557813757043</v>
      </c>
      <c r="AQ57" s="178">
        <v>-9.1938302402653242</v>
      </c>
      <c r="AR57" s="178"/>
      <c r="AS57" s="178"/>
      <c r="AT57" s="178"/>
      <c r="AU57" s="178">
        <v>-2.713463665791414</v>
      </c>
      <c r="AV57" s="178">
        <v>23.553723619261291</v>
      </c>
      <c r="AW57" s="178">
        <v>9</v>
      </c>
      <c r="AX57" s="178">
        <v>-0.51096570334521274</v>
      </c>
      <c r="AY57" s="178">
        <v>-0.16011957479490205</v>
      </c>
      <c r="AZ57" s="178">
        <v>-4.6916024614119047</v>
      </c>
      <c r="BA57" s="178">
        <v>-14.005415010595074</v>
      </c>
      <c r="BB57" s="178"/>
      <c r="BC57" s="178"/>
      <c r="BD57" s="178"/>
      <c r="BE57" s="178">
        <v>-1.5271124806594472</v>
      </c>
      <c r="BF57" s="178">
        <v>-0.76355624032972358</v>
      </c>
      <c r="BG57" s="178">
        <v>-1.2531236794794747</v>
      </c>
      <c r="BH57" s="178">
        <v>9</v>
      </c>
      <c r="BI57" s="178">
        <v>-1.9958790893264371</v>
      </c>
      <c r="BJ57" s="178">
        <v>11.327553158845967</v>
      </c>
      <c r="BK57" s="178">
        <v>-2.3083204548287757</v>
      </c>
      <c r="BL57" s="178">
        <v>-0.57266718024729268</v>
      </c>
      <c r="BM57" s="27"/>
      <c r="BN57" s="27"/>
    </row>
    <row r="58" spans="1:66">
      <c r="A58" s="27"/>
      <c r="B58" s="27"/>
      <c r="C58" s="27"/>
      <c r="D58" s="27"/>
      <c r="E58" s="27"/>
      <c r="F58" s="27"/>
      <c r="G58" s="27"/>
      <c r="H58" s="27"/>
      <c r="I58" s="27"/>
      <c r="J58" s="27"/>
      <c r="K58" s="27"/>
      <c r="L58" s="27"/>
      <c r="M58" s="2"/>
      <c r="N58" s="27"/>
      <c r="O58" s="178">
        <v>9.1999999999999993</v>
      </c>
      <c r="P58" s="178">
        <v>1.0006169400407323</v>
      </c>
      <c r="Q58" s="178">
        <v>3.2995385226113057E-3</v>
      </c>
      <c r="R58" s="178">
        <v>0.99278398316906624</v>
      </c>
      <c r="S58" s="178">
        <v>3.9164780533014884E-3</v>
      </c>
      <c r="T58" s="178">
        <v>2.5502103793646726E-10</v>
      </c>
      <c r="U58" s="178"/>
      <c r="V58" s="178"/>
      <c r="W58" s="178"/>
      <c r="X58" s="577">
        <v>1.7115400080988941E-3</v>
      </c>
      <c r="Y58" s="577">
        <v>25.425947584153619</v>
      </c>
      <c r="Z58" s="178">
        <v>11.539624057245398</v>
      </c>
      <c r="AA58" s="178">
        <v>0.57922870197524923</v>
      </c>
      <c r="AB58" s="178">
        <v>0.42078175127329487</v>
      </c>
      <c r="AC58" s="178">
        <v>0.57920779547816414</v>
      </c>
      <c r="AD58" s="178">
        <v>1.0453248537868725E-5</v>
      </c>
      <c r="AE58" s="178">
        <v>3.1139205735951612E-15</v>
      </c>
      <c r="AF58" s="178"/>
      <c r="AG58" s="178"/>
      <c r="AH58" s="178"/>
      <c r="AI58" s="178">
        <v>0.82425886123181413</v>
      </c>
      <c r="AJ58" s="178">
        <v>2.4727765836954423</v>
      </c>
      <c r="AK58" s="178">
        <v>0.41212943061590707</v>
      </c>
      <c r="AL58" s="178">
        <v>6.7068080091408272E-2</v>
      </c>
      <c r="AM58" s="178">
        <v>9.1999999999999993</v>
      </c>
      <c r="AN58" s="178">
        <v>-2.4815307313130344</v>
      </c>
      <c r="AO58" s="178">
        <v>-3.145217671470624E-3</v>
      </c>
      <c r="AP58" s="178">
        <v>-2.4070887191972208</v>
      </c>
      <c r="AQ58" s="178">
        <v>-9.5933618832891359</v>
      </c>
      <c r="AR58" s="178"/>
      <c r="AS58" s="178"/>
      <c r="AT58" s="178"/>
      <c r="AU58" s="178">
        <v>-2.7665950335375187</v>
      </c>
      <c r="AV58" s="178">
        <v>25.425947584153619</v>
      </c>
      <c r="AW58" s="178">
        <v>9.1999999999999993</v>
      </c>
      <c r="AX58" s="178">
        <v>-0.37594066934985393</v>
      </c>
      <c r="AY58" s="178">
        <v>-0.23716406625441278</v>
      </c>
      <c r="AZ58" s="178">
        <v>-4.9807164783262863</v>
      </c>
      <c r="BA58" s="178">
        <v>-14.506598552964324</v>
      </c>
      <c r="BB58" s="178"/>
      <c r="BC58" s="178"/>
      <c r="BD58" s="178"/>
      <c r="BE58" s="178">
        <v>-1.4059291101454869</v>
      </c>
      <c r="BF58" s="178">
        <v>-0.70296455507274347</v>
      </c>
      <c r="BG58" s="178">
        <v>-1.1734765285873106</v>
      </c>
      <c r="BH58" s="178">
        <v>9.1999999999999993</v>
      </c>
      <c r="BI58" s="178">
        <v>-1.9993830599592677</v>
      </c>
      <c r="BJ58" s="178">
        <v>11.539624057245398</v>
      </c>
      <c r="BK58" s="178">
        <v>-2.4207712980247509</v>
      </c>
      <c r="BL58" s="178">
        <v>-0.52722341630455771</v>
      </c>
      <c r="BM58" s="27"/>
      <c r="BN58" s="27"/>
    </row>
    <row r="59" spans="1:66">
      <c r="A59" s="27"/>
      <c r="B59" s="27"/>
      <c r="C59" s="27"/>
      <c r="D59" s="27"/>
      <c r="E59" s="27"/>
      <c r="F59" s="27"/>
      <c r="G59" s="27"/>
      <c r="H59" s="27"/>
      <c r="I59" s="27"/>
      <c r="J59" s="27"/>
      <c r="K59" s="27"/>
      <c r="L59" s="27"/>
      <c r="M59" s="2"/>
      <c r="N59" s="27"/>
      <c r="O59" s="178">
        <v>9.3999999999999986</v>
      </c>
      <c r="P59" s="178">
        <v>0.99724305047729522</v>
      </c>
      <c r="Q59" s="178">
        <v>5.2268835608290185E-3</v>
      </c>
      <c r="R59" s="178">
        <v>0.99230318250252325</v>
      </c>
      <c r="S59" s="178">
        <v>2.4699338351711598E-3</v>
      </c>
      <c r="T59" s="178">
        <v>1.0147653541823219E-10</v>
      </c>
      <c r="U59" s="178"/>
      <c r="V59" s="178"/>
      <c r="W59" s="178"/>
      <c r="X59" s="577">
        <v>1.8498687652113784E-3</v>
      </c>
      <c r="Y59" s="577">
        <v>28.122492051625159</v>
      </c>
      <c r="Z59" s="178">
        <v>11.751718173325493</v>
      </c>
      <c r="AA59" s="178">
        <v>0.4579033326585949</v>
      </c>
      <c r="AB59" s="178">
        <v>0.5421017382636043</v>
      </c>
      <c r="AC59" s="178">
        <v>0.45789319081419738</v>
      </c>
      <c r="AD59" s="178">
        <v>5.0709221973723141E-6</v>
      </c>
      <c r="AE59" s="178">
        <v>9.2693458330532997E-16</v>
      </c>
      <c r="AF59" s="178"/>
      <c r="AG59" s="178"/>
      <c r="AH59" s="178"/>
      <c r="AI59" s="178">
        <v>0.83940844095182088</v>
      </c>
      <c r="AJ59" s="178">
        <v>2.518225322855463</v>
      </c>
      <c r="AK59" s="178">
        <v>0.41970422047591044</v>
      </c>
      <c r="AL59" s="178">
        <v>7.4993596825257733E-2</v>
      </c>
      <c r="AM59" s="178">
        <v>9.3999999999999986</v>
      </c>
      <c r="AN59" s="178">
        <v>-2.2817424024934394</v>
      </c>
      <c r="AO59" s="178">
        <v>-3.3555940541721663E-3</v>
      </c>
      <c r="AP59" s="178">
        <v>-2.6072978007822187</v>
      </c>
      <c r="AQ59" s="178">
        <v>-9.9935696700764307</v>
      </c>
      <c r="AR59" s="178"/>
      <c r="AS59" s="178"/>
      <c r="AT59" s="178"/>
      <c r="AU59" s="178">
        <v>-2.7328413880533664</v>
      </c>
      <c r="AV59" s="178">
        <v>28.122492051625159</v>
      </c>
      <c r="AW59" s="178">
        <v>9.3999999999999986</v>
      </c>
      <c r="AX59" s="178">
        <v>-0.26591747858254849</v>
      </c>
      <c r="AY59" s="178">
        <v>-0.33923361847233113</v>
      </c>
      <c r="AZ59" s="178">
        <v>-5.2948787735294278</v>
      </c>
      <c r="BA59" s="178">
        <v>-15.032853591152689</v>
      </c>
      <c r="BB59" s="178"/>
      <c r="BC59" s="178"/>
      <c r="BD59" s="178"/>
      <c r="BE59" s="178">
        <v>-1.284732472385433</v>
      </c>
      <c r="BF59" s="178">
        <v>-0.64236623619271649</v>
      </c>
      <c r="BG59" s="178">
        <v>-1.1249685332900923</v>
      </c>
      <c r="BH59" s="178">
        <v>9.3999999999999986</v>
      </c>
      <c r="BI59" s="178">
        <v>-2.0027569495227047</v>
      </c>
      <c r="BJ59" s="178">
        <v>11.751718173325493</v>
      </c>
      <c r="BK59" s="178">
        <v>-2.5420966673414052</v>
      </c>
      <c r="BL59" s="178">
        <v>-0.48177467714453703</v>
      </c>
      <c r="BM59" s="27"/>
      <c r="BN59" s="27"/>
    </row>
    <row r="60" spans="1:66">
      <c r="A60" s="27"/>
      <c r="B60" s="27"/>
      <c r="C60" s="27"/>
      <c r="D60" s="27"/>
      <c r="E60" s="27"/>
      <c r="F60" s="27"/>
      <c r="G60" s="27"/>
      <c r="H60" s="27"/>
      <c r="I60" s="27"/>
      <c r="J60" s="27"/>
      <c r="K60" s="27"/>
      <c r="L60" s="27"/>
      <c r="M60" s="2"/>
      <c r="N60" s="27"/>
      <c r="O60" s="178">
        <v>9.5999999999999979</v>
      </c>
      <c r="P60" s="178">
        <v>0.9932887708011362</v>
      </c>
      <c r="Q60" s="178">
        <v>8.266315490606151E-3</v>
      </c>
      <c r="R60" s="178">
        <v>0.99017859825796339</v>
      </c>
      <c r="S60" s="178">
        <v>1.5550862111183654E-3</v>
      </c>
      <c r="T60" s="178">
        <v>4.0312040556332072E-11</v>
      </c>
      <c r="U60" s="178"/>
      <c r="V60" s="178"/>
      <c r="W60" s="178"/>
      <c r="X60" s="577">
        <v>2.3768644762642344E-3</v>
      </c>
      <c r="Y60" s="577">
        <v>32.065280988172162</v>
      </c>
      <c r="Z60" s="178">
        <v>11.963554366049292</v>
      </c>
      <c r="AA60" s="178">
        <v>0.34151020155616346</v>
      </c>
      <c r="AB60" s="178">
        <v>0.658492120562156</v>
      </c>
      <c r="AC60" s="178">
        <v>0.34150555731952492</v>
      </c>
      <c r="AD60" s="178">
        <v>2.3221183188794624E-6</v>
      </c>
      <c r="AE60" s="178">
        <v>2.6062153015593655E-16</v>
      </c>
      <c r="AF60" s="178"/>
      <c r="AG60" s="178"/>
      <c r="AH60" s="178"/>
      <c r="AI60" s="178">
        <v>0.85453959757494946</v>
      </c>
      <c r="AJ60" s="178">
        <v>2.5636187927248484</v>
      </c>
      <c r="AK60" s="178">
        <v>0.42726979878747473</v>
      </c>
      <c r="AL60" s="178">
        <v>8.0828580821342616E-2</v>
      </c>
      <c r="AM60" s="178">
        <v>9.5999999999999979</v>
      </c>
      <c r="AN60" s="178">
        <v>-2.0826745402400393</v>
      </c>
      <c r="AO60" s="178">
        <v>-4.2864370030682676E-3</v>
      </c>
      <c r="AP60" s="178">
        <v>-2.8082273489334111</v>
      </c>
      <c r="AQ60" s="178">
        <v>-10.394497923429919</v>
      </c>
      <c r="AR60" s="178"/>
      <c r="AS60" s="178"/>
      <c r="AT60" s="178"/>
      <c r="AU60" s="178">
        <v>-2.6239785923924064</v>
      </c>
      <c r="AV60" s="178">
        <v>32.065280988172162</v>
      </c>
      <c r="AW60" s="178">
        <v>9.5999999999999979</v>
      </c>
      <c r="AX60" s="178">
        <v>-0.18144824268541482</v>
      </c>
      <c r="AY60" s="178">
        <v>-0.46659920387391829</v>
      </c>
      <c r="AZ60" s="178">
        <v>-5.6340791802297359</v>
      </c>
      <c r="BA60" s="178">
        <v>-15.583888819151717</v>
      </c>
      <c r="BB60" s="178"/>
      <c r="BC60" s="178"/>
      <c r="BD60" s="178"/>
      <c r="BE60" s="178">
        <v>-1.1636832194004043</v>
      </c>
      <c r="BF60" s="178">
        <v>-0.58184160970020216</v>
      </c>
      <c r="BG60" s="178">
        <v>-1.092427974013686</v>
      </c>
      <c r="BH60" s="178">
        <v>9.5999999999999979</v>
      </c>
      <c r="BI60" s="178">
        <v>-2.0067112291988636</v>
      </c>
      <c r="BJ60" s="178">
        <v>11.963554366049292</v>
      </c>
      <c r="BK60" s="178">
        <v>-2.6584897984438367</v>
      </c>
      <c r="BL60" s="178">
        <v>-0.43638120727515162</v>
      </c>
      <c r="BM60" s="27"/>
      <c r="BN60" s="27"/>
    </row>
    <row r="61" spans="1:66">
      <c r="A61" s="27"/>
      <c r="B61" s="27"/>
      <c r="C61" s="27"/>
      <c r="D61" s="27"/>
      <c r="E61" s="27"/>
      <c r="F61" s="27"/>
      <c r="G61" s="27"/>
      <c r="H61" s="27"/>
      <c r="I61" s="27"/>
      <c r="J61" s="27"/>
      <c r="K61" s="27"/>
      <c r="L61" s="27"/>
      <c r="M61" s="2"/>
      <c r="N61" s="27"/>
      <c r="O61" s="178">
        <v>9.7999999999999972</v>
      </c>
      <c r="P61" s="178">
        <v>0.98793139051862922</v>
      </c>
      <c r="Q61" s="178">
        <v>1.3045639436968626E-2</v>
      </c>
      <c r="R61" s="178">
        <v>0.98597733062341386</v>
      </c>
      <c r="S61" s="178">
        <v>9.7702992363705001E-4</v>
      </c>
      <c r="T61" s="178">
        <v>1.5980419542004538E-11</v>
      </c>
      <c r="U61" s="178"/>
      <c r="V61" s="178"/>
      <c r="W61" s="178"/>
      <c r="X61" s="577">
        <v>3.3946368585712774E-3</v>
      </c>
      <c r="Y61" s="577">
        <v>38.31748273660196</v>
      </c>
      <c r="Z61" s="178">
        <v>12.174908797581793</v>
      </c>
      <c r="AA61" s="178">
        <v>0.24172590275729619</v>
      </c>
      <c r="AB61" s="178">
        <v>0.75827510754583338</v>
      </c>
      <c r="AC61" s="178">
        <v>0.24172388215103718</v>
      </c>
      <c r="AD61" s="178">
        <v>1.0103031293908806E-6</v>
      </c>
      <c r="AE61" s="178">
        <v>6.969846481368896E-17</v>
      </c>
      <c r="AF61" s="178"/>
      <c r="AG61" s="178"/>
      <c r="AH61" s="178"/>
      <c r="AI61" s="178">
        <v>0.86963634268441381</v>
      </c>
      <c r="AJ61" s="178">
        <v>2.6089090280532412</v>
      </c>
      <c r="AK61" s="178">
        <v>0.43481817134220691</v>
      </c>
      <c r="AL61" s="178">
        <v>8.9460769676293711E-2</v>
      </c>
      <c r="AM61" s="178">
        <v>9.7999999999999972</v>
      </c>
      <c r="AN61" s="178">
        <v>-1.8845224284776299</v>
      </c>
      <c r="AO61" s="178">
        <v>-6.1330304429552361E-3</v>
      </c>
      <c r="AP61" s="178">
        <v>-3.0100726475755946</v>
      </c>
      <c r="AQ61" s="178">
        <v>-10.796341927274398</v>
      </c>
      <c r="AR61" s="178"/>
      <c r="AS61" s="178"/>
      <c r="AT61" s="178"/>
      <c r="AU61" s="178">
        <v>-2.4691906919545175</v>
      </c>
      <c r="AV61" s="178">
        <v>38.31748273660196</v>
      </c>
      <c r="AW61" s="178">
        <v>9.7999999999999972</v>
      </c>
      <c r="AX61" s="178">
        <v>-0.1201724226836052</v>
      </c>
      <c r="AY61" s="178">
        <v>-0.61667644709844671</v>
      </c>
      <c r="AZ61" s="178">
        <v>-5.9955094866806018</v>
      </c>
      <c r="BA61" s="178">
        <v>-16.156672188828921</v>
      </c>
      <c r="BB61" s="178"/>
      <c r="BC61" s="178"/>
      <c r="BD61" s="178"/>
      <c r="BE61" s="178">
        <v>-1.0429092585246895</v>
      </c>
      <c r="BF61" s="178">
        <v>-0.52145462926234476</v>
      </c>
      <c r="BG61" s="178">
        <v>-1.0483605825736755</v>
      </c>
      <c r="BH61" s="178">
        <v>9.7999999999999972</v>
      </c>
      <c r="BI61" s="178">
        <v>-2.0120686094813709</v>
      </c>
      <c r="BJ61" s="178">
        <v>12.174908797581793</v>
      </c>
      <c r="BK61" s="178">
        <v>-2.7582740972427038</v>
      </c>
      <c r="BL61" s="178">
        <v>-0.39109097194675879</v>
      </c>
      <c r="BM61" s="27"/>
      <c r="BN61" s="27"/>
    </row>
    <row r="62" spans="1:66">
      <c r="A62" s="27"/>
      <c r="B62" s="27"/>
      <c r="C62" s="27"/>
      <c r="D62" s="27"/>
      <c r="E62" s="27"/>
      <c r="F62" s="27"/>
      <c r="G62" s="27"/>
      <c r="H62" s="27"/>
      <c r="I62" s="27"/>
      <c r="J62" s="27"/>
      <c r="K62" s="27"/>
      <c r="L62" s="27"/>
      <c r="M62" s="2"/>
      <c r="N62" s="27"/>
      <c r="O62" s="178">
        <v>9.9999999999999964</v>
      </c>
      <c r="P62" s="178">
        <v>0.98008529381939424</v>
      </c>
      <c r="Q62" s="178">
        <v>2.0526721209308475E-2</v>
      </c>
      <c r="R62" s="178">
        <v>0.97886126376830496</v>
      </c>
      <c r="S62" s="178">
        <v>6.1201501607064616E-4</v>
      </c>
      <c r="T62" s="178">
        <v>6.3160039021022609E-12</v>
      </c>
      <c r="U62" s="178"/>
      <c r="V62" s="178"/>
      <c r="W62" s="178"/>
      <c r="X62" s="577">
        <v>5.0919773185788371E-3</v>
      </c>
      <c r="Y62" s="577">
        <v>49.999999998544808</v>
      </c>
      <c r="Z62" s="178">
        <v>12.385643935645515</v>
      </c>
      <c r="AA62" s="178">
        <v>0.16403867816600226</v>
      </c>
      <c r="AB62" s="178">
        <v>0.83596174386176481</v>
      </c>
      <c r="AC62" s="178">
        <v>0.16403783411046813</v>
      </c>
      <c r="AD62" s="178">
        <v>4.2202776704676403E-7</v>
      </c>
      <c r="AE62" s="178">
        <v>1.7921625677892773E-17</v>
      </c>
      <c r="AF62" s="178"/>
      <c r="AG62" s="178"/>
      <c r="AH62" s="178"/>
      <c r="AI62" s="178">
        <v>0.88468885254610818</v>
      </c>
      <c r="AJ62" s="178">
        <v>2.6540665576383242</v>
      </c>
      <c r="AK62" s="178">
        <v>0.44234442627305409</v>
      </c>
      <c r="AL62" s="178">
        <v>0.10834408139173239</v>
      </c>
      <c r="AM62" s="178">
        <v>9.9999999999999964</v>
      </c>
      <c r="AN62" s="178">
        <v>-1.6876694901403708</v>
      </c>
      <c r="AO62" s="178">
        <v>-9.2787973079922082E-3</v>
      </c>
      <c r="AP62" s="178">
        <v>-3.2132171196429273</v>
      </c>
      <c r="AQ62" s="178">
        <v>-11.199485104544028</v>
      </c>
      <c r="AR62" s="178"/>
      <c r="AS62" s="178"/>
      <c r="AT62" s="178"/>
      <c r="AU62" s="178">
        <v>-2.2930986939205926</v>
      </c>
      <c r="AV62" s="178">
        <v>49.999999998544808</v>
      </c>
      <c r="AW62" s="178">
        <v>9.9999999999999964</v>
      </c>
      <c r="AX62" s="178">
        <v>-7.7813092971163955E-2</v>
      </c>
      <c r="AY62" s="178">
        <v>-0.78505089115286386</v>
      </c>
      <c r="AZ62" s="178">
        <v>-6.3746177045018779</v>
      </c>
      <c r="BA62" s="178">
        <v>-16.746514180417059</v>
      </c>
      <c r="BB62" s="178"/>
      <c r="BC62" s="178"/>
      <c r="BD62" s="178"/>
      <c r="BE62" s="178">
        <v>-0.92248917963113453</v>
      </c>
      <c r="BF62" s="178">
        <v>-0.46124458981556726</v>
      </c>
      <c r="BG62" s="178">
        <v>-0.96518855962608252</v>
      </c>
      <c r="BH62" s="178">
        <v>9.9999999999999964</v>
      </c>
      <c r="BI62" s="178">
        <v>-2.0199147061806055</v>
      </c>
      <c r="BJ62" s="178">
        <v>12.385643935645515</v>
      </c>
      <c r="BK62" s="178">
        <v>-2.8359613218339979</v>
      </c>
      <c r="BL62" s="178">
        <v>-0.34593344236167578</v>
      </c>
      <c r="BM62" s="27"/>
      <c r="BN62" s="27"/>
    </row>
    <row r="63" spans="1:66">
      <c r="A63" s="27"/>
      <c r="B63" s="27"/>
      <c r="C63" s="27"/>
      <c r="D63" s="27"/>
      <c r="E63" s="27"/>
      <c r="F63" s="27"/>
      <c r="G63" s="27"/>
      <c r="H63" s="27"/>
      <c r="I63" s="27"/>
      <c r="J63" s="27"/>
      <c r="K63" s="27"/>
      <c r="L63" s="27"/>
      <c r="M63" s="2"/>
      <c r="N63" s="27"/>
      <c r="O63" s="178">
        <v>10.199999999999996</v>
      </c>
      <c r="P63" s="178">
        <v>0.96822777402511395</v>
      </c>
      <c r="Q63" s="178">
        <v>3.2153885371075074E-2</v>
      </c>
      <c r="R63" s="178">
        <v>0.96746445523522129</v>
      </c>
      <c r="S63" s="178">
        <v>3.8165939121852233E-4</v>
      </c>
      <c r="T63" s="178">
        <v>2.4851709306707578E-12</v>
      </c>
      <c r="U63" s="178"/>
      <c r="V63" s="178"/>
      <c r="W63" s="178"/>
      <c r="X63" s="577">
        <v>7.7598477492522551E-3</v>
      </c>
      <c r="Y63" s="577"/>
      <c r="Z63" s="178"/>
      <c r="AA63" s="178"/>
      <c r="AB63" s="178"/>
      <c r="AC63" s="178"/>
      <c r="AD63" s="178"/>
      <c r="AE63" s="178"/>
      <c r="AF63" s="178"/>
      <c r="AG63" s="178"/>
      <c r="AH63" s="178"/>
      <c r="AI63" s="178"/>
      <c r="AJ63" s="178"/>
      <c r="AK63" s="178"/>
      <c r="AL63" s="178"/>
      <c r="AM63" s="178">
        <v>10.199999999999996</v>
      </c>
      <c r="AN63" s="178">
        <v>-1.4927568766807424</v>
      </c>
      <c r="AO63" s="178">
        <v>-1.4364889050660377E-2</v>
      </c>
      <c r="AP63" s="178">
        <v>-3.4183019165878923</v>
      </c>
      <c r="AQ63" s="178">
        <v>-11.604568606691288</v>
      </c>
      <c r="AR63" s="178"/>
      <c r="AS63" s="178"/>
      <c r="AT63" s="178"/>
      <c r="AU63" s="178">
        <v>-2.1101331385916806</v>
      </c>
      <c r="AV63" s="178"/>
      <c r="AW63" s="178">
        <v>10.199999999999996</v>
      </c>
      <c r="AX63" s="178"/>
      <c r="AY63" s="178"/>
      <c r="AZ63" s="178"/>
      <c r="BA63" s="178"/>
      <c r="BB63" s="178"/>
      <c r="BC63" s="178"/>
      <c r="BD63" s="178"/>
      <c r="BE63" s="178"/>
      <c r="BF63" s="178"/>
      <c r="BG63" s="178"/>
      <c r="BH63" s="178">
        <v>10.199999999999996</v>
      </c>
      <c r="BI63" s="178">
        <v>-2.031772225974886</v>
      </c>
      <c r="BJ63" s="178"/>
      <c r="BK63" s="178"/>
      <c r="BL63" s="178"/>
      <c r="BM63" s="27"/>
      <c r="BN63" s="27"/>
    </row>
    <row r="64" spans="1:66">
      <c r="A64" s="27"/>
      <c r="B64" s="27"/>
      <c r="C64" s="27"/>
      <c r="D64" s="27"/>
      <c r="E64" s="27"/>
      <c r="F64" s="27"/>
      <c r="G64" s="27"/>
      <c r="H64" s="27"/>
      <c r="I64" s="27"/>
      <c r="J64" s="27"/>
      <c r="K64" s="27"/>
      <c r="L64" s="27"/>
      <c r="M64" s="2"/>
      <c r="N64" s="27"/>
      <c r="O64" s="178">
        <v>10.399999999999995</v>
      </c>
      <c r="P64" s="178">
        <v>0.9502097093847004</v>
      </c>
      <c r="Q64" s="178">
        <v>5.002668886497634E-2</v>
      </c>
      <c r="R64" s="178">
        <v>0.9497369128863179</v>
      </c>
      <c r="S64" s="178">
        <v>2.3639824773442916E-4</v>
      </c>
      <c r="T64" s="178">
        <v>9.7123553746404961E-13</v>
      </c>
      <c r="U64" s="178"/>
      <c r="V64" s="178"/>
      <c r="W64" s="178"/>
      <c r="X64" s="577">
        <v>1.1796231232960318E-2</v>
      </c>
      <c r="Y64" s="577"/>
      <c r="Z64" s="178"/>
      <c r="AA64" s="178"/>
      <c r="AB64" s="178"/>
      <c r="AC64" s="178"/>
      <c r="AD64" s="178"/>
      <c r="AE64" s="178"/>
      <c r="AF64" s="178"/>
      <c r="AG64" s="178"/>
      <c r="AH64" s="178"/>
      <c r="AI64" s="178"/>
      <c r="AJ64" s="178"/>
      <c r="AK64" s="178"/>
      <c r="AL64" s="178"/>
      <c r="AM64" s="178">
        <v>10.399999999999995</v>
      </c>
      <c r="AN64" s="178">
        <v>-1.300789819622554</v>
      </c>
      <c r="AO64" s="178">
        <v>-2.239653719476823E-2</v>
      </c>
      <c r="AP64" s="178">
        <v>-3.6263322699342968</v>
      </c>
      <c r="AQ64" s="178">
        <v>-12.012597665239989</v>
      </c>
      <c r="AR64" s="178"/>
      <c r="AS64" s="178"/>
      <c r="AT64" s="178"/>
      <c r="AU64" s="178">
        <v>-1.9282442393653614</v>
      </c>
      <c r="AV64" s="178"/>
      <c r="AW64" s="178">
        <v>10.399999999999995</v>
      </c>
      <c r="AX64" s="178"/>
      <c r="AY64" s="178"/>
      <c r="AZ64" s="178"/>
      <c r="BA64" s="178"/>
      <c r="BB64" s="178"/>
      <c r="BC64" s="178"/>
      <c r="BD64" s="178"/>
      <c r="BE64" s="178"/>
      <c r="BF64" s="178"/>
      <c r="BG64" s="178"/>
      <c r="BH64" s="178">
        <v>10.399999999999995</v>
      </c>
      <c r="BI64" s="178">
        <v>-2.0497902906152996</v>
      </c>
      <c r="BJ64" s="178"/>
      <c r="BK64" s="178"/>
      <c r="BL64" s="178"/>
      <c r="BM64" s="27"/>
      <c r="BN64" s="27"/>
    </row>
    <row r="65" spans="1:66">
      <c r="A65" s="27"/>
      <c r="B65" s="27"/>
      <c r="C65" s="27"/>
      <c r="D65" s="27"/>
      <c r="E65" s="27"/>
      <c r="F65" s="27"/>
      <c r="G65" s="27"/>
      <c r="H65" s="27"/>
      <c r="I65" s="27"/>
      <c r="J65" s="27"/>
      <c r="K65" s="27"/>
      <c r="L65" s="27"/>
      <c r="M65" s="2"/>
      <c r="N65" s="27"/>
      <c r="O65" s="178">
        <v>10.599999999999994</v>
      </c>
      <c r="P65" s="178">
        <v>0.9231054456310126</v>
      </c>
      <c r="Q65" s="178">
        <v>7.7039483557025876E-2</v>
      </c>
      <c r="R65" s="178">
        <v>0.92281558725531132</v>
      </c>
      <c r="S65" s="178">
        <v>1.4492918728707758E-4</v>
      </c>
      <c r="T65" s="178">
        <v>3.7569565172282735E-13</v>
      </c>
      <c r="U65" s="178"/>
      <c r="V65" s="178"/>
      <c r="W65" s="178"/>
      <c r="X65" s="577">
        <v>1.7668595395961335E-2</v>
      </c>
      <c r="Y65" s="577"/>
      <c r="Z65" s="178"/>
      <c r="AA65" s="178"/>
      <c r="AB65" s="178"/>
      <c r="AC65" s="178"/>
      <c r="AD65" s="178"/>
      <c r="AE65" s="178"/>
      <c r="AF65" s="178"/>
      <c r="AG65" s="178"/>
      <c r="AH65" s="178"/>
      <c r="AI65" s="178"/>
      <c r="AJ65" s="178"/>
      <c r="AK65" s="178"/>
      <c r="AL65" s="178"/>
      <c r="AM65" s="178">
        <v>10.599999999999994</v>
      </c>
      <c r="AN65" s="178">
        <v>-1.1132794298115063</v>
      </c>
      <c r="AO65" s="178">
        <v>-3.4884852586016701E-2</v>
      </c>
      <c r="AP65" s="178">
        <v>-3.8388192905278409</v>
      </c>
      <c r="AQ65" s="178">
        <v>-12.42508339103583</v>
      </c>
      <c r="AR65" s="178"/>
      <c r="AS65" s="178"/>
      <c r="AT65" s="178"/>
      <c r="AU65" s="178">
        <v>-1.7527866267266567</v>
      </c>
      <c r="AV65" s="178"/>
      <c r="AW65" s="178">
        <v>10.599999999999994</v>
      </c>
      <c r="AX65" s="178"/>
      <c r="AY65" s="178"/>
      <c r="AZ65" s="178"/>
      <c r="BA65" s="178"/>
      <c r="BB65" s="178"/>
      <c r="BC65" s="178"/>
      <c r="BD65" s="178"/>
      <c r="BE65" s="178"/>
      <c r="BF65" s="178"/>
      <c r="BG65" s="178"/>
      <c r="BH65" s="178">
        <v>10.599999999999994</v>
      </c>
      <c r="BI65" s="178">
        <v>-2.0768945543689874</v>
      </c>
      <c r="BJ65" s="178"/>
      <c r="BK65" s="178"/>
      <c r="BL65" s="178"/>
      <c r="BM65" s="27"/>
      <c r="BN65" s="27"/>
    </row>
    <row r="66" spans="1:66">
      <c r="A66" s="27"/>
      <c r="B66" s="27"/>
      <c r="C66" s="27"/>
      <c r="D66" s="27"/>
      <c r="E66" s="27"/>
      <c r="F66" s="27"/>
      <c r="G66" s="27"/>
      <c r="H66" s="27"/>
      <c r="I66" s="27"/>
      <c r="J66" s="27"/>
      <c r="K66" s="27"/>
      <c r="L66" s="27"/>
      <c r="M66" s="2"/>
      <c r="N66" s="27"/>
      <c r="O66" s="178">
        <v>10.799999999999994</v>
      </c>
      <c r="P66" s="178">
        <v>0.88324673349124883</v>
      </c>
      <c r="Q66" s="178">
        <v>0.11684077232384454</v>
      </c>
      <c r="R66" s="178">
        <v>0.88307172186120497</v>
      </c>
      <c r="S66" s="178">
        <v>8.7505814807179691E-5</v>
      </c>
      <c r="T66" s="178">
        <v>1.4312556853715875E-13</v>
      </c>
      <c r="U66" s="178"/>
      <c r="V66" s="178"/>
      <c r="W66" s="178"/>
      <c r="X66" s="577">
        <v>2.5778298184446932E-2</v>
      </c>
      <c r="Y66" s="577"/>
      <c r="Z66" s="178"/>
      <c r="AA66" s="178"/>
      <c r="AB66" s="178"/>
      <c r="AC66" s="178"/>
      <c r="AD66" s="178"/>
      <c r="AE66" s="178"/>
      <c r="AF66" s="178"/>
      <c r="AG66" s="178"/>
      <c r="AH66" s="178"/>
      <c r="AI66" s="178"/>
      <c r="AJ66" s="178"/>
      <c r="AK66" s="178"/>
      <c r="AL66" s="178"/>
      <c r="AM66" s="178">
        <v>10.799999999999994</v>
      </c>
      <c r="AN66" s="178">
        <v>-0.93239954459588847</v>
      </c>
      <c r="AO66" s="178">
        <v>-5.4003672572695303E-2</v>
      </c>
      <c r="AP66" s="178">
        <v>-4.0579368157168156</v>
      </c>
      <c r="AQ66" s="178">
        <v>-12.844199621427103</v>
      </c>
      <c r="AR66" s="178"/>
      <c r="AS66" s="178"/>
      <c r="AT66" s="178"/>
      <c r="AU66" s="178">
        <v>-1.5887354714957325</v>
      </c>
      <c r="AV66" s="178"/>
      <c r="AW66" s="178">
        <v>10.799999999999994</v>
      </c>
      <c r="AX66" s="178"/>
      <c r="AY66" s="178"/>
      <c r="AZ66" s="178"/>
      <c r="BA66" s="178"/>
      <c r="BB66" s="178"/>
      <c r="BC66" s="178"/>
      <c r="BD66" s="178"/>
      <c r="BE66" s="178"/>
      <c r="BF66" s="178"/>
      <c r="BG66" s="178"/>
      <c r="BH66" s="178">
        <v>10.799999999999994</v>
      </c>
      <c r="BI66" s="178">
        <v>-2.1167532665087512</v>
      </c>
      <c r="BJ66" s="178"/>
      <c r="BK66" s="178"/>
      <c r="BL66" s="178"/>
      <c r="BM66" s="27"/>
      <c r="BN66" s="27"/>
    </row>
    <row r="67" spans="1:66">
      <c r="A67" s="27"/>
      <c r="B67" s="27"/>
      <c r="C67" s="27"/>
      <c r="D67" s="27"/>
      <c r="E67" s="27"/>
      <c r="F67" s="27"/>
      <c r="G67" s="27"/>
      <c r="H67" s="27"/>
      <c r="I67" s="27"/>
      <c r="J67" s="27"/>
      <c r="K67" s="27"/>
      <c r="L67" s="27"/>
      <c r="M67" s="2"/>
      <c r="N67" s="27"/>
      <c r="O67" s="178">
        <v>10.999999999999993</v>
      </c>
      <c r="P67" s="178">
        <v>0.82671187351649589</v>
      </c>
      <c r="Q67" s="178">
        <v>0.17333980866153983</v>
      </c>
      <c r="R67" s="178">
        <v>0.82660850916047801</v>
      </c>
      <c r="S67" s="178">
        <v>5.1682177928917616E-5</v>
      </c>
      <c r="T67" s="178">
        <v>5.3336083085665632E-14</v>
      </c>
      <c r="U67" s="178"/>
      <c r="V67" s="178"/>
      <c r="W67" s="178"/>
      <c r="X67" s="577">
        <v>3.6169615838678629E-2</v>
      </c>
      <c r="Y67" s="577"/>
      <c r="Z67" s="178"/>
      <c r="AA67" s="178"/>
      <c r="AB67" s="178"/>
      <c r="AC67" s="178"/>
      <c r="AD67" s="178"/>
      <c r="AE67" s="178"/>
      <c r="AF67" s="178"/>
      <c r="AG67" s="178"/>
      <c r="AH67" s="178"/>
      <c r="AI67" s="178"/>
      <c r="AJ67" s="178"/>
      <c r="AK67" s="178"/>
      <c r="AL67" s="178"/>
      <c r="AM67" s="178">
        <v>10.999999999999993</v>
      </c>
      <c r="AN67" s="178">
        <v>-0.76109675979754365</v>
      </c>
      <c r="AO67" s="178">
        <v>-8.2699592976646752E-2</v>
      </c>
      <c r="AP67" s="178">
        <v>-4.2866314413230633</v>
      </c>
      <c r="AQ67" s="178">
        <v>-13.272892952235646</v>
      </c>
      <c r="AR67" s="178"/>
      <c r="AS67" s="178"/>
      <c r="AT67" s="178"/>
      <c r="AU67" s="178">
        <v>-1.4416467706365239</v>
      </c>
      <c r="AV67" s="178"/>
      <c r="AW67" s="178">
        <v>10.999999999999993</v>
      </c>
      <c r="AX67" s="178"/>
      <c r="AY67" s="178"/>
      <c r="AZ67" s="178"/>
      <c r="BA67" s="178"/>
      <c r="BB67" s="178"/>
      <c r="BC67" s="178"/>
      <c r="BD67" s="178"/>
      <c r="BE67" s="178"/>
      <c r="BF67" s="178"/>
      <c r="BG67" s="178"/>
      <c r="BH67" s="178">
        <v>10.999999999999993</v>
      </c>
      <c r="BI67" s="178">
        <v>-2.173288126483504</v>
      </c>
      <c r="BJ67" s="178"/>
      <c r="BK67" s="178"/>
      <c r="BL67" s="178"/>
      <c r="BM67" s="27"/>
      <c r="BN67" s="27"/>
    </row>
    <row r="68" spans="1:66">
      <c r="A68" s="27"/>
      <c r="B68" s="27"/>
      <c r="C68" s="27"/>
      <c r="D68" s="27"/>
      <c r="E68" s="27"/>
      <c r="F68" s="27"/>
      <c r="G68" s="27"/>
      <c r="H68" s="27"/>
      <c r="I68" s="27"/>
      <c r="J68" s="27"/>
      <c r="K68" s="27"/>
      <c r="L68" s="27"/>
      <c r="M68" s="2"/>
      <c r="N68" s="27"/>
      <c r="O68" s="178">
        <v>11.199999999999992</v>
      </c>
      <c r="P68" s="178">
        <v>0.75058933786422211</v>
      </c>
      <c r="Q68" s="178">
        <v>0.24944027013514425</v>
      </c>
      <c r="R68" s="178">
        <v>0.75053012186550883</v>
      </c>
      <c r="S68" s="178">
        <v>2.9607999327759435E-5</v>
      </c>
      <c r="T68" s="178">
        <v>1.9279216216780662E-14</v>
      </c>
      <c r="U68" s="178"/>
      <c r="V68" s="178"/>
      <c r="W68" s="178"/>
      <c r="X68" s="577">
        <v>4.8126000397329081E-2</v>
      </c>
      <c r="Y68" s="577"/>
      <c r="Z68" s="178"/>
      <c r="AA68" s="178"/>
      <c r="AB68" s="178"/>
      <c r="AC68" s="178"/>
      <c r="AD68" s="178"/>
      <c r="AE68" s="178"/>
      <c r="AF68" s="178"/>
      <c r="AG68" s="178"/>
      <c r="AH68" s="178"/>
      <c r="AI68" s="178"/>
      <c r="AJ68" s="178"/>
      <c r="AK68" s="178"/>
      <c r="AL68" s="178"/>
      <c r="AM68" s="178">
        <v>11.199999999999992</v>
      </c>
      <c r="AN68" s="178">
        <v>-0.60302952779763541</v>
      </c>
      <c r="AO68" s="178">
        <v>-0.12463106617903484</v>
      </c>
      <c r="AP68" s="178">
        <v>-4.528561619727749</v>
      </c>
      <c r="AQ68" s="178">
        <v>-13.714821835842626</v>
      </c>
      <c r="AR68" s="178"/>
      <c r="AS68" s="178"/>
      <c r="AT68" s="178"/>
      <c r="AU68" s="178">
        <v>-1.3176116994325013</v>
      </c>
      <c r="AV68" s="178"/>
      <c r="AW68" s="178">
        <v>11.199999999999992</v>
      </c>
      <c r="AX68" s="178"/>
      <c r="AY68" s="178"/>
      <c r="AZ68" s="178"/>
      <c r="BA68" s="178"/>
      <c r="BB68" s="178"/>
      <c r="BC68" s="178"/>
      <c r="BD68" s="178"/>
      <c r="BE68" s="178"/>
      <c r="BF68" s="178"/>
      <c r="BG68" s="178"/>
      <c r="BH68" s="178">
        <v>11.199999999999992</v>
      </c>
      <c r="BI68" s="178">
        <v>-2.2494106621357779</v>
      </c>
      <c r="BJ68" s="178"/>
      <c r="BK68" s="178"/>
      <c r="BL68" s="178"/>
      <c r="BM68" s="27"/>
      <c r="BN68" s="27"/>
    </row>
    <row r="69" spans="1:66">
      <c r="A69" s="27"/>
      <c r="B69" s="27"/>
      <c r="C69" s="27"/>
      <c r="D69" s="27"/>
      <c r="E69" s="27"/>
      <c r="F69" s="27"/>
      <c r="G69" s="27"/>
      <c r="H69" s="27"/>
      <c r="I69" s="27"/>
      <c r="J69" s="27"/>
      <c r="K69" s="27"/>
      <c r="L69" s="27"/>
      <c r="M69" s="2"/>
      <c r="N69" s="27"/>
      <c r="O69" s="178">
        <v>11.399999999999991</v>
      </c>
      <c r="P69" s="178">
        <v>0.65501118492248345</v>
      </c>
      <c r="Q69" s="178">
        <v>0.34500511809642415</v>
      </c>
      <c r="R69" s="178">
        <v>0.65497857888467514</v>
      </c>
      <c r="S69" s="178">
        <v>1.6303018894081747E-5</v>
      </c>
      <c r="T69" s="178">
        <v>6.6980493593456038E-15</v>
      </c>
      <c r="U69" s="178"/>
      <c r="V69" s="178"/>
      <c r="W69" s="178"/>
      <c r="X69" s="577">
        <v>5.9974553230356914E-2</v>
      </c>
      <c r="Y69" s="577"/>
      <c r="Z69" s="178"/>
      <c r="AA69" s="178"/>
      <c r="AB69" s="178"/>
      <c r="AC69" s="178"/>
      <c r="AD69" s="178"/>
      <c r="AE69" s="178"/>
      <c r="AF69" s="178"/>
      <c r="AG69" s="178"/>
      <c r="AH69" s="178"/>
      <c r="AI69" s="178"/>
      <c r="AJ69" s="178"/>
      <c r="AK69" s="178"/>
      <c r="AL69" s="178"/>
      <c r="AM69" s="178">
        <v>11.399999999999991</v>
      </c>
      <c r="AN69" s="178">
        <v>-0.46217147007674664</v>
      </c>
      <c r="AO69" s="178">
        <v>-0.18377171366044243</v>
      </c>
      <c r="AP69" s="178">
        <v>-4.7877009724114519</v>
      </c>
      <c r="AQ69" s="178">
        <v>-14.173959893728629</v>
      </c>
      <c r="AR69" s="178"/>
      <c r="AS69" s="178"/>
      <c r="AT69" s="178"/>
      <c r="AU69" s="178">
        <v>-1.2220250671192143</v>
      </c>
      <c r="AV69" s="178"/>
      <c r="AW69" s="178">
        <v>11.399999999999991</v>
      </c>
      <c r="AX69" s="178"/>
      <c r="AY69" s="178"/>
      <c r="AZ69" s="178"/>
      <c r="BA69" s="178"/>
      <c r="BB69" s="178"/>
      <c r="BC69" s="178"/>
      <c r="BD69" s="178"/>
      <c r="BE69" s="178"/>
      <c r="BF69" s="178"/>
      <c r="BG69" s="178"/>
      <c r="BH69" s="178">
        <v>11.399999999999991</v>
      </c>
      <c r="BI69" s="178">
        <v>-2.3449888150775164</v>
      </c>
      <c r="BJ69" s="178"/>
      <c r="BK69" s="178"/>
      <c r="BL69" s="178"/>
      <c r="BM69" s="27"/>
      <c r="BN69" s="27"/>
    </row>
    <row r="70" spans="1:66">
      <c r="A70" s="27"/>
      <c r="B70" s="27"/>
      <c r="C70" s="27"/>
      <c r="D70" s="27"/>
      <c r="E70" s="27"/>
      <c r="F70" s="27"/>
      <c r="G70" s="27"/>
      <c r="H70" s="27"/>
      <c r="I70" s="27"/>
      <c r="J70" s="27"/>
      <c r="K70" s="27"/>
      <c r="L70" s="27"/>
      <c r="M70" s="2"/>
      <c r="N70" s="27"/>
      <c r="O70" s="178">
        <v>11.599999999999991</v>
      </c>
      <c r="P70" s="178">
        <v>0.54502184825642153</v>
      </c>
      <c r="Q70" s="178">
        <v>0.45498671110187838</v>
      </c>
      <c r="R70" s="178">
        <v>0.54500472953982382</v>
      </c>
      <c r="S70" s="178">
        <v>8.5593582954909316E-6</v>
      </c>
      <c r="T70" s="178">
        <v>2.2188171708877065E-15</v>
      </c>
      <c r="U70" s="178"/>
      <c r="V70" s="178"/>
      <c r="W70" s="178"/>
      <c r="X70" s="577">
        <v>6.9678086705740883E-2</v>
      </c>
      <c r="Y70" s="577"/>
      <c r="Z70" s="178"/>
      <c r="AA70" s="178"/>
      <c r="AB70" s="178"/>
      <c r="AC70" s="178"/>
      <c r="AD70" s="178"/>
      <c r="AE70" s="178"/>
      <c r="AF70" s="178"/>
      <c r="AG70" s="178"/>
      <c r="AH70" s="178"/>
      <c r="AI70" s="178"/>
      <c r="AJ70" s="178"/>
      <c r="AK70" s="178"/>
      <c r="AL70" s="178"/>
      <c r="AM70" s="178">
        <v>11.599999999999991</v>
      </c>
      <c r="AN70" s="178">
        <v>-0.34199907358082127</v>
      </c>
      <c r="AO70" s="178">
        <v>-0.2635980223668134</v>
      </c>
      <c r="AP70" s="178">
        <v>-5.0675259863201196</v>
      </c>
      <c r="AQ70" s="178">
        <v>-14.653783612839591</v>
      </c>
      <c r="AR70" s="178"/>
      <c r="AS70" s="178"/>
      <c r="AT70" s="178"/>
      <c r="AU70" s="178">
        <v>-1.1568962933699545</v>
      </c>
      <c r="AV70" s="178"/>
      <c r="AW70" s="178">
        <v>11.599999999999991</v>
      </c>
      <c r="AX70" s="178"/>
      <c r="AY70" s="178"/>
      <c r="AZ70" s="178"/>
      <c r="BA70" s="178"/>
      <c r="BB70" s="178"/>
      <c r="BC70" s="178"/>
      <c r="BD70" s="178"/>
      <c r="BE70" s="178"/>
      <c r="BF70" s="178"/>
      <c r="BG70" s="178"/>
      <c r="BH70" s="178">
        <v>11.599999999999991</v>
      </c>
      <c r="BI70" s="178">
        <v>-2.4549781517435783</v>
      </c>
      <c r="BJ70" s="178"/>
      <c r="BK70" s="178"/>
      <c r="BL70" s="178"/>
      <c r="BM70" s="27"/>
      <c r="BN70" s="27"/>
    </row>
    <row r="71" spans="1:66">
      <c r="A71" s="27"/>
      <c r="B71" s="27"/>
      <c r="C71" s="27"/>
      <c r="D71" s="27"/>
      <c r="E71" s="27"/>
      <c r="F71" s="27"/>
      <c r="G71" s="27"/>
      <c r="H71" s="27"/>
      <c r="I71" s="27"/>
      <c r="J71" s="27"/>
      <c r="K71" s="27"/>
      <c r="L71" s="27"/>
      <c r="M71" s="2"/>
      <c r="N71" s="27"/>
      <c r="O71" s="178">
        <v>11.79999999999999</v>
      </c>
      <c r="P71" s="178">
        <v>0.43046273670172036</v>
      </c>
      <c r="Q71" s="178">
        <v>0.56954152877809172</v>
      </c>
      <c r="R71" s="178">
        <v>0.4304542057420967</v>
      </c>
      <c r="S71" s="178">
        <v>4.2654798107735269E-6</v>
      </c>
      <c r="T71" s="178">
        <v>6.9766703429478606E-16</v>
      </c>
      <c r="U71" s="178"/>
      <c r="V71" s="178"/>
      <c r="W71" s="178"/>
      <c r="X71" s="577">
        <v>7.6384975607240183E-2</v>
      </c>
      <c r="Y71" s="577"/>
      <c r="Z71" s="178"/>
      <c r="AA71" s="178"/>
      <c r="AB71" s="178"/>
      <c r="AC71" s="178"/>
      <c r="AD71" s="178"/>
      <c r="AE71" s="178"/>
      <c r="AF71" s="178"/>
      <c r="AG71" s="178"/>
      <c r="AH71" s="178"/>
      <c r="AI71" s="178"/>
      <c r="AJ71" s="178"/>
      <c r="AK71" s="178"/>
      <c r="AL71" s="178"/>
      <c r="AM71" s="178">
        <v>11.79999999999999</v>
      </c>
      <c r="AN71" s="178">
        <v>-0.24447302062099985</v>
      </c>
      <c r="AO71" s="178">
        <v>-0.36607067460928822</v>
      </c>
      <c r="AP71" s="178">
        <v>-5.3699973437648909</v>
      </c>
      <c r="AQ71" s="178">
        <v>-15.15625367548666</v>
      </c>
      <c r="AR71" s="178"/>
      <c r="AS71" s="178"/>
      <c r="AT71" s="178"/>
      <c r="AU71" s="178">
        <v>-1.1169848243308262</v>
      </c>
      <c r="AV71" s="178"/>
      <c r="AW71" s="178">
        <v>11.79999999999999</v>
      </c>
      <c r="AX71" s="178"/>
      <c r="AY71" s="178"/>
      <c r="AZ71" s="178"/>
      <c r="BA71" s="178"/>
      <c r="BB71" s="178"/>
      <c r="BC71" s="178"/>
      <c r="BD71" s="178"/>
      <c r="BE71" s="178"/>
      <c r="BF71" s="178"/>
      <c r="BG71" s="178"/>
      <c r="BH71" s="178">
        <v>11.79999999999999</v>
      </c>
      <c r="BI71" s="178">
        <v>-2.5695372632982796</v>
      </c>
      <c r="BJ71" s="178"/>
      <c r="BK71" s="178"/>
      <c r="BL71" s="178"/>
      <c r="BM71" s="27"/>
      <c r="BN71" s="27"/>
    </row>
    <row r="72" spans="1:66">
      <c r="A72" s="27"/>
      <c r="B72" s="27"/>
      <c r="C72" s="27"/>
      <c r="D72" s="27"/>
      <c r="E72" s="27"/>
      <c r="F72" s="27"/>
      <c r="G72" s="27"/>
      <c r="H72" s="27"/>
      <c r="I72" s="27"/>
      <c r="J72" s="27"/>
      <c r="K72" s="27"/>
      <c r="L72" s="27"/>
      <c r="M72" s="2"/>
      <c r="N72" s="27"/>
      <c r="O72" s="178">
        <v>11.999999999999989</v>
      </c>
      <c r="P72" s="178">
        <v>0.32289650275142801</v>
      </c>
      <c r="Q72" s="178">
        <v>0.67710551607437075</v>
      </c>
      <c r="R72" s="178">
        <v>0.32289246509983094</v>
      </c>
      <c r="S72" s="178">
        <v>2.018825798217938E-6</v>
      </c>
      <c r="T72" s="178">
        <v>2.0834311715217055E-16</v>
      </c>
      <c r="U72" s="178"/>
      <c r="V72" s="178"/>
      <c r="W72" s="178"/>
      <c r="X72" s="577">
        <v>8.1932843508877057E-2</v>
      </c>
      <c r="Y72" s="577"/>
      <c r="Z72" s="178"/>
      <c r="AA72" s="178"/>
      <c r="AB72" s="178"/>
      <c r="AC72" s="178"/>
      <c r="AD72" s="178"/>
      <c r="AE72" s="178"/>
      <c r="AF72" s="178"/>
      <c r="AG72" s="178"/>
      <c r="AH72" s="178"/>
      <c r="AI72" s="178"/>
      <c r="AJ72" s="178"/>
      <c r="AK72" s="178"/>
      <c r="AL72" s="178"/>
      <c r="AM72" s="178">
        <v>11.999999999999989</v>
      </c>
      <c r="AN72" s="178">
        <v>-0.16934255185734423</v>
      </c>
      <c r="AO72" s="178">
        <v>-0.49093891104792892</v>
      </c>
      <c r="AP72" s="178">
        <v>-5.6948642854058278</v>
      </c>
      <c r="AQ72" s="178">
        <v>-15.68111932232989</v>
      </c>
      <c r="AR72" s="178"/>
      <c r="AS72" s="178"/>
      <c r="AT72" s="178"/>
      <c r="AU72" s="178">
        <v>-1.0865349382722105</v>
      </c>
      <c r="AV72" s="178"/>
      <c r="AW72" s="178">
        <v>11.999999999999989</v>
      </c>
      <c r="AX72" s="178"/>
      <c r="AY72" s="178"/>
      <c r="AZ72" s="178"/>
      <c r="BA72" s="178"/>
      <c r="BB72" s="178"/>
      <c r="BC72" s="178"/>
      <c r="BD72" s="178"/>
      <c r="BE72" s="178"/>
      <c r="BF72" s="178"/>
      <c r="BG72" s="178"/>
      <c r="BH72" s="178">
        <v>11.999999999999989</v>
      </c>
      <c r="BI72" s="178">
        <v>-2.6771034972485719</v>
      </c>
      <c r="BJ72" s="178"/>
      <c r="BK72" s="178"/>
      <c r="BL72" s="178"/>
      <c r="BM72" s="27"/>
      <c r="BN72" s="27"/>
    </row>
    <row r="73" spans="1:66">
      <c r="A73" s="27"/>
      <c r="B73" s="27"/>
      <c r="C73" s="27"/>
      <c r="D73" s="27"/>
      <c r="E73" s="27"/>
      <c r="F73" s="27"/>
      <c r="G73" s="27"/>
      <c r="H73" s="27"/>
      <c r="I73" s="27"/>
      <c r="J73" s="27"/>
      <c r="K73" s="27"/>
      <c r="L73" s="27"/>
      <c r="M73" s="2"/>
      <c r="N73" s="27"/>
      <c r="O73" s="178">
        <v>12.199999999999989</v>
      </c>
      <c r="P73" s="178">
        <v>0.23129457512293086</v>
      </c>
      <c r="Q73" s="178">
        <v>0.76870633731421134</v>
      </c>
      <c r="R73" s="178">
        <v>0.23129275024864665</v>
      </c>
      <c r="S73" s="178">
        <v>9.1243714201050617E-7</v>
      </c>
      <c r="T73" s="178">
        <v>5.9413244205762042E-17</v>
      </c>
      <c r="U73" s="178"/>
      <c r="V73" s="178"/>
      <c r="W73" s="178"/>
      <c r="X73" s="577">
        <v>9.1005505724372882E-2</v>
      </c>
      <c r="Y73" s="577"/>
      <c r="Z73" s="178"/>
      <c r="AA73" s="178"/>
      <c r="AB73" s="178"/>
      <c r="AC73" s="178"/>
      <c r="AD73" s="178"/>
      <c r="AE73" s="178"/>
      <c r="AF73" s="178"/>
      <c r="AG73" s="178"/>
      <c r="AH73" s="178"/>
      <c r="AI73" s="178"/>
      <c r="AJ73" s="178"/>
      <c r="AK73" s="178"/>
      <c r="AL73" s="178"/>
      <c r="AM73" s="178">
        <v>12.199999999999989</v>
      </c>
      <c r="AN73" s="178">
        <v>-0.11423879895077882</v>
      </c>
      <c r="AO73" s="178">
        <v>-0.63583386334365988</v>
      </c>
      <c r="AP73" s="178">
        <v>-6.0397579429038544</v>
      </c>
      <c r="AQ73" s="178">
        <v>-16.226011685030212</v>
      </c>
      <c r="AR73" s="178"/>
      <c r="AS73" s="178"/>
      <c r="AT73" s="178"/>
      <c r="AU73" s="178">
        <v>-1.0409255936028192</v>
      </c>
      <c r="AV73" s="178"/>
      <c r="AW73" s="178">
        <v>12.199999999999989</v>
      </c>
      <c r="AX73" s="178"/>
      <c r="AY73" s="178"/>
      <c r="AZ73" s="178"/>
      <c r="BA73" s="178"/>
      <c r="BB73" s="178"/>
      <c r="BC73" s="178"/>
      <c r="BD73" s="178"/>
      <c r="BE73" s="178"/>
      <c r="BF73" s="178"/>
      <c r="BG73" s="178"/>
      <c r="BH73" s="178">
        <v>12.199999999999989</v>
      </c>
      <c r="BI73" s="178">
        <v>-2.7687054248770693</v>
      </c>
      <c r="BJ73" s="178"/>
      <c r="BK73" s="178"/>
      <c r="BL73" s="178"/>
      <c r="BM73" s="27"/>
      <c r="BN73" s="27"/>
    </row>
    <row r="74" spans="1:66">
      <c r="A74" s="27"/>
      <c r="B74" s="27"/>
      <c r="C74" s="27"/>
      <c r="D74" s="27"/>
      <c r="E74" s="27"/>
      <c r="F74" s="27"/>
      <c r="G74" s="27"/>
      <c r="H74" s="27"/>
      <c r="I74" s="27"/>
      <c r="J74" s="27"/>
      <c r="K74" s="27"/>
      <c r="L74" s="27"/>
      <c r="M74" s="2"/>
      <c r="N74" s="27"/>
      <c r="O74" s="178">
        <v>12.399999999999988</v>
      </c>
      <c r="P74" s="178">
        <v>0.15955586626205964</v>
      </c>
      <c r="Q74" s="178">
        <v>0.84044453088518101</v>
      </c>
      <c r="R74" s="178">
        <v>0.15955507196757829</v>
      </c>
      <c r="S74" s="178">
        <v>3.9714724065686312E-7</v>
      </c>
      <c r="T74" s="178">
        <v>1.6316682438571311E-17</v>
      </c>
      <c r="U74" s="178"/>
      <c r="V74" s="178"/>
      <c r="W74" s="178"/>
      <c r="X74" s="577">
        <v>0.11022594310496346</v>
      </c>
      <c r="Y74" s="577"/>
      <c r="Z74" s="178"/>
      <c r="AA74" s="178"/>
      <c r="AB74" s="178"/>
      <c r="AC74" s="178"/>
      <c r="AD74" s="178"/>
      <c r="AE74" s="178"/>
      <c r="AF74" s="178"/>
      <c r="AG74" s="178"/>
      <c r="AH74" s="178"/>
      <c r="AI74" s="178"/>
      <c r="AJ74" s="178"/>
      <c r="AK74" s="178"/>
      <c r="AL74" s="178"/>
      <c r="AM74" s="178">
        <v>12.399999999999988</v>
      </c>
      <c r="AN74" s="178">
        <v>-7.5490455871099399E-2</v>
      </c>
      <c r="AO74" s="178">
        <v>-0.79708422546627666</v>
      </c>
      <c r="AP74" s="178">
        <v>-6.4010070102287679</v>
      </c>
      <c r="AQ74" s="178">
        <v>-16.787259457557422</v>
      </c>
      <c r="AR74" s="178"/>
      <c r="AS74" s="178"/>
      <c r="AT74" s="178"/>
      <c r="AU74" s="178">
        <v>-0.95770997637215816</v>
      </c>
      <c r="AV74" s="178"/>
      <c r="AW74" s="178">
        <v>12.399999999999988</v>
      </c>
      <c r="AX74" s="178"/>
      <c r="AY74" s="178"/>
      <c r="AZ74" s="178"/>
      <c r="BA74" s="178"/>
      <c r="BB74" s="178"/>
      <c r="BC74" s="178"/>
      <c r="BD74" s="178"/>
      <c r="BE74" s="178"/>
      <c r="BF74" s="178"/>
      <c r="BG74" s="178"/>
      <c r="BH74" s="178">
        <v>12.399999999999988</v>
      </c>
      <c r="BI74" s="178">
        <v>-2.8404441337379405</v>
      </c>
      <c r="BJ74" s="178"/>
      <c r="BK74" s="178"/>
      <c r="BL74" s="178"/>
      <c r="BM74" s="27"/>
      <c r="BN74" s="27"/>
    </row>
    <row r="75" spans="1:66">
      <c r="A75" s="27"/>
      <c r="B75" s="27"/>
      <c r="C75" s="27"/>
      <c r="D75" s="27"/>
      <c r="E75" s="27"/>
      <c r="F75" s="27"/>
      <c r="G75" s="27"/>
      <c r="H75" s="27"/>
      <c r="I75" s="27"/>
      <c r="J75" s="27"/>
      <c r="K75" s="27"/>
      <c r="L75" s="27"/>
      <c r="M75" s="2"/>
      <c r="N75" s="27"/>
      <c r="O75" s="178">
        <v>12.599999999999987</v>
      </c>
      <c r="P75" s="178">
        <v>0.10697155235821348</v>
      </c>
      <c r="Q75" s="178">
        <v>0.89302861564124014</v>
      </c>
      <c r="R75" s="178">
        <v>0.10697121635930612</v>
      </c>
      <c r="S75" s="178">
        <v>1.6799945367389435E-7</v>
      </c>
      <c r="T75" s="178">
        <v>4.355000218973934E-18</v>
      </c>
      <c r="U75" s="178"/>
      <c r="V75" s="178"/>
      <c r="W75" s="178"/>
      <c r="X75" s="577">
        <v>0.14775524508577365</v>
      </c>
      <c r="Y75" s="577"/>
      <c r="Z75" s="178"/>
      <c r="AA75" s="178"/>
      <c r="AB75" s="178"/>
      <c r="AC75" s="178"/>
      <c r="AD75" s="178"/>
      <c r="AE75" s="178"/>
      <c r="AF75" s="178"/>
      <c r="AG75" s="178"/>
      <c r="AH75" s="178"/>
      <c r="AI75" s="178"/>
      <c r="AJ75" s="178"/>
      <c r="AK75" s="178"/>
      <c r="AL75" s="178"/>
      <c r="AM75" s="178">
        <v>12.599999999999987</v>
      </c>
      <c r="AN75" s="178">
        <v>-4.9134306535204619E-2</v>
      </c>
      <c r="AO75" s="178">
        <v>-0.9707267813326782</v>
      </c>
      <c r="AP75" s="178">
        <v>-6.7746482712974663</v>
      </c>
      <c r="AQ75" s="178">
        <v>-17.360899423828421</v>
      </c>
      <c r="AR75" s="178"/>
      <c r="AS75" s="178"/>
      <c r="AT75" s="178"/>
      <c r="AU75" s="178">
        <v>-0.83045171701186549</v>
      </c>
      <c r="AV75" s="178"/>
      <c r="AW75" s="178">
        <v>12.599999999999987</v>
      </c>
      <c r="AX75" s="178"/>
      <c r="AY75" s="178"/>
      <c r="AZ75" s="178"/>
      <c r="BA75" s="178"/>
      <c r="BB75" s="178"/>
      <c r="BC75" s="178"/>
      <c r="BD75" s="178"/>
      <c r="BE75" s="178"/>
      <c r="BF75" s="178"/>
      <c r="BG75" s="178"/>
      <c r="BH75" s="178">
        <v>12.599999999999987</v>
      </c>
      <c r="BI75" s="178">
        <v>-2.8930284476417865</v>
      </c>
      <c r="BJ75" s="178"/>
      <c r="BK75" s="178"/>
      <c r="BL75" s="178"/>
      <c r="BM75" s="27"/>
      <c r="BN75" s="27"/>
    </row>
    <row r="76" spans="1:66">
      <c r="A76" s="27"/>
      <c r="B76" s="27"/>
      <c r="C76" s="27"/>
      <c r="D76" s="27"/>
      <c r="E76" s="27"/>
      <c r="F76" s="27"/>
      <c r="G76" s="27"/>
      <c r="H76" s="27"/>
      <c r="I76" s="27"/>
      <c r="J76" s="27"/>
      <c r="K76" s="27"/>
      <c r="L76" s="27"/>
      <c r="M76" s="2"/>
      <c r="N76" s="27"/>
      <c r="O76" s="178">
        <v>12.799999999999986</v>
      </c>
      <c r="P76" s="178">
        <v>7.0268396889673651E-2</v>
      </c>
      <c r="Q76" s="178">
        <v>0.9297316727409235</v>
      </c>
      <c r="R76" s="178">
        <v>7.0268257628479186E-2</v>
      </c>
      <c r="S76" s="178">
        <v>6.9630597228289796E-8</v>
      </c>
      <c r="T76" s="178">
        <v>1.1388864657555722E-18</v>
      </c>
      <c r="U76" s="178"/>
      <c r="V76" s="178"/>
      <c r="W76" s="178"/>
      <c r="X76" s="577">
        <v>0.21435726642363168</v>
      </c>
      <c r="Y76" s="577"/>
      <c r="Z76" s="178"/>
      <c r="AA76" s="178"/>
      <c r="AB76" s="178"/>
      <c r="AC76" s="178"/>
      <c r="AD76" s="178"/>
      <c r="AE76" s="178"/>
      <c r="AF76" s="178"/>
      <c r="AG76" s="178"/>
      <c r="AH76" s="178"/>
      <c r="AI76" s="178"/>
      <c r="AJ76" s="178"/>
      <c r="AK76" s="178"/>
      <c r="AL76" s="178"/>
      <c r="AM76" s="178">
        <v>12.799999999999986</v>
      </c>
      <c r="AN76" s="178">
        <v>-3.1642169026476409E-2</v>
      </c>
      <c r="AO76" s="178">
        <v>-1.1532333490262465</v>
      </c>
      <c r="AP76" s="178">
        <v>-7.1571535441933305</v>
      </c>
      <c r="AQ76" s="178">
        <v>-17.943403401926577</v>
      </c>
      <c r="AR76" s="178"/>
      <c r="AS76" s="178"/>
      <c r="AT76" s="178"/>
      <c r="AU76" s="178">
        <v>-0.66885745970022181</v>
      </c>
      <c r="AV76" s="178"/>
      <c r="AW76" s="178">
        <v>12.799999999999986</v>
      </c>
      <c r="AX76" s="178"/>
      <c r="AY76" s="178"/>
      <c r="AZ76" s="178"/>
      <c r="BA76" s="178"/>
      <c r="BB76" s="178"/>
      <c r="BC76" s="178"/>
      <c r="BD76" s="178"/>
      <c r="BE76" s="178"/>
      <c r="BF76" s="178"/>
      <c r="BG76" s="178"/>
      <c r="BH76" s="178">
        <v>12.799999999999986</v>
      </c>
      <c r="BI76" s="178">
        <v>-2.9297316031103264</v>
      </c>
      <c r="BJ76" s="178"/>
      <c r="BK76" s="178"/>
      <c r="BL76" s="178"/>
      <c r="BM76" s="27"/>
      <c r="BN76" s="27"/>
    </row>
    <row r="77" spans="1:66">
      <c r="A77" s="27"/>
      <c r="B77" s="27"/>
      <c r="C77" s="27"/>
      <c r="D77" s="27"/>
      <c r="E77" s="27"/>
      <c r="F77" s="27"/>
      <c r="G77" s="27"/>
      <c r="H77" s="27"/>
      <c r="I77" s="27"/>
      <c r="J77" s="27"/>
      <c r="K77" s="27"/>
      <c r="L77" s="27"/>
      <c r="M77" s="2"/>
      <c r="N77" s="27"/>
      <c r="O77" s="178">
        <v>12.999999999999986</v>
      </c>
      <c r="P77" s="178">
        <v>4.5516668110102597E-2</v>
      </c>
      <c r="Q77" s="178">
        <v>0.95448336034832182</v>
      </c>
      <c r="R77" s="178">
        <v>4.5516611193253273E-2</v>
      </c>
      <c r="S77" s="178">
        <v>2.8458424663451191E-8</v>
      </c>
      <c r="T77" s="178">
        <v>2.9369135805860226E-19</v>
      </c>
      <c r="U77" s="178"/>
      <c r="V77" s="178"/>
      <c r="W77" s="178"/>
      <c r="X77" s="577">
        <v>0.32589531676233313</v>
      </c>
      <c r="Y77" s="577"/>
      <c r="Z77" s="178"/>
      <c r="AA77" s="178"/>
      <c r="AB77" s="178"/>
      <c r="AC77" s="178"/>
      <c r="AD77" s="178"/>
      <c r="AE77" s="178"/>
      <c r="AF77" s="178"/>
      <c r="AG77" s="178"/>
      <c r="AH77" s="178"/>
      <c r="AI77" s="178"/>
      <c r="AJ77" s="178"/>
      <c r="AK77" s="178"/>
      <c r="AL77" s="178"/>
      <c r="AM77" s="178">
        <v>12.999999999999986</v>
      </c>
      <c r="AN77" s="178">
        <v>-2.0231507345812524E-2</v>
      </c>
      <c r="AO77" s="178">
        <v>-1.3418213925478788</v>
      </c>
      <c r="AP77" s="178">
        <v>-7.5457402929172597</v>
      </c>
      <c r="AQ77" s="178">
        <v>-18.531988855852806</v>
      </c>
      <c r="AR77" s="178"/>
      <c r="AS77" s="178"/>
      <c r="AT77" s="178"/>
      <c r="AU77" s="178">
        <v>-0.48691872813758985</v>
      </c>
      <c r="AV77" s="178"/>
      <c r="AW77" s="178">
        <v>12.999999999999986</v>
      </c>
      <c r="AX77" s="178"/>
      <c r="AY77" s="178"/>
      <c r="AZ77" s="178"/>
      <c r="BA77" s="178"/>
      <c r="BB77" s="178"/>
      <c r="BC77" s="178"/>
      <c r="BD77" s="178"/>
      <c r="BE77" s="178"/>
      <c r="BF77" s="178"/>
      <c r="BG77" s="178"/>
      <c r="BH77" s="178">
        <v>12.999999999999986</v>
      </c>
      <c r="BI77" s="178">
        <v>-2.9544833318898975</v>
      </c>
      <c r="BJ77" s="178"/>
      <c r="BK77" s="178"/>
      <c r="BL77" s="178"/>
      <c r="BM77" s="27"/>
      <c r="BN77" s="27"/>
    </row>
    <row r="78" spans="1:66">
      <c r="A78" s="27"/>
      <c r="B78" s="27"/>
      <c r="C78" s="27"/>
      <c r="D78" s="27"/>
      <c r="E78" s="27"/>
      <c r="F78" s="27"/>
      <c r="G78" s="27"/>
      <c r="H78" s="27"/>
      <c r="I78" s="27"/>
      <c r="J78" s="27"/>
      <c r="K78" s="27"/>
      <c r="L78" s="27"/>
      <c r="M78" s="2"/>
      <c r="N78" s="27"/>
      <c r="O78" s="178">
        <v>13.199999999999985</v>
      </c>
      <c r="P78" s="178">
        <v>2.9209715560485648E-2</v>
      </c>
      <c r="Q78" s="178">
        <v>0.97079029596257693</v>
      </c>
      <c r="R78" s="178">
        <v>2.9209692514360487E-2</v>
      </c>
      <c r="S78" s="178">
        <v>1.1523062581147598E-8</v>
      </c>
      <c r="T78" s="178">
        <v>7.5032295334172555E-20</v>
      </c>
      <c r="U78" s="178"/>
      <c r="V78" s="178"/>
      <c r="W78" s="178"/>
      <c r="X78" s="577">
        <v>0.50718394922326937</v>
      </c>
      <c r="Y78" s="577"/>
      <c r="Z78" s="178"/>
      <c r="AA78" s="178"/>
      <c r="AB78" s="178"/>
      <c r="AC78" s="178"/>
      <c r="AD78" s="178"/>
      <c r="AE78" s="178"/>
      <c r="AF78" s="178"/>
      <c r="AG78" s="178"/>
      <c r="AH78" s="178"/>
      <c r="AI78" s="178"/>
      <c r="AJ78" s="178"/>
      <c r="AK78" s="178"/>
      <c r="AL78" s="178"/>
      <c r="AM78" s="178">
        <v>13.199999999999985</v>
      </c>
      <c r="AN78" s="178">
        <v>-1.2874490184090075E-2</v>
      </c>
      <c r="AO78" s="178">
        <v>-1.5344630805884529</v>
      </c>
      <c r="AP78" s="178">
        <v>-7.93838068616013</v>
      </c>
      <c r="AQ78" s="178">
        <v>-19.124627954297971</v>
      </c>
      <c r="AR78" s="178"/>
      <c r="AS78" s="178"/>
      <c r="AT78" s="178"/>
      <c r="AU78" s="178">
        <v>-0.29483259020804176</v>
      </c>
      <c r="AV78" s="178"/>
      <c r="AW78" s="178">
        <v>13.199999999999985</v>
      </c>
      <c r="AX78" s="178"/>
      <c r="AY78" s="178"/>
      <c r="AZ78" s="178"/>
      <c r="BA78" s="178"/>
      <c r="BB78" s="178"/>
      <c r="BC78" s="178"/>
      <c r="BD78" s="178"/>
      <c r="BE78" s="178"/>
      <c r="BF78" s="178"/>
      <c r="BG78" s="178"/>
      <c r="BH78" s="178">
        <v>13.199999999999985</v>
      </c>
      <c r="BI78" s="178">
        <v>-2.9707902844395142</v>
      </c>
      <c r="BJ78" s="178"/>
      <c r="BK78" s="178"/>
      <c r="BL78" s="178"/>
      <c r="BM78" s="27"/>
      <c r="BN78" s="27"/>
    </row>
    <row r="79" spans="1:66">
      <c r="A79" s="27"/>
      <c r="B79" s="27"/>
      <c r="C79" s="27"/>
      <c r="D79" s="27"/>
      <c r="E79" s="27"/>
      <c r="F79" s="27"/>
      <c r="G79" s="27"/>
      <c r="H79" s="27"/>
      <c r="I79" s="27"/>
      <c r="J79" s="27"/>
      <c r="K79" s="27"/>
      <c r="L79" s="27"/>
      <c r="M79" s="2"/>
      <c r="N79" s="27"/>
      <c r="O79" s="178">
        <v>13.399999999999984</v>
      </c>
      <c r="P79" s="178">
        <v>1.8630913540646069E-2</v>
      </c>
      <c r="Q79" s="178">
        <v>0.98136909109675718</v>
      </c>
      <c r="R79" s="178">
        <v>1.863090426583941E-2</v>
      </c>
      <c r="S79" s="178">
        <v>4.6374033296941436E-9</v>
      </c>
      <c r="T79" s="178">
        <v>1.9052640865650579E-20</v>
      </c>
      <c r="U79" s="178"/>
      <c r="V79" s="178"/>
      <c r="W79" s="178"/>
      <c r="X79" s="577">
        <v>0.79769405721081765</v>
      </c>
      <c r="Y79" s="577"/>
      <c r="Z79" s="178"/>
      <c r="AA79" s="178"/>
      <c r="AB79" s="178"/>
      <c r="AC79" s="178"/>
      <c r="AD79" s="178"/>
      <c r="AE79" s="178"/>
      <c r="AF79" s="178"/>
      <c r="AG79" s="178"/>
      <c r="AH79" s="178"/>
      <c r="AI79" s="178"/>
      <c r="AJ79" s="178"/>
      <c r="AK79" s="178"/>
      <c r="AL79" s="178"/>
      <c r="AM79" s="178">
        <v>13.399999999999984</v>
      </c>
      <c r="AN79" s="178">
        <v>-8.1675716698748572E-3</v>
      </c>
      <c r="AO79" s="178">
        <v>-1.7297548672765339</v>
      </c>
      <c r="AP79" s="178">
        <v>-8.3336711780505066</v>
      </c>
      <c r="AQ79" s="178">
        <v>-19.719917151390646</v>
      </c>
      <c r="AR79" s="178"/>
      <c r="AS79" s="178"/>
      <c r="AT79" s="178"/>
      <c r="AU79" s="178">
        <v>-9.816300790313498E-2</v>
      </c>
      <c r="AV79" s="178"/>
      <c r="AW79" s="178">
        <v>13.399999999999984</v>
      </c>
      <c r="AX79" s="178"/>
      <c r="AY79" s="178"/>
      <c r="AZ79" s="178"/>
      <c r="BA79" s="178"/>
      <c r="BB79" s="178"/>
      <c r="BC79" s="178"/>
      <c r="BD79" s="178"/>
      <c r="BE79" s="178"/>
      <c r="BF79" s="178"/>
      <c r="BG79" s="178"/>
      <c r="BH79" s="178">
        <v>13.399999999999984</v>
      </c>
      <c r="BI79" s="178">
        <v>-2.9813690864593538</v>
      </c>
      <c r="BJ79" s="178"/>
      <c r="BK79" s="178"/>
      <c r="BL79" s="178"/>
      <c r="BM79" s="27"/>
      <c r="BN79" s="27"/>
    </row>
    <row r="80" spans="1:66">
      <c r="A80" s="27"/>
      <c r="B80" s="27"/>
      <c r="C80" s="27"/>
      <c r="D80" s="27"/>
      <c r="E80" s="27"/>
      <c r="F80" s="27"/>
      <c r="G80" s="27"/>
      <c r="H80" s="27"/>
      <c r="I80" s="27"/>
      <c r="J80" s="27"/>
      <c r="K80" s="27"/>
      <c r="L80" s="27"/>
      <c r="M80" s="2"/>
      <c r="N80" s="27"/>
      <c r="O80" s="178">
        <v>13.599999999999984</v>
      </c>
      <c r="P80" s="178">
        <v>1.1836693960120565E-2</v>
      </c>
      <c r="Q80" s="178">
        <v>0.98816330789884455</v>
      </c>
      <c r="R80" s="178">
        <v>1.1836690242190523E-2</v>
      </c>
      <c r="S80" s="178">
        <v>1.8589650203805901E-9</v>
      </c>
      <c r="T80" s="178">
        <v>4.8189401178275586E-21</v>
      </c>
      <c r="U80" s="178"/>
      <c r="V80" s="178"/>
      <c r="W80" s="178"/>
      <c r="X80" s="577">
        <v>1.2602806891196299</v>
      </c>
      <c r="Y80" s="577"/>
      <c r="Z80" s="178"/>
      <c r="AA80" s="178"/>
      <c r="AB80" s="178"/>
      <c r="AC80" s="178"/>
      <c r="AD80" s="178"/>
      <c r="AE80" s="178"/>
      <c r="AF80" s="178"/>
      <c r="AG80" s="178"/>
      <c r="AH80" s="178"/>
      <c r="AI80" s="178"/>
      <c r="AJ80" s="178"/>
      <c r="AK80" s="178"/>
      <c r="AL80" s="178"/>
      <c r="AM80" s="178">
        <v>13.599999999999984</v>
      </c>
      <c r="AN80" s="178">
        <v>-5.1712427246569902E-3</v>
      </c>
      <c r="AO80" s="178">
        <v>-1.9267572435336122</v>
      </c>
      <c r="AP80" s="178">
        <v>-8.7306722595098822</v>
      </c>
      <c r="AQ80" s="178"/>
      <c r="AR80" s="178"/>
      <c r="AS80" s="178"/>
      <c r="AT80" s="178"/>
      <c r="AU80" s="178">
        <v>0.10046663132831973</v>
      </c>
      <c r="AV80" s="178"/>
      <c r="AW80" s="178">
        <v>13.599999999999984</v>
      </c>
      <c r="AX80" s="178"/>
      <c r="AY80" s="178"/>
      <c r="AZ80" s="178"/>
      <c r="BA80" s="178"/>
      <c r="BB80" s="178"/>
      <c r="BC80" s="178"/>
      <c r="BD80" s="178"/>
      <c r="BE80" s="178"/>
      <c r="BF80" s="178"/>
      <c r="BG80" s="178"/>
      <c r="BH80" s="178">
        <v>13.599999999999984</v>
      </c>
      <c r="BI80" s="178">
        <v>-2.9881633060398793</v>
      </c>
      <c r="BJ80" s="178"/>
      <c r="BK80" s="178"/>
      <c r="BL80" s="178"/>
      <c r="BM80" s="27"/>
      <c r="BN80" s="27"/>
    </row>
    <row r="81" spans="1:66">
      <c r="A81" s="27"/>
      <c r="B81" s="27"/>
      <c r="C81" s="27"/>
      <c r="D81" s="27"/>
      <c r="E81" s="27"/>
      <c r="F81" s="27"/>
      <c r="G81" s="27"/>
      <c r="H81" s="27"/>
      <c r="I81" s="27"/>
      <c r="J81" s="27"/>
      <c r="K81" s="27"/>
      <c r="L81" s="27"/>
      <c r="M81" s="2"/>
      <c r="N81" s="27"/>
      <c r="O81" s="178">
        <v>13.799999999999983</v>
      </c>
      <c r="P81" s="178">
        <v>7.5012152667526507E-3</v>
      </c>
      <c r="Q81" s="178">
        <v>0.99249878547656156</v>
      </c>
      <c r="R81" s="178">
        <v>7.5012137801240848E-3</v>
      </c>
      <c r="S81" s="178">
        <v>7.4331428311299376E-10</v>
      </c>
      <c r="T81" s="178">
        <v>1.2157738272224114E-21</v>
      </c>
      <c r="U81" s="178"/>
      <c r="V81" s="178"/>
      <c r="W81" s="178"/>
      <c r="X81" s="577">
        <v>1.9948560341043595</v>
      </c>
      <c r="Y81" s="577"/>
      <c r="Z81" s="178"/>
      <c r="AA81" s="178"/>
      <c r="AB81" s="178"/>
      <c r="AC81" s="178"/>
      <c r="AD81" s="178"/>
      <c r="AE81" s="178"/>
      <c r="AF81" s="178"/>
      <c r="AG81" s="178"/>
      <c r="AH81" s="178"/>
      <c r="AI81" s="178"/>
      <c r="AJ81" s="178"/>
      <c r="AK81" s="178"/>
      <c r="AL81" s="178"/>
      <c r="AM81" s="178">
        <v>13.799999999999983</v>
      </c>
      <c r="AN81" s="178">
        <v>-3.2699948418039239E-3</v>
      </c>
      <c r="AO81" s="178">
        <v>-2.1248547008530556</v>
      </c>
      <c r="AP81" s="178">
        <v>-9.1287684220316212</v>
      </c>
      <c r="AQ81" s="178"/>
      <c r="AR81" s="178"/>
      <c r="AS81" s="178"/>
      <c r="AT81" s="178"/>
      <c r="AU81" s="178">
        <v>0.29990961712052278</v>
      </c>
      <c r="AV81" s="178"/>
      <c r="AW81" s="178">
        <v>13.799999999999983</v>
      </c>
      <c r="AX81" s="178"/>
      <c r="AY81" s="178"/>
      <c r="AZ81" s="178"/>
      <c r="BA81" s="178"/>
      <c r="BB81" s="178"/>
      <c r="BC81" s="178"/>
      <c r="BD81" s="178"/>
      <c r="BE81" s="178"/>
      <c r="BF81" s="178"/>
      <c r="BG81" s="178"/>
      <c r="BH81" s="178">
        <v>13.799999999999983</v>
      </c>
      <c r="BI81" s="178">
        <v>-2.9924987847332472</v>
      </c>
      <c r="BJ81" s="178"/>
      <c r="BK81" s="178"/>
      <c r="BL81" s="178"/>
      <c r="BM81" s="27"/>
      <c r="BN81" s="27"/>
    </row>
    <row r="82" spans="1:66">
      <c r="A82" s="27"/>
      <c r="B82" s="27"/>
      <c r="C82" s="27"/>
      <c r="D82" s="27"/>
      <c r="E82" s="27"/>
      <c r="F82" s="27"/>
      <c r="G82" s="27"/>
      <c r="H82" s="27"/>
      <c r="I82" s="27"/>
      <c r="J82" s="27"/>
      <c r="K82" s="27"/>
      <c r="L82" s="27"/>
      <c r="M82" s="27"/>
      <c r="N82" s="27"/>
      <c r="O82" s="178">
        <v>13.999999999999982</v>
      </c>
      <c r="P82" s="178">
        <v>4.7460849554561814E-3</v>
      </c>
      <c r="Q82" s="178">
        <v>0.99525391534128393</v>
      </c>
      <c r="R82" s="178">
        <v>4.7460843619757768E-3</v>
      </c>
      <c r="S82" s="178">
        <v>2.9674020257837828E-10</v>
      </c>
      <c r="T82" s="178">
        <v>3.0623632234202728E-22</v>
      </c>
      <c r="U82" s="178"/>
      <c r="V82" s="178"/>
      <c r="W82" s="178"/>
      <c r="X82" s="577">
        <v>3.160004454419743</v>
      </c>
      <c r="Y82" s="577"/>
      <c r="Z82" s="178"/>
      <c r="AA82" s="178"/>
      <c r="AB82" s="178"/>
      <c r="AC82" s="178"/>
      <c r="AD82" s="178"/>
      <c r="AE82" s="178"/>
      <c r="AF82" s="178"/>
      <c r="AG82" s="178"/>
      <c r="AH82" s="178"/>
      <c r="AI82" s="178"/>
      <c r="AJ82" s="178"/>
      <c r="AK82" s="178"/>
      <c r="AL82" s="178"/>
      <c r="AM82" s="178">
        <v>13.999999999999982</v>
      </c>
      <c r="AN82" s="178">
        <v>-2.0660918446678538E-3</v>
      </c>
      <c r="AO82" s="178">
        <v>-2.3236495030582156</v>
      </c>
      <c r="AP82" s="178">
        <v>-9.527561929439079</v>
      </c>
      <c r="AQ82" s="178"/>
      <c r="AR82" s="178"/>
      <c r="AS82" s="178"/>
      <c r="AT82" s="178"/>
      <c r="AU82" s="178">
        <v>0.499684459838586</v>
      </c>
      <c r="AV82" s="178"/>
      <c r="AW82" s="178">
        <v>13.999999999999982</v>
      </c>
      <c r="AX82" s="178"/>
      <c r="AY82" s="178"/>
      <c r="AZ82" s="178"/>
      <c r="BA82" s="178"/>
      <c r="BB82" s="178"/>
      <c r="BC82" s="178"/>
      <c r="BD82" s="178"/>
      <c r="BE82" s="178"/>
      <c r="BF82" s="178"/>
      <c r="BG82" s="178"/>
      <c r="BH82" s="178">
        <v>13.999999999999982</v>
      </c>
      <c r="BI82" s="178">
        <v>-2.9952539150445436</v>
      </c>
      <c r="BJ82" s="178"/>
      <c r="BK82" s="178"/>
      <c r="BL82" s="178"/>
      <c r="BM82" s="27"/>
      <c r="BN82" s="27"/>
    </row>
    <row r="83" spans="1:66">
      <c r="A83" s="27"/>
      <c r="B83" s="27"/>
      <c r="C83" s="27"/>
      <c r="D83" s="27"/>
      <c r="E83" s="27"/>
      <c r="F83" s="27"/>
      <c r="G83" s="27"/>
      <c r="H83" s="27"/>
      <c r="I83" s="27"/>
      <c r="J83" s="27"/>
      <c r="K83" s="27"/>
      <c r="L83" s="27"/>
      <c r="M83" s="27"/>
      <c r="N83" s="27"/>
      <c r="O83" s="178"/>
      <c r="P83" s="178"/>
      <c r="Q83" s="178"/>
      <c r="R83" s="178"/>
      <c r="S83" s="178"/>
      <c r="T83" s="178"/>
      <c r="U83" s="178"/>
      <c r="V83" s="178"/>
      <c r="W83" s="178"/>
      <c r="X83" s="577"/>
      <c r="Y83" s="577"/>
      <c r="Z83" s="178"/>
      <c r="AA83" s="178"/>
      <c r="AB83" s="178"/>
      <c r="AC83" s="178"/>
      <c r="AD83" s="178"/>
      <c r="AE83" s="178"/>
      <c r="AF83" s="178"/>
      <c r="AG83" s="178"/>
      <c r="AH83" s="178"/>
      <c r="AI83" s="178"/>
      <c r="AJ83" s="178"/>
      <c r="AK83" s="178"/>
      <c r="AL83" s="178"/>
      <c r="AM83" s="178"/>
      <c r="AN83" s="178"/>
      <c r="AO83" s="178"/>
      <c r="AP83" s="178"/>
      <c r="AQ83" s="178"/>
      <c r="AR83" s="178"/>
      <c r="AS83" s="178"/>
      <c r="AT83" s="178"/>
      <c r="AU83" s="178"/>
      <c r="AV83" s="178"/>
      <c r="AW83" s="178"/>
      <c r="AX83" s="178"/>
      <c r="AY83" s="178"/>
      <c r="AZ83" s="178"/>
      <c r="BA83" s="178"/>
      <c r="BB83" s="178"/>
      <c r="BC83" s="178"/>
      <c r="BD83" s="178"/>
      <c r="BE83" s="178"/>
      <c r="BF83" s="178"/>
      <c r="BG83" s="178"/>
      <c r="BH83" s="178"/>
      <c r="BI83" s="178"/>
      <c r="BJ83" s="178"/>
      <c r="BK83" s="178"/>
      <c r="BL83" s="178"/>
      <c r="BM83" s="27"/>
      <c r="BN83" s="27"/>
    </row>
    <row r="84" spans="1:66">
      <c r="A84" s="27"/>
      <c r="B84" s="27"/>
      <c r="C84" s="27"/>
      <c r="D84" s="27"/>
      <c r="E84" s="27"/>
      <c r="F84" s="27"/>
      <c r="G84" s="27"/>
      <c r="H84" s="27"/>
      <c r="I84" s="27"/>
      <c r="J84" s="27"/>
      <c r="K84" s="27"/>
      <c r="L84" s="27"/>
      <c r="M84" s="27"/>
      <c r="N84" s="27"/>
      <c r="O84" s="178"/>
      <c r="P84" s="178"/>
      <c r="Q84" s="178"/>
      <c r="R84" s="178"/>
      <c r="S84" s="178"/>
      <c r="T84" s="178"/>
      <c r="U84" s="178"/>
      <c r="V84" s="178"/>
      <c r="W84" s="178"/>
      <c r="X84" s="577"/>
      <c r="Y84" s="577"/>
      <c r="Z84" s="178"/>
      <c r="AA84" s="178"/>
      <c r="AB84" s="178"/>
      <c r="AC84" s="178"/>
      <c r="AD84" s="178"/>
      <c r="AE84" s="178"/>
      <c r="AF84" s="178"/>
      <c r="AG84" s="178"/>
      <c r="AH84" s="178"/>
      <c r="AI84" s="178"/>
      <c r="AJ84" s="178"/>
      <c r="AK84" s="178"/>
      <c r="AL84" s="178"/>
      <c r="AM84" s="178"/>
      <c r="AN84" s="178"/>
      <c r="AO84" s="178"/>
      <c r="AP84" s="178"/>
      <c r="AQ84" s="178"/>
      <c r="AR84" s="178"/>
      <c r="AS84" s="178"/>
      <c r="AT84" s="178"/>
      <c r="AU84" s="178"/>
      <c r="AV84" s="178"/>
      <c r="AW84" s="178"/>
      <c r="AX84" s="178"/>
      <c r="AY84" s="178"/>
      <c r="AZ84" s="178"/>
      <c r="BA84" s="178"/>
      <c r="BB84" s="178"/>
      <c r="BC84" s="178"/>
      <c r="BD84" s="178"/>
      <c r="BE84" s="178"/>
      <c r="BF84" s="178"/>
      <c r="BG84" s="178"/>
      <c r="BH84" s="178"/>
      <c r="BI84" s="178"/>
      <c r="BJ84" s="178"/>
      <c r="BK84" s="178"/>
      <c r="BL84" s="178"/>
      <c r="BM84" s="27"/>
      <c r="BN84" s="27"/>
    </row>
    <row r="85" spans="1:66">
      <c r="A85" s="27"/>
      <c r="B85" s="27"/>
      <c r="C85" s="27"/>
      <c r="D85" s="27"/>
      <c r="E85" s="27"/>
      <c r="F85" s="27"/>
      <c r="G85" s="27"/>
      <c r="H85" s="27"/>
      <c r="I85" s="27"/>
      <c r="J85" s="27"/>
      <c r="K85" s="27"/>
      <c r="L85" s="27"/>
      <c r="M85" s="27"/>
      <c r="N85" s="27"/>
      <c r="O85" s="178"/>
      <c r="P85" s="178"/>
      <c r="Q85" s="178"/>
      <c r="R85" s="178"/>
      <c r="S85" s="178"/>
      <c r="T85" s="178"/>
      <c r="U85" s="178"/>
      <c r="V85" s="178"/>
      <c r="W85" s="178"/>
      <c r="X85" s="577"/>
      <c r="Y85" s="577"/>
      <c r="Z85" s="178"/>
      <c r="AA85" s="178"/>
      <c r="AB85" s="178"/>
      <c r="AC85" s="178"/>
      <c r="AD85" s="178"/>
      <c r="AE85" s="178"/>
      <c r="AF85" s="178"/>
      <c r="AG85" s="178"/>
      <c r="AH85" s="178"/>
      <c r="AI85" s="178"/>
      <c r="AJ85" s="178"/>
      <c r="AK85" s="178"/>
      <c r="AL85" s="178"/>
      <c r="AM85" s="178"/>
      <c r="AN85" s="178"/>
      <c r="AO85" s="178"/>
      <c r="AP85" s="178"/>
      <c r="AQ85" s="178"/>
      <c r="AR85" s="178"/>
      <c r="AS85" s="178"/>
      <c r="AT85" s="178"/>
      <c r="AU85" s="178"/>
      <c r="AV85" s="178"/>
      <c r="AW85" s="178"/>
      <c r="AX85" s="178"/>
      <c r="AY85" s="178"/>
      <c r="AZ85" s="178"/>
      <c r="BA85" s="178"/>
      <c r="BB85" s="178"/>
      <c r="BC85" s="178"/>
      <c r="BD85" s="178"/>
      <c r="BE85" s="178"/>
      <c r="BF85" s="178"/>
      <c r="BG85" s="178"/>
      <c r="BH85" s="178"/>
      <c r="BI85" s="178"/>
      <c r="BJ85" s="178"/>
      <c r="BK85" s="178"/>
      <c r="BL85" s="178"/>
      <c r="BM85" s="27"/>
      <c r="BN85" s="27"/>
    </row>
    <row r="86" spans="1:66">
      <c r="A86" s="27"/>
      <c r="B86" s="27"/>
      <c r="C86" s="27"/>
      <c r="D86" s="27"/>
      <c r="E86" s="27"/>
      <c r="F86" s="27"/>
      <c r="G86" s="27"/>
      <c r="H86" s="27"/>
      <c r="I86" s="27"/>
      <c r="J86" s="27"/>
      <c r="K86" s="27"/>
      <c r="L86" s="27"/>
      <c r="M86" s="27"/>
      <c r="N86" s="27"/>
      <c r="O86" s="178"/>
      <c r="P86" s="178"/>
      <c r="Q86" s="178"/>
      <c r="R86" s="178"/>
      <c r="S86" s="178"/>
      <c r="T86" s="178"/>
      <c r="U86" s="178"/>
      <c r="V86" s="178"/>
      <c r="W86" s="178"/>
      <c r="X86" s="577"/>
      <c r="Y86" s="577"/>
      <c r="Z86" s="178"/>
      <c r="AA86" s="178"/>
      <c r="AB86" s="178"/>
      <c r="AC86" s="178"/>
      <c r="AD86" s="178"/>
      <c r="AE86" s="178"/>
      <c r="AF86" s="178"/>
      <c r="AG86" s="178"/>
      <c r="AH86" s="178"/>
      <c r="AI86" s="178"/>
      <c r="AJ86" s="178"/>
      <c r="AK86" s="178"/>
      <c r="AL86" s="178"/>
      <c r="AM86" s="178"/>
      <c r="AN86" s="178"/>
      <c r="AO86" s="178"/>
      <c r="AP86" s="178"/>
      <c r="AQ86" s="178"/>
      <c r="AR86" s="178"/>
      <c r="AS86" s="178"/>
      <c r="AT86" s="178"/>
      <c r="AU86" s="178"/>
      <c r="AV86" s="178"/>
      <c r="AW86" s="178"/>
      <c r="AX86" s="178"/>
      <c r="AY86" s="178"/>
      <c r="AZ86" s="178"/>
      <c r="BA86" s="178"/>
      <c r="BB86" s="178"/>
      <c r="BC86" s="178"/>
      <c r="BD86" s="178"/>
      <c r="BE86" s="178"/>
      <c r="BF86" s="178"/>
      <c r="BG86" s="178"/>
      <c r="BH86" s="178"/>
      <c r="BI86" s="178"/>
      <c r="BJ86" s="178"/>
      <c r="BK86" s="178"/>
      <c r="BL86" s="178"/>
      <c r="BM86" s="27"/>
      <c r="BN86" s="27"/>
    </row>
    <row r="87" spans="1:66">
      <c r="A87" s="27"/>
      <c r="B87" s="27"/>
      <c r="C87" s="27"/>
      <c r="D87" s="27"/>
      <c r="E87" s="27"/>
      <c r="F87" s="27"/>
      <c r="G87" s="27"/>
      <c r="H87" s="27"/>
      <c r="I87" s="27"/>
      <c r="J87" s="27"/>
      <c r="K87" s="27"/>
      <c r="L87" s="27"/>
      <c r="M87" s="27"/>
      <c r="N87" s="27"/>
      <c r="O87" s="178"/>
      <c r="P87" s="178"/>
      <c r="Q87" s="178"/>
      <c r="R87" s="178"/>
      <c r="S87" s="178"/>
      <c r="T87" s="178"/>
      <c r="U87" s="178"/>
      <c r="V87" s="178"/>
      <c r="W87" s="178"/>
      <c r="X87" s="577"/>
      <c r="Y87" s="577"/>
      <c r="Z87" s="178"/>
      <c r="AA87" s="178"/>
      <c r="AB87" s="178"/>
      <c r="AC87" s="178"/>
      <c r="AD87" s="178"/>
      <c r="AE87" s="178"/>
      <c r="AF87" s="178"/>
      <c r="AG87" s="178"/>
      <c r="AH87" s="178"/>
      <c r="AI87" s="178"/>
      <c r="AJ87" s="178"/>
      <c r="AK87" s="178"/>
      <c r="AL87" s="178"/>
      <c r="AM87" s="178"/>
      <c r="AN87" s="178"/>
      <c r="AO87" s="178"/>
      <c r="AP87" s="178"/>
      <c r="AQ87" s="178"/>
      <c r="AR87" s="178"/>
      <c r="AS87" s="178"/>
      <c r="AT87" s="178"/>
      <c r="AU87" s="178"/>
      <c r="AV87" s="178"/>
      <c r="AW87" s="178"/>
      <c r="AX87" s="178"/>
      <c r="AY87" s="178"/>
      <c r="AZ87" s="178"/>
      <c r="BA87" s="178"/>
      <c r="BB87" s="178"/>
      <c r="BC87" s="178"/>
      <c r="BD87" s="178"/>
      <c r="BE87" s="178"/>
      <c r="BF87" s="178"/>
      <c r="BG87" s="178"/>
      <c r="BH87" s="178"/>
      <c r="BI87" s="178"/>
      <c r="BJ87" s="178"/>
      <c r="BK87" s="178"/>
      <c r="BL87" s="178"/>
      <c r="BM87" s="27"/>
      <c r="BN87" s="27"/>
    </row>
    <row r="88" spans="1:66">
      <c r="A88" s="27"/>
      <c r="B88" s="27"/>
      <c r="C88" s="27"/>
      <c r="D88" s="27"/>
      <c r="E88" s="27"/>
      <c r="F88" s="27"/>
      <c r="G88" s="27"/>
      <c r="H88" s="27"/>
      <c r="I88" s="27"/>
      <c r="J88" s="27"/>
      <c r="K88" s="27"/>
      <c r="L88" s="27"/>
      <c r="M88" s="27"/>
      <c r="N88" s="27"/>
      <c r="O88" s="178"/>
      <c r="P88" s="178"/>
      <c r="Q88" s="178"/>
      <c r="R88" s="178"/>
      <c r="S88" s="178"/>
      <c r="T88" s="178"/>
      <c r="U88" s="178"/>
      <c r="V88" s="178"/>
      <c r="W88" s="178"/>
      <c r="X88" s="577"/>
      <c r="Y88" s="577"/>
      <c r="Z88" s="178"/>
      <c r="AA88" s="178"/>
      <c r="AB88" s="178"/>
      <c r="AC88" s="178"/>
      <c r="AD88" s="178"/>
      <c r="AE88" s="178"/>
      <c r="AF88" s="178"/>
      <c r="AG88" s="178"/>
      <c r="AH88" s="178"/>
      <c r="AI88" s="178"/>
      <c r="AJ88" s="178"/>
      <c r="AK88" s="178"/>
      <c r="AL88" s="178"/>
      <c r="AM88" s="178"/>
      <c r="AN88" s="178"/>
      <c r="AO88" s="178"/>
      <c r="AP88" s="178"/>
      <c r="AQ88" s="178"/>
      <c r="AR88" s="178"/>
      <c r="AS88" s="178"/>
      <c r="AT88" s="178"/>
      <c r="AU88" s="178"/>
      <c r="AV88" s="178"/>
      <c r="AW88" s="178"/>
      <c r="AX88" s="178"/>
      <c r="AY88" s="178"/>
      <c r="AZ88" s="178"/>
      <c r="BA88" s="178"/>
      <c r="BB88" s="178"/>
      <c r="BC88" s="178"/>
      <c r="BD88" s="178"/>
      <c r="BE88" s="178"/>
      <c r="BF88" s="178"/>
      <c r="BG88" s="178"/>
      <c r="BH88" s="178"/>
      <c r="BI88" s="178"/>
      <c r="BJ88" s="178"/>
      <c r="BK88" s="178"/>
      <c r="BL88" s="178"/>
      <c r="BM88" s="27"/>
      <c r="BN88" s="27"/>
    </row>
    <row r="89" spans="1:66">
      <c r="A89" s="27"/>
      <c r="B89" s="27"/>
      <c r="C89" s="27"/>
      <c r="D89" s="27"/>
      <c r="E89" s="27"/>
      <c r="F89" s="27"/>
      <c r="G89" s="27"/>
      <c r="H89" s="27"/>
      <c r="I89" s="27"/>
      <c r="J89" s="27"/>
      <c r="K89" s="27"/>
      <c r="L89" s="27"/>
      <c r="M89" s="27"/>
      <c r="N89" s="27"/>
      <c r="O89" s="178"/>
      <c r="P89" s="178"/>
      <c r="Q89" s="178"/>
      <c r="R89" s="178"/>
      <c r="S89" s="178"/>
      <c r="T89" s="178"/>
      <c r="U89" s="178"/>
      <c r="V89" s="178"/>
      <c r="W89" s="178"/>
      <c r="X89" s="577"/>
      <c r="Y89" s="577"/>
      <c r="Z89" s="178"/>
      <c r="AA89" s="178"/>
      <c r="AB89" s="178"/>
      <c r="AC89" s="178"/>
      <c r="AD89" s="178"/>
      <c r="AE89" s="178"/>
      <c r="AF89" s="178"/>
      <c r="AG89" s="178"/>
      <c r="AH89" s="178"/>
      <c r="AI89" s="178"/>
      <c r="AJ89" s="178"/>
      <c r="AK89" s="178"/>
      <c r="AL89" s="178"/>
      <c r="AM89" s="178"/>
      <c r="AN89" s="178"/>
      <c r="AO89" s="178"/>
      <c r="AP89" s="178"/>
      <c r="AQ89" s="178"/>
      <c r="AR89" s="178"/>
      <c r="AS89" s="178"/>
      <c r="AT89" s="178"/>
      <c r="AU89" s="178"/>
      <c r="AV89" s="178"/>
      <c r="AW89" s="178"/>
      <c r="AX89" s="178"/>
      <c r="AY89" s="178"/>
      <c r="AZ89" s="178"/>
      <c r="BA89" s="178"/>
      <c r="BB89" s="178"/>
      <c r="BC89" s="178"/>
      <c r="BD89" s="178"/>
      <c r="BE89" s="178"/>
      <c r="BF89" s="178"/>
      <c r="BG89" s="178"/>
      <c r="BH89" s="178"/>
      <c r="BI89" s="178"/>
      <c r="BJ89" s="178"/>
      <c r="BK89" s="178"/>
      <c r="BL89" s="178"/>
      <c r="BM89" s="27"/>
      <c r="BN89" s="27"/>
    </row>
    <row r="90" spans="1:66">
      <c r="A90" s="27"/>
      <c r="B90" s="27"/>
      <c r="C90" s="27"/>
      <c r="D90" s="27"/>
      <c r="E90" s="27"/>
      <c r="F90" s="27"/>
      <c r="G90" s="27"/>
      <c r="H90" s="27"/>
      <c r="I90" s="27"/>
      <c r="J90" s="27"/>
      <c r="K90" s="27"/>
      <c r="L90" s="27"/>
      <c r="M90" s="27"/>
      <c r="N90" s="27"/>
      <c r="O90" s="178"/>
      <c r="P90" s="178"/>
      <c r="Q90" s="178"/>
      <c r="R90" s="178"/>
      <c r="S90" s="178"/>
      <c r="T90" s="178"/>
      <c r="U90" s="178"/>
      <c r="V90" s="178"/>
      <c r="W90" s="178"/>
      <c r="X90" s="577"/>
      <c r="Y90" s="577"/>
      <c r="Z90" s="178"/>
      <c r="AA90" s="178"/>
      <c r="AB90" s="178"/>
      <c r="AC90" s="178"/>
      <c r="AD90" s="178"/>
      <c r="AE90" s="178"/>
      <c r="AF90" s="178"/>
      <c r="AG90" s="178"/>
      <c r="AH90" s="178"/>
      <c r="AI90" s="178"/>
      <c r="AJ90" s="178"/>
      <c r="AK90" s="178"/>
      <c r="AL90" s="178"/>
      <c r="AM90" s="178"/>
      <c r="AN90" s="178"/>
      <c r="AO90" s="178"/>
      <c r="AP90" s="178"/>
      <c r="AQ90" s="178"/>
      <c r="AR90" s="178"/>
      <c r="AS90" s="178"/>
      <c r="AT90" s="178"/>
      <c r="AU90" s="178"/>
      <c r="AV90" s="178"/>
      <c r="AW90" s="178"/>
      <c r="AX90" s="178"/>
      <c r="AY90" s="178"/>
      <c r="AZ90" s="178"/>
      <c r="BA90" s="178"/>
      <c r="BB90" s="178"/>
      <c r="BC90" s="178"/>
      <c r="BD90" s="178"/>
      <c r="BE90" s="178"/>
      <c r="BF90" s="178"/>
      <c r="BG90" s="178"/>
      <c r="BH90" s="178"/>
      <c r="BI90" s="178"/>
      <c r="BJ90" s="178"/>
      <c r="BK90" s="178"/>
      <c r="BL90" s="178"/>
      <c r="BM90" s="27"/>
      <c r="BN90" s="27"/>
    </row>
    <row r="91" spans="1:66">
      <c r="A91" s="27"/>
      <c r="B91" s="27"/>
      <c r="C91" s="27"/>
      <c r="D91" s="27"/>
      <c r="E91" s="27"/>
      <c r="F91" s="27"/>
      <c r="G91" s="27"/>
      <c r="H91" s="27"/>
      <c r="I91" s="27"/>
      <c r="J91" s="27"/>
      <c r="K91" s="27"/>
      <c r="L91" s="27"/>
      <c r="M91" s="27"/>
      <c r="N91" s="27"/>
      <c r="O91" s="178"/>
      <c r="P91" s="178"/>
      <c r="Q91" s="178"/>
      <c r="R91" s="178"/>
      <c r="S91" s="178"/>
      <c r="T91" s="178"/>
      <c r="U91" s="178"/>
      <c r="V91" s="178"/>
      <c r="W91" s="178"/>
      <c r="X91" s="577"/>
      <c r="Y91" s="577"/>
      <c r="Z91" s="178"/>
      <c r="AA91" s="178"/>
      <c r="AB91" s="178"/>
      <c r="AC91" s="178"/>
      <c r="AD91" s="178"/>
      <c r="AE91" s="178"/>
      <c r="AF91" s="178"/>
      <c r="AG91" s="178"/>
      <c r="AH91" s="178"/>
      <c r="AI91" s="178"/>
      <c r="AJ91" s="178"/>
      <c r="AK91" s="178"/>
      <c r="AL91" s="178"/>
      <c r="AM91" s="178"/>
      <c r="AN91" s="178"/>
      <c r="AO91" s="178"/>
      <c r="AP91" s="178"/>
      <c r="AQ91" s="178"/>
      <c r="AR91" s="178"/>
      <c r="AS91" s="178"/>
      <c r="AT91" s="178"/>
      <c r="AU91" s="178"/>
      <c r="AV91" s="178"/>
      <c r="AW91" s="178"/>
      <c r="AX91" s="178"/>
      <c r="AY91" s="178"/>
      <c r="AZ91" s="178"/>
      <c r="BA91" s="178"/>
      <c r="BB91" s="178"/>
      <c r="BC91" s="178"/>
      <c r="BD91" s="178"/>
      <c r="BE91" s="178"/>
      <c r="BF91" s="178"/>
      <c r="BG91" s="178"/>
      <c r="BH91" s="178"/>
      <c r="BI91" s="178"/>
      <c r="BJ91" s="178"/>
      <c r="BK91" s="178"/>
      <c r="BL91" s="178"/>
      <c r="BM91" s="27"/>
      <c r="BN91" s="27"/>
    </row>
    <row r="92" spans="1:66">
      <c r="A92" s="27"/>
      <c r="B92" s="27"/>
      <c r="C92" s="27"/>
      <c r="D92" s="27"/>
      <c r="E92" s="27"/>
      <c r="F92" s="27"/>
      <c r="G92" s="27"/>
      <c r="H92" s="27"/>
      <c r="I92" s="27"/>
      <c r="J92" s="27"/>
      <c r="K92" s="27"/>
      <c r="L92" s="27"/>
      <c r="M92" s="27"/>
      <c r="N92" s="27"/>
      <c r="O92" s="178"/>
      <c r="P92" s="178"/>
      <c r="Q92" s="178"/>
      <c r="R92" s="178"/>
      <c r="S92" s="178"/>
      <c r="T92" s="178"/>
      <c r="U92" s="178"/>
      <c r="V92" s="178"/>
      <c r="W92" s="178"/>
      <c r="X92" s="577"/>
      <c r="Y92" s="577"/>
      <c r="Z92" s="178"/>
      <c r="AA92" s="178"/>
      <c r="AB92" s="178"/>
      <c r="AC92" s="178"/>
      <c r="AD92" s="178"/>
      <c r="AE92" s="178"/>
      <c r="AF92" s="178"/>
      <c r="AG92" s="178"/>
      <c r="AH92" s="178"/>
      <c r="AI92" s="178"/>
      <c r="AJ92" s="178"/>
      <c r="AK92" s="178"/>
      <c r="AL92" s="178"/>
      <c r="AM92" s="178"/>
      <c r="AN92" s="178"/>
      <c r="AO92" s="178"/>
      <c r="AP92" s="178"/>
      <c r="AQ92" s="178"/>
      <c r="AR92" s="178"/>
      <c r="AS92" s="178"/>
      <c r="AT92" s="178"/>
      <c r="AU92" s="178"/>
      <c r="AV92" s="178"/>
      <c r="AW92" s="178"/>
      <c r="AX92" s="178"/>
      <c r="AY92" s="178"/>
      <c r="AZ92" s="178"/>
      <c r="BA92" s="178"/>
      <c r="BB92" s="178"/>
      <c r="BC92" s="178"/>
      <c r="BD92" s="178"/>
      <c r="BE92" s="178"/>
      <c r="BF92" s="178"/>
      <c r="BG92" s="178"/>
      <c r="BH92" s="178"/>
      <c r="BI92" s="178"/>
      <c r="BJ92" s="178"/>
      <c r="BK92" s="178"/>
      <c r="BL92" s="178"/>
      <c r="BM92" s="27"/>
      <c r="BN92" s="27"/>
    </row>
    <row r="93" spans="1:66">
      <c r="A93" s="27"/>
      <c r="B93" s="27"/>
      <c r="C93" s="27"/>
      <c r="D93" s="27"/>
      <c r="E93" s="27"/>
      <c r="F93" s="27"/>
      <c r="G93" s="27"/>
      <c r="H93" s="27"/>
      <c r="I93" s="27"/>
      <c r="J93" s="27"/>
      <c r="K93" s="27"/>
      <c r="L93" s="27"/>
      <c r="M93" s="27"/>
      <c r="N93" s="27"/>
      <c r="O93" s="178"/>
      <c r="P93" s="178"/>
      <c r="Q93" s="178"/>
      <c r="R93" s="178"/>
      <c r="S93" s="178"/>
      <c r="T93" s="178"/>
      <c r="U93" s="178"/>
      <c r="V93" s="178"/>
      <c r="W93" s="178"/>
      <c r="X93" s="577"/>
      <c r="Y93" s="577"/>
      <c r="Z93" s="178"/>
      <c r="AA93" s="178"/>
      <c r="AB93" s="178"/>
      <c r="AC93" s="178"/>
      <c r="AD93" s="178"/>
      <c r="AE93" s="178"/>
      <c r="AF93" s="178"/>
      <c r="AG93" s="178"/>
      <c r="AH93" s="178"/>
      <c r="AI93" s="178"/>
      <c r="AJ93" s="178"/>
      <c r="AK93" s="178"/>
      <c r="AL93" s="178"/>
      <c r="AM93" s="178"/>
      <c r="AN93" s="178"/>
      <c r="AO93" s="178"/>
      <c r="AP93" s="178"/>
      <c r="AQ93" s="178"/>
      <c r="AR93" s="178"/>
      <c r="AS93" s="178"/>
      <c r="AT93" s="178"/>
      <c r="AU93" s="178"/>
      <c r="AV93" s="178"/>
      <c r="AW93" s="178"/>
      <c r="AX93" s="178"/>
      <c r="AY93" s="178"/>
      <c r="AZ93" s="178"/>
      <c r="BA93" s="178"/>
      <c r="BB93" s="178"/>
      <c r="BC93" s="178"/>
      <c r="BD93" s="178"/>
      <c r="BE93" s="178"/>
      <c r="BF93" s="178"/>
      <c r="BG93" s="178"/>
      <c r="BH93" s="178"/>
      <c r="BI93" s="178"/>
      <c r="BJ93" s="178"/>
      <c r="BK93" s="178"/>
      <c r="BL93" s="178"/>
      <c r="BM93" s="27"/>
      <c r="BN93" s="27"/>
    </row>
    <row r="94" spans="1:66">
      <c r="A94" s="27"/>
      <c r="B94" s="27"/>
      <c r="C94" s="27"/>
      <c r="D94" s="27"/>
      <c r="E94" s="27"/>
      <c r="F94" s="27"/>
      <c r="G94" s="27"/>
      <c r="H94" s="27"/>
      <c r="I94" s="27"/>
      <c r="J94" s="27"/>
      <c r="K94" s="27"/>
      <c r="L94" s="27"/>
      <c r="M94" s="27"/>
      <c r="N94" s="27"/>
      <c r="O94" s="178"/>
      <c r="P94" s="178"/>
      <c r="Q94" s="178"/>
      <c r="R94" s="178"/>
      <c r="S94" s="178"/>
      <c r="T94" s="178"/>
      <c r="U94" s="178"/>
      <c r="V94" s="178"/>
      <c r="W94" s="178"/>
      <c r="X94" s="577"/>
      <c r="Y94" s="577"/>
      <c r="Z94" s="178"/>
      <c r="AA94" s="178"/>
      <c r="AB94" s="178"/>
      <c r="AC94" s="178"/>
      <c r="AD94" s="178"/>
      <c r="AE94" s="178"/>
      <c r="AF94" s="178"/>
      <c r="AG94" s="178"/>
      <c r="AH94" s="178"/>
      <c r="AI94" s="178"/>
      <c r="AJ94" s="178"/>
      <c r="AK94" s="178"/>
      <c r="AL94" s="178"/>
      <c r="AM94" s="178"/>
      <c r="AN94" s="178"/>
      <c r="AO94" s="178"/>
      <c r="AP94" s="178"/>
      <c r="AQ94" s="178"/>
      <c r="AR94" s="178"/>
      <c r="AS94" s="178"/>
      <c r="AT94" s="178"/>
      <c r="AU94" s="178"/>
      <c r="AV94" s="178"/>
      <c r="AW94" s="178"/>
      <c r="AX94" s="178"/>
      <c r="AY94" s="178"/>
      <c r="AZ94" s="178"/>
      <c r="BA94" s="178"/>
      <c r="BB94" s="178"/>
      <c r="BC94" s="178"/>
      <c r="BD94" s="178"/>
      <c r="BE94" s="178"/>
      <c r="BF94" s="178"/>
      <c r="BG94" s="178"/>
      <c r="BH94" s="178"/>
      <c r="BI94" s="178"/>
      <c r="BJ94" s="178"/>
      <c r="BK94" s="178"/>
      <c r="BL94" s="178"/>
      <c r="BM94" s="27"/>
      <c r="BN94" s="27"/>
    </row>
    <row r="95" spans="1:66">
      <c r="A95" s="27"/>
      <c r="B95" s="27"/>
      <c r="C95" s="27"/>
      <c r="D95" s="27"/>
      <c r="E95" s="27"/>
      <c r="F95" s="27"/>
      <c r="G95" s="27"/>
      <c r="H95" s="27"/>
      <c r="I95" s="27"/>
      <c r="J95" s="27"/>
      <c r="K95" s="27"/>
      <c r="L95" s="27"/>
      <c r="M95" s="27"/>
      <c r="N95" s="27"/>
      <c r="O95" s="178"/>
      <c r="P95" s="178"/>
      <c r="Q95" s="178"/>
      <c r="R95" s="178"/>
      <c r="S95" s="178"/>
      <c r="T95" s="178"/>
      <c r="U95" s="178"/>
      <c r="V95" s="178"/>
      <c r="W95" s="178"/>
      <c r="X95" s="577"/>
      <c r="Y95" s="577"/>
      <c r="Z95" s="178"/>
      <c r="AA95" s="178"/>
      <c r="AB95" s="178"/>
      <c r="AC95" s="178"/>
      <c r="AD95" s="178"/>
      <c r="AE95" s="178"/>
      <c r="AF95" s="178"/>
      <c r="AG95" s="178"/>
      <c r="AH95" s="178"/>
      <c r="AI95" s="178"/>
      <c r="AJ95" s="178"/>
      <c r="AK95" s="178"/>
      <c r="AL95" s="178"/>
      <c r="AM95" s="178"/>
      <c r="AN95" s="178"/>
      <c r="AO95" s="178"/>
      <c r="AP95" s="178"/>
      <c r="AQ95" s="178"/>
      <c r="AR95" s="178"/>
      <c r="AS95" s="178"/>
      <c r="AT95" s="178"/>
      <c r="AU95" s="178"/>
      <c r="AV95" s="178"/>
      <c r="AW95" s="178"/>
      <c r="AX95" s="178"/>
      <c r="AY95" s="178"/>
      <c r="AZ95" s="178"/>
      <c r="BA95" s="178"/>
      <c r="BB95" s="178"/>
      <c r="BC95" s="178"/>
      <c r="BD95" s="178"/>
      <c r="BE95" s="178"/>
      <c r="BF95" s="178"/>
      <c r="BG95" s="178"/>
      <c r="BH95" s="178"/>
      <c r="BI95" s="178"/>
      <c r="BJ95" s="178"/>
      <c r="BK95" s="178"/>
      <c r="BL95" s="178"/>
      <c r="BM95" s="27"/>
      <c r="BN95" s="27"/>
    </row>
    <row r="96" spans="1:66">
      <c r="A96" s="27"/>
      <c r="B96" s="27"/>
      <c r="C96" s="27"/>
      <c r="D96" s="27"/>
      <c r="E96" s="27"/>
      <c r="F96" s="27"/>
      <c r="G96" s="27"/>
      <c r="H96" s="27"/>
      <c r="I96" s="27"/>
      <c r="J96" s="27"/>
      <c r="K96" s="27"/>
      <c r="L96" s="27"/>
      <c r="M96" s="27"/>
      <c r="N96" s="27"/>
      <c r="O96" s="178"/>
      <c r="P96" s="178"/>
      <c r="Q96" s="178"/>
      <c r="R96" s="178"/>
      <c r="S96" s="178"/>
      <c r="T96" s="178"/>
      <c r="U96" s="178"/>
      <c r="V96" s="178"/>
      <c r="W96" s="178"/>
      <c r="X96" s="577"/>
      <c r="Y96" s="577"/>
      <c r="Z96" s="178"/>
      <c r="AA96" s="178"/>
      <c r="AB96" s="178"/>
      <c r="AC96" s="178"/>
      <c r="AD96" s="178"/>
      <c r="AE96" s="178"/>
      <c r="AF96" s="178"/>
      <c r="AG96" s="178"/>
      <c r="AH96" s="178"/>
      <c r="AI96" s="178"/>
      <c r="AJ96" s="178"/>
      <c r="AK96" s="178"/>
      <c r="AL96" s="178"/>
      <c r="AM96" s="178"/>
      <c r="AN96" s="178"/>
      <c r="AO96" s="178"/>
      <c r="AP96" s="178"/>
      <c r="AQ96" s="178"/>
      <c r="AR96" s="178"/>
      <c r="AS96" s="178"/>
      <c r="AT96" s="178"/>
      <c r="AU96" s="178"/>
      <c r="AV96" s="178"/>
      <c r="AW96" s="178"/>
      <c r="AX96" s="178"/>
      <c r="AY96" s="178"/>
      <c r="AZ96" s="178"/>
      <c r="BA96" s="178"/>
      <c r="BB96" s="178"/>
      <c r="BC96" s="178"/>
      <c r="BD96" s="178"/>
      <c r="BE96" s="178"/>
      <c r="BF96" s="178"/>
      <c r="BG96" s="178"/>
      <c r="BH96" s="178"/>
      <c r="BI96" s="178"/>
      <c r="BJ96" s="178"/>
      <c r="BK96" s="178"/>
      <c r="BL96" s="178"/>
      <c r="BM96" s="27"/>
      <c r="BN96" s="27"/>
    </row>
    <row r="97" spans="1:66">
      <c r="A97" s="27"/>
      <c r="B97" s="27"/>
      <c r="C97" s="27"/>
      <c r="D97" s="27"/>
      <c r="E97" s="27"/>
      <c r="F97" s="27"/>
      <c r="G97" s="27"/>
      <c r="H97" s="27"/>
      <c r="I97" s="27"/>
      <c r="J97" s="27"/>
      <c r="K97" s="27"/>
      <c r="L97" s="27"/>
      <c r="M97" s="27"/>
      <c r="N97" s="27"/>
      <c r="O97" s="178"/>
      <c r="P97" s="178"/>
      <c r="Q97" s="178"/>
      <c r="R97" s="178"/>
      <c r="S97" s="178"/>
      <c r="T97" s="178"/>
      <c r="U97" s="178"/>
      <c r="V97" s="178"/>
      <c r="W97" s="178"/>
      <c r="X97" s="577"/>
      <c r="Y97" s="577"/>
      <c r="Z97" s="178"/>
      <c r="AA97" s="178"/>
      <c r="AB97" s="178"/>
      <c r="AC97" s="178"/>
      <c r="AD97" s="178"/>
      <c r="AE97" s="178"/>
      <c r="AF97" s="178"/>
      <c r="AG97" s="178"/>
      <c r="AH97" s="178"/>
      <c r="AI97" s="178"/>
      <c r="AJ97" s="178"/>
      <c r="AK97" s="178"/>
      <c r="AL97" s="178"/>
      <c r="AM97" s="178"/>
      <c r="AN97" s="178"/>
      <c r="AO97" s="178"/>
      <c r="AP97" s="178"/>
      <c r="AQ97" s="178"/>
      <c r="AR97" s="178"/>
      <c r="AS97" s="178"/>
      <c r="AT97" s="178"/>
      <c r="AU97" s="178"/>
      <c r="AV97" s="178"/>
      <c r="AW97" s="178"/>
      <c r="AX97" s="178"/>
      <c r="AY97" s="178"/>
      <c r="AZ97" s="178"/>
      <c r="BA97" s="178"/>
      <c r="BB97" s="178"/>
      <c r="BC97" s="178"/>
      <c r="BD97" s="178"/>
      <c r="BE97" s="178"/>
      <c r="BF97" s="178"/>
      <c r="BG97" s="178"/>
      <c r="BH97" s="178"/>
      <c r="BI97" s="178"/>
      <c r="BJ97" s="178"/>
      <c r="BK97" s="178"/>
      <c r="BL97" s="178"/>
      <c r="BM97" s="27"/>
      <c r="BN97" s="27"/>
    </row>
    <row r="98" spans="1:66">
      <c r="A98" s="27"/>
      <c r="B98" s="27"/>
      <c r="C98" s="27"/>
      <c r="D98" s="27"/>
      <c r="E98" s="27"/>
      <c r="F98" s="27"/>
      <c r="G98" s="27"/>
      <c r="H98" s="27"/>
      <c r="I98" s="27"/>
      <c r="J98" s="27"/>
      <c r="K98" s="27"/>
      <c r="L98" s="27"/>
      <c r="M98" s="27"/>
      <c r="N98" s="27"/>
      <c r="O98" s="178"/>
      <c r="P98" s="178"/>
      <c r="Q98" s="178"/>
      <c r="R98" s="178"/>
      <c r="S98" s="178"/>
      <c r="T98" s="178"/>
      <c r="U98" s="178"/>
      <c r="V98" s="178"/>
      <c r="W98" s="178"/>
      <c r="X98" s="577"/>
      <c r="Y98" s="577"/>
      <c r="Z98" s="178"/>
      <c r="AA98" s="178"/>
      <c r="AB98" s="178"/>
      <c r="AC98" s="178"/>
      <c r="AD98" s="178"/>
      <c r="AE98" s="178"/>
      <c r="AF98" s="178"/>
      <c r="AG98" s="178"/>
      <c r="AH98" s="178"/>
      <c r="AI98" s="178"/>
      <c r="AJ98" s="178"/>
      <c r="AK98" s="178"/>
      <c r="AL98" s="178"/>
      <c r="AM98" s="178"/>
      <c r="AN98" s="178"/>
      <c r="AO98" s="178"/>
      <c r="AP98" s="178"/>
      <c r="AQ98" s="178"/>
      <c r="AR98" s="178"/>
      <c r="AS98" s="178"/>
      <c r="AT98" s="178"/>
      <c r="AU98" s="178"/>
      <c r="AV98" s="178"/>
      <c r="AW98" s="178"/>
      <c r="AX98" s="178"/>
      <c r="AY98" s="178"/>
      <c r="AZ98" s="178"/>
      <c r="BA98" s="178"/>
      <c r="BB98" s="178"/>
      <c r="BC98" s="178"/>
      <c r="BD98" s="178"/>
      <c r="BE98" s="178"/>
      <c r="BF98" s="178"/>
      <c r="BG98" s="178"/>
      <c r="BH98" s="178"/>
      <c r="BI98" s="178"/>
      <c r="BJ98" s="178"/>
      <c r="BK98" s="178"/>
      <c r="BL98" s="178"/>
      <c r="BM98" s="27"/>
      <c r="BN98" s="27"/>
    </row>
    <row r="99" spans="1:66">
      <c r="A99" s="27"/>
      <c r="B99" s="27"/>
      <c r="C99" s="27"/>
      <c r="D99" s="27"/>
      <c r="E99" s="27"/>
      <c r="F99" s="27"/>
      <c r="G99" s="27"/>
      <c r="H99" s="27"/>
      <c r="I99" s="27"/>
      <c r="J99" s="27"/>
      <c r="K99" s="27"/>
      <c r="L99" s="27"/>
      <c r="M99" s="27"/>
      <c r="N99" s="27"/>
      <c r="O99" s="178"/>
      <c r="P99" s="178"/>
      <c r="Q99" s="178"/>
      <c r="R99" s="178"/>
      <c r="S99" s="178"/>
      <c r="T99" s="178"/>
      <c r="U99" s="178"/>
      <c r="V99" s="178"/>
      <c r="W99" s="178"/>
      <c r="X99" s="577"/>
      <c r="Y99" s="577"/>
      <c r="Z99" s="178"/>
      <c r="AA99" s="178"/>
      <c r="AB99" s="178"/>
      <c r="AC99" s="178"/>
      <c r="AD99" s="178"/>
      <c r="AE99" s="178"/>
      <c r="AF99" s="178"/>
      <c r="AG99" s="178"/>
      <c r="AH99" s="178"/>
      <c r="AI99" s="178"/>
      <c r="AJ99" s="178"/>
      <c r="AK99" s="178"/>
      <c r="AL99" s="178"/>
      <c r="AM99" s="178"/>
      <c r="AN99" s="178"/>
      <c r="AO99" s="178"/>
      <c r="AP99" s="178"/>
      <c r="AQ99" s="178"/>
      <c r="AR99" s="178"/>
      <c r="AS99" s="178"/>
      <c r="AT99" s="178"/>
      <c r="AU99" s="178"/>
      <c r="AV99" s="178"/>
      <c r="AW99" s="178"/>
      <c r="AX99" s="178"/>
      <c r="AY99" s="178"/>
      <c r="AZ99" s="178"/>
      <c r="BA99" s="178"/>
      <c r="BB99" s="178"/>
      <c r="BC99" s="178"/>
      <c r="BD99" s="178"/>
      <c r="BE99" s="178"/>
      <c r="BF99" s="178"/>
      <c r="BG99" s="178"/>
      <c r="BH99" s="178"/>
      <c r="BI99" s="178"/>
      <c r="BJ99" s="178"/>
      <c r="BK99" s="178"/>
      <c r="BL99" s="178"/>
      <c r="BM99" s="27"/>
      <c r="BN99" s="27"/>
    </row>
    <row r="100" spans="1:66">
      <c r="A100" s="27"/>
      <c r="B100" s="27"/>
      <c r="C100" s="27"/>
      <c r="D100" s="27"/>
      <c r="E100" s="27"/>
      <c r="F100" s="27"/>
      <c r="G100" s="27"/>
      <c r="H100" s="27"/>
      <c r="I100" s="27"/>
      <c r="J100" s="27"/>
      <c r="K100" s="27"/>
      <c r="L100" s="27"/>
      <c r="M100" s="27"/>
      <c r="N100" s="27"/>
      <c r="O100" s="178"/>
      <c r="P100" s="178"/>
      <c r="Q100" s="178"/>
      <c r="R100" s="178"/>
      <c r="S100" s="178"/>
      <c r="T100" s="178"/>
      <c r="U100" s="178"/>
      <c r="V100" s="178"/>
      <c r="W100" s="178"/>
      <c r="X100" s="577"/>
      <c r="Y100" s="577"/>
      <c r="Z100" s="178"/>
      <c r="AA100" s="178"/>
      <c r="AB100" s="178"/>
      <c r="AC100" s="178"/>
      <c r="AD100" s="178"/>
      <c r="AE100" s="178"/>
      <c r="AF100" s="178"/>
      <c r="AG100" s="178"/>
      <c r="AH100" s="178"/>
      <c r="AI100" s="178"/>
      <c r="AJ100" s="178"/>
      <c r="AK100" s="178"/>
      <c r="AL100" s="178"/>
      <c r="AM100" s="178"/>
      <c r="AN100" s="178"/>
      <c r="AO100" s="178"/>
      <c r="AP100" s="178"/>
      <c r="AQ100" s="178"/>
      <c r="AR100" s="178"/>
      <c r="AS100" s="178"/>
      <c r="AT100" s="178"/>
      <c r="AU100" s="178"/>
      <c r="AV100" s="178"/>
      <c r="AW100" s="178"/>
      <c r="AX100" s="178"/>
      <c r="AY100" s="178"/>
      <c r="AZ100" s="178"/>
      <c r="BA100" s="178"/>
      <c r="BB100" s="178"/>
      <c r="BC100" s="178"/>
      <c r="BD100" s="178"/>
      <c r="BE100" s="178"/>
      <c r="BF100" s="178"/>
      <c r="BG100" s="178"/>
      <c r="BH100" s="178"/>
      <c r="BI100" s="178"/>
      <c r="BJ100" s="178"/>
      <c r="BK100" s="178"/>
      <c r="BL100" s="178"/>
      <c r="BM100" s="27"/>
      <c r="BN100" s="27"/>
    </row>
    <row r="101" spans="1:66">
      <c r="A101" s="27"/>
      <c r="B101" s="27"/>
      <c r="C101" s="27"/>
      <c r="D101" s="27"/>
      <c r="E101" s="27"/>
      <c r="F101" s="27"/>
      <c r="G101" s="27"/>
      <c r="H101" s="27"/>
      <c r="I101" s="27"/>
      <c r="J101" s="27"/>
      <c r="K101" s="27"/>
      <c r="L101" s="27"/>
      <c r="M101" s="27"/>
      <c r="N101" s="27"/>
      <c r="O101" s="178"/>
      <c r="P101" s="178"/>
      <c r="Q101" s="178"/>
      <c r="R101" s="178"/>
      <c r="S101" s="178"/>
      <c r="T101" s="178"/>
      <c r="U101" s="178"/>
      <c r="V101" s="178"/>
      <c r="W101" s="178"/>
      <c r="X101" s="577"/>
      <c r="Y101" s="577"/>
      <c r="Z101" s="178"/>
      <c r="AA101" s="178"/>
      <c r="AB101" s="178"/>
      <c r="AC101" s="178"/>
      <c r="AD101" s="178"/>
      <c r="AE101" s="178"/>
      <c r="AF101" s="178"/>
      <c r="AG101" s="178"/>
      <c r="AH101" s="178"/>
      <c r="AI101" s="178"/>
      <c r="AJ101" s="178"/>
      <c r="AK101" s="178"/>
      <c r="AL101" s="178"/>
      <c r="AM101" s="178"/>
      <c r="AN101" s="178"/>
      <c r="AO101" s="178"/>
      <c r="AP101" s="178"/>
      <c r="AQ101" s="178"/>
      <c r="AR101" s="178"/>
      <c r="AS101" s="178"/>
      <c r="AT101" s="178"/>
      <c r="AU101" s="178"/>
      <c r="AV101" s="178"/>
      <c r="AW101" s="178"/>
      <c r="AX101" s="178"/>
      <c r="AY101" s="178"/>
      <c r="AZ101" s="178"/>
      <c r="BA101" s="178"/>
      <c r="BB101" s="178"/>
      <c r="BC101" s="178"/>
      <c r="BD101" s="178"/>
      <c r="BE101" s="178"/>
      <c r="BF101" s="178"/>
      <c r="BG101" s="178"/>
      <c r="BH101" s="178"/>
      <c r="BI101" s="178"/>
      <c r="BJ101" s="178"/>
      <c r="BK101" s="178"/>
      <c r="BL101" s="178"/>
      <c r="BM101" s="27"/>
      <c r="BN101" s="27"/>
    </row>
    <row r="102" spans="1:66">
      <c r="A102" s="27"/>
      <c r="B102" s="27"/>
      <c r="C102" s="27"/>
      <c r="D102" s="27"/>
      <c r="E102" s="27"/>
      <c r="F102" s="27"/>
      <c r="G102" s="27"/>
      <c r="H102" s="27"/>
      <c r="I102" s="27"/>
      <c r="J102" s="27"/>
      <c r="K102" s="27"/>
      <c r="L102" s="27"/>
      <c r="M102" s="27"/>
      <c r="N102" s="27"/>
      <c r="O102" s="178"/>
      <c r="P102" s="178"/>
      <c r="Q102" s="178"/>
      <c r="R102" s="178"/>
      <c r="S102" s="178"/>
      <c r="T102" s="178"/>
      <c r="U102" s="178"/>
      <c r="V102" s="178"/>
      <c r="W102" s="178"/>
      <c r="X102" s="577"/>
      <c r="Y102" s="577"/>
      <c r="Z102" s="178"/>
      <c r="AA102" s="178"/>
      <c r="AB102" s="178"/>
      <c r="AC102" s="178"/>
      <c r="AD102" s="178"/>
      <c r="AE102" s="178"/>
      <c r="AF102" s="178"/>
      <c r="AG102" s="178"/>
      <c r="AH102" s="178"/>
      <c r="AI102" s="178"/>
      <c r="AJ102" s="178"/>
      <c r="AK102" s="178"/>
      <c r="AL102" s="178"/>
      <c r="AM102" s="178"/>
      <c r="AN102" s="178"/>
      <c r="AO102" s="178"/>
      <c r="AP102" s="178"/>
      <c r="AQ102" s="178"/>
      <c r="AR102" s="178"/>
      <c r="AS102" s="178"/>
      <c r="AT102" s="178"/>
      <c r="AU102" s="178"/>
      <c r="AV102" s="178"/>
      <c r="AW102" s="178"/>
      <c r="AX102" s="178"/>
      <c r="AY102" s="178"/>
      <c r="AZ102" s="178"/>
      <c r="BA102" s="178"/>
      <c r="BB102" s="178"/>
      <c r="BC102" s="178"/>
      <c r="BD102" s="178"/>
      <c r="BE102" s="178"/>
      <c r="BF102" s="178"/>
      <c r="BG102" s="178"/>
      <c r="BH102" s="178"/>
      <c r="BI102" s="178"/>
      <c r="BJ102" s="178"/>
      <c r="BK102" s="178"/>
      <c r="BL102" s="178"/>
      <c r="BM102" s="27"/>
      <c r="BN102" s="27"/>
    </row>
    <row r="103" spans="1:66">
      <c r="A103" s="27"/>
      <c r="B103" s="27"/>
      <c r="C103" s="27"/>
      <c r="D103" s="27"/>
      <c r="E103" s="27"/>
      <c r="F103" s="27"/>
      <c r="G103" s="27"/>
      <c r="H103" s="27"/>
      <c r="I103" s="27"/>
      <c r="J103" s="27"/>
      <c r="K103" s="27"/>
      <c r="L103" s="27"/>
      <c r="M103" s="27"/>
      <c r="N103" s="27"/>
      <c r="O103" s="178"/>
      <c r="P103" s="178"/>
      <c r="Q103" s="178"/>
      <c r="R103" s="178"/>
      <c r="S103" s="178"/>
      <c r="T103" s="178"/>
      <c r="U103" s="178"/>
      <c r="V103" s="178"/>
      <c r="W103" s="178"/>
      <c r="X103" s="577"/>
      <c r="Y103" s="577"/>
      <c r="Z103" s="178"/>
      <c r="AA103" s="178"/>
      <c r="AB103" s="178"/>
      <c r="AC103" s="178"/>
      <c r="AD103" s="178"/>
      <c r="AE103" s="178"/>
      <c r="AF103" s="178"/>
      <c r="AG103" s="178"/>
      <c r="AH103" s="178"/>
      <c r="AI103" s="178"/>
      <c r="AJ103" s="178"/>
      <c r="AK103" s="178"/>
      <c r="AL103" s="178"/>
      <c r="AM103" s="178"/>
      <c r="AN103" s="178"/>
      <c r="AO103" s="178"/>
      <c r="AP103" s="178"/>
      <c r="AQ103" s="178"/>
      <c r="AR103" s="178"/>
      <c r="AS103" s="178"/>
      <c r="AT103" s="178"/>
      <c r="AU103" s="178"/>
      <c r="AV103" s="178"/>
      <c r="AW103" s="178"/>
      <c r="AX103" s="178"/>
      <c r="AY103" s="178"/>
      <c r="AZ103" s="178"/>
      <c r="BA103" s="178"/>
      <c r="BB103" s="178"/>
      <c r="BC103" s="178"/>
      <c r="BD103" s="178"/>
      <c r="BE103" s="178"/>
      <c r="BF103" s="178"/>
      <c r="BG103" s="178"/>
      <c r="BH103" s="178"/>
      <c r="BI103" s="178"/>
      <c r="BJ103" s="178"/>
      <c r="BK103" s="178"/>
      <c r="BL103" s="178"/>
      <c r="BM103" s="27"/>
      <c r="BN103" s="27"/>
    </row>
    <row r="104" spans="1:66">
      <c r="A104" s="27"/>
      <c r="B104" s="27"/>
      <c r="C104" s="27"/>
      <c r="D104" s="27"/>
      <c r="E104" s="27"/>
      <c r="F104" s="27"/>
      <c r="G104" s="27"/>
      <c r="H104" s="27"/>
      <c r="I104" s="27"/>
      <c r="J104" s="27"/>
      <c r="K104" s="27"/>
      <c r="L104" s="27"/>
      <c r="M104" s="27"/>
      <c r="N104" s="27"/>
      <c r="O104" s="178"/>
      <c r="P104" s="178"/>
      <c r="Q104" s="178"/>
      <c r="R104" s="178"/>
      <c r="S104" s="178"/>
      <c r="T104" s="178"/>
      <c r="U104" s="178"/>
      <c r="V104" s="178"/>
      <c r="W104" s="178"/>
      <c r="X104" s="577"/>
      <c r="Y104" s="577"/>
      <c r="Z104" s="178"/>
      <c r="AA104" s="178"/>
      <c r="AB104" s="178"/>
      <c r="AC104" s="178"/>
      <c r="AD104" s="178"/>
      <c r="AE104" s="178"/>
      <c r="AF104" s="178"/>
      <c r="AG104" s="178"/>
      <c r="AH104" s="178"/>
      <c r="AI104" s="178"/>
      <c r="AJ104" s="178"/>
      <c r="AK104" s="178"/>
      <c r="AL104" s="178"/>
      <c r="AM104" s="178"/>
      <c r="AN104" s="178"/>
      <c r="AO104" s="178"/>
      <c r="AP104" s="178"/>
      <c r="AQ104" s="178"/>
      <c r="AR104" s="178"/>
      <c r="AS104" s="178"/>
      <c r="AT104" s="178"/>
      <c r="AU104" s="178"/>
      <c r="AV104" s="178"/>
      <c r="AW104" s="178"/>
      <c r="AX104" s="178"/>
      <c r="AY104" s="178"/>
      <c r="AZ104" s="178"/>
      <c r="BA104" s="178"/>
      <c r="BB104" s="178"/>
      <c r="BC104" s="178"/>
      <c r="BD104" s="178"/>
      <c r="BE104" s="178"/>
      <c r="BF104" s="178"/>
      <c r="BG104" s="178"/>
      <c r="BH104" s="178"/>
      <c r="BI104" s="178"/>
      <c r="BJ104" s="178"/>
      <c r="BK104" s="178"/>
      <c r="BL104" s="178"/>
      <c r="BM104" s="27"/>
      <c r="BN104" s="27"/>
    </row>
    <row r="105" spans="1:66">
      <c r="A105" s="27"/>
      <c r="B105" s="27"/>
      <c r="C105" s="27"/>
      <c r="D105" s="27"/>
      <c r="E105" s="27"/>
      <c r="F105" s="27"/>
      <c r="G105" s="27"/>
      <c r="H105" s="27"/>
      <c r="I105" s="27"/>
      <c r="J105" s="27"/>
      <c r="K105" s="27"/>
      <c r="L105" s="27"/>
      <c r="M105" s="27"/>
      <c r="N105" s="27"/>
      <c r="O105" s="178"/>
      <c r="P105" s="178"/>
      <c r="Q105" s="178"/>
      <c r="R105" s="178"/>
      <c r="S105" s="178"/>
      <c r="T105" s="178"/>
      <c r="U105" s="178"/>
      <c r="V105" s="178"/>
      <c r="W105" s="178"/>
      <c r="X105" s="577"/>
      <c r="Y105" s="577"/>
      <c r="Z105" s="178"/>
      <c r="AA105" s="178"/>
      <c r="AB105" s="178"/>
      <c r="AC105" s="178"/>
      <c r="AD105" s="178"/>
      <c r="AE105" s="178"/>
      <c r="AF105" s="178"/>
      <c r="AG105" s="178"/>
      <c r="AH105" s="178"/>
      <c r="AI105" s="178"/>
      <c r="AJ105" s="178"/>
      <c r="AK105" s="178"/>
      <c r="AL105" s="178"/>
      <c r="AM105" s="178"/>
      <c r="AN105" s="178"/>
      <c r="AO105" s="178"/>
      <c r="AP105" s="178"/>
      <c r="AQ105" s="178"/>
      <c r="AR105" s="178"/>
      <c r="AS105" s="178"/>
      <c r="AT105" s="178"/>
      <c r="AU105" s="178"/>
      <c r="AV105" s="178"/>
      <c r="AW105" s="178"/>
      <c r="AX105" s="178"/>
      <c r="AY105" s="178"/>
      <c r="AZ105" s="178"/>
      <c r="BA105" s="178"/>
      <c r="BB105" s="178"/>
      <c r="BC105" s="178"/>
      <c r="BD105" s="178"/>
      <c r="BE105" s="178"/>
      <c r="BF105" s="178"/>
      <c r="BG105" s="178"/>
      <c r="BH105" s="178"/>
      <c r="BI105" s="178"/>
      <c r="BJ105" s="178"/>
      <c r="BK105" s="178"/>
      <c r="BL105" s="178"/>
      <c r="BM105" s="27"/>
      <c r="BN105" s="27"/>
    </row>
    <row r="106" spans="1:66">
      <c r="A106" s="27"/>
      <c r="B106" s="27"/>
      <c r="C106" s="27"/>
      <c r="D106" s="27"/>
      <c r="E106" s="27"/>
      <c r="F106" s="27"/>
      <c r="G106" s="27"/>
      <c r="H106" s="27"/>
      <c r="I106" s="27"/>
      <c r="J106" s="27"/>
      <c r="K106" s="27"/>
      <c r="L106" s="27"/>
      <c r="M106" s="27"/>
      <c r="N106" s="27"/>
      <c r="O106" s="178"/>
      <c r="P106" s="178"/>
      <c r="Q106" s="178"/>
      <c r="R106" s="178"/>
      <c r="S106" s="178"/>
      <c r="T106" s="178"/>
      <c r="U106" s="178"/>
      <c r="V106" s="178"/>
      <c r="W106" s="178"/>
      <c r="X106" s="577"/>
      <c r="Y106" s="577"/>
      <c r="Z106" s="178"/>
      <c r="AA106" s="178"/>
      <c r="AB106" s="178"/>
      <c r="AC106" s="178"/>
      <c r="AD106" s="178"/>
      <c r="AE106" s="178"/>
      <c r="AF106" s="178"/>
      <c r="AG106" s="178"/>
      <c r="AH106" s="178"/>
      <c r="AI106" s="178"/>
      <c r="AJ106" s="178"/>
      <c r="AK106" s="178"/>
      <c r="AL106" s="178"/>
      <c r="AM106" s="178"/>
      <c r="AN106" s="178"/>
      <c r="AO106" s="178"/>
      <c r="AP106" s="178"/>
      <c r="AQ106" s="178"/>
      <c r="AR106" s="178"/>
      <c r="AS106" s="178"/>
      <c r="AT106" s="178"/>
      <c r="AU106" s="178"/>
      <c r="AV106" s="178"/>
      <c r="AW106" s="178"/>
      <c r="AX106" s="178"/>
      <c r="AY106" s="178"/>
      <c r="AZ106" s="178"/>
      <c r="BA106" s="178"/>
      <c r="BB106" s="178"/>
      <c r="BC106" s="178"/>
      <c r="BD106" s="178"/>
      <c r="BE106" s="178"/>
      <c r="BF106" s="178"/>
      <c r="BG106" s="178"/>
      <c r="BH106" s="178"/>
      <c r="BI106" s="178"/>
      <c r="BJ106" s="178"/>
      <c r="BK106" s="178"/>
      <c r="BL106" s="178"/>
      <c r="BM106" s="27"/>
      <c r="BN106" s="27"/>
    </row>
    <row r="107" spans="1:66">
      <c r="A107" s="27"/>
      <c r="B107" s="27"/>
      <c r="C107" s="27"/>
      <c r="D107" s="27"/>
      <c r="E107" s="27"/>
      <c r="F107" s="27"/>
      <c r="G107" s="27"/>
      <c r="H107" s="27"/>
      <c r="I107" s="27"/>
      <c r="J107" s="27"/>
      <c r="K107" s="27"/>
      <c r="L107" s="27"/>
      <c r="M107" s="27"/>
      <c r="N107" s="27"/>
      <c r="O107" s="178"/>
      <c r="P107" s="178"/>
      <c r="Q107" s="178"/>
      <c r="R107" s="178"/>
      <c r="S107" s="178"/>
      <c r="T107" s="178"/>
      <c r="U107" s="178"/>
      <c r="V107" s="178"/>
      <c r="W107" s="178"/>
      <c r="X107" s="577"/>
      <c r="Y107" s="577"/>
      <c r="Z107" s="178"/>
      <c r="AA107" s="178"/>
      <c r="AB107" s="178"/>
      <c r="AC107" s="178"/>
      <c r="AD107" s="178"/>
      <c r="AE107" s="178"/>
      <c r="AF107" s="178"/>
      <c r="AG107" s="178"/>
      <c r="AH107" s="178"/>
      <c r="AI107" s="178"/>
      <c r="AJ107" s="178"/>
      <c r="AK107" s="178"/>
      <c r="AL107" s="178"/>
      <c r="AM107" s="178"/>
      <c r="AN107" s="178"/>
      <c r="AO107" s="178"/>
      <c r="AP107" s="178"/>
      <c r="AQ107" s="178"/>
      <c r="AR107" s="178"/>
      <c r="AS107" s="178"/>
      <c r="AT107" s="178"/>
      <c r="AU107" s="178"/>
      <c r="AV107" s="178"/>
      <c r="AW107" s="178"/>
      <c r="AX107" s="178"/>
      <c r="AY107" s="178"/>
      <c r="AZ107" s="178"/>
      <c r="BA107" s="178"/>
      <c r="BB107" s="178"/>
      <c r="BC107" s="178"/>
      <c r="BD107" s="178"/>
      <c r="BE107" s="178"/>
      <c r="BF107" s="178"/>
      <c r="BG107" s="178"/>
      <c r="BH107" s="178"/>
      <c r="BI107" s="178"/>
      <c r="BJ107" s="178"/>
      <c r="BK107" s="178"/>
      <c r="BL107" s="178"/>
      <c r="BM107" s="27"/>
      <c r="BN107" s="27"/>
    </row>
    <row r="108" spans="1:66">
      <c r="A108" s="27"/>
      <c r="B108" s="27"/>
      <c r="C108" s="27"/>
      <c r="D108" s="27"/>
      <c r="E108" s="27"/>
      <c r="F108" s="27"/>
      <c r="G108" s="27"/>
      <c r="H108" s="27"/>
      <c r="I108" s="27"/>
      <c r="J108" s="27"/>
      <c r="K108" s="27"/>
      <c r="L108" s="27"/>
      <c r="M108" s="27"/>
      <c r="N108" s="27"/>
      <c r="O108" s="178"/>
      <c r="P108" s="178"/>
      <c r="Q108" s="178"/>
      <c r="R108" s="178"/>
      <c r="S108" s="178"/>
      <c r="T108" s="178"/>
      <c r="U108" s="178"/>
      <c r="V108" s="178"/>
      <c r="W108" s="178"/>
      <c r="X108" s="577"/>
      <c r="Y108" s="577"/>
      <c r="Z108" s="178"/>
      <c r="AA108" s="178"/>
      <c r="AB108" s="178"/>
      <c r="AC108" s="178"/>
      <c r="AD108" s="178"/>
      <c r="AE108" s="178"/>
      <c r="AF108" s="178"/>
      <c r="AG108" s="178"/>
      <c r="AH108" s="178"/>
      <c r="AI108" s="178"/>
      <c r="AJ108" s="178"/>
      <c r="AK108" s="178"/>
      <c r="AL108" s="178"/>
      <c r="AM108" s="178"/>
      <c r="AN108" s="178"/>
      <c r="AO108" s="178"/>
      <c r="AP108" s="178"/>
      <c r="AQ108" s="178"/>
      <c r="AR108" s="178"/>
      <c r="AS108" s="178"/>
      <c r="AT108" s="178"/>
      <c r="AU108" s="178"/>
      <c r="AV108" s="178"/>
      <c r="AW108" s="178"/>
      <c r="AX108" s="178"/>
      <c r="AY108" s="178"/>
      <c r="AZ108" s="178"/>
      <c r="BA108" s="178"/>
      <c r="BB108" s="178"/>
      <c r="BC108" s="178"/>
      <c r="BD108" s="178"/>
      <c r="BE108" s="178"/>
      <c r="BF108" s="178"/>
      <c r="BG108" s="178"/>
      <c r="BH108" s="178"/>
      <c r="BI108" s="178"/>
      <c r="BJ108" s="178"/>
      <c r="BK108" s="178"/>
      <c r="BL108" s="178"/>
      <c r="BM108" s="27"/>
      <c r="BN108" s="27"/>
    </row>
    <row r="109" spans="1:66">
      <c r="A109" s="27"/>
      <c r="B109" s="27"/>
      <c r="C109" s="27"/>
      <c r="D109" s="27"/>
      <c r="E109" s="27"/>
      <c r="F109" s="27"/>
      <c r="G109" s="27"/>
      <c r="H109" s="27"/>
      <c r="I109" s="27"/>
      <c r="J109" s="27"/>
      <c r="K109" s="27"/>
      <c r="L109" s="27"/>
      <c r="M109" s="27"/>
      <c r="N109" s="27"/>
      <c r="O109" s="178"/>
      <c r="P109" s="178"/>
      <c r="Q109" s="178"/>
      <c r="R109" s="178"/>
      <c r="S109" s="178"/>
      <c r="T109" s="178"/>
      <c r="U109" s="178"/>
      <c r="V109" s="178"/>
      <c r="W109" s="178"/>
      <c r="X109" s="577"/>
      <c r="Y109" s="577"/>
      <c r="Z109" s="178"/>
      <c r="AA109" s="178"/>
      <c r="AB109" s="178"/>
      <c r="AC109" s="178"/>
      <c r="AD109" s="178"/>
      <c r="AE109" s="178"/>
      <c r="AF109" s="178"/>
      <c r="AG109" s="178"/>
      <c r="AH109" s="178"/>
      <c r="AI109" s="178"/>
      <c r="AJ109" s="178"/>
      <c r="AK109" s="178"/>
      <c r="AL109" s="178"/>
      <c r="AM109" s="178"/>
      <c r="AN109" s="178"/>
      <c r="AO109" s="178"/>
      <c r="AP109" s="178"/>
      <c r="AQ109" s="178"/>
      <c r="AR109" s="178"/>
      <c r="AS109" s="178"/>
      <c r="AT109" s="178"/>
      <c r="AU109" s="178"/>
      <c r="AV109" s="178"/>
      <c r="AW109" s="178"/>
      <c r="AX109" s="178"/>
      <c r="AY109" s="178"/>
      <c r="AZ109" s="178"/>
      <c r="BA109" s="178"/>
      <c r="BB109" s="178"/>
      <c r="BC109" s="178"/>
      <c r="BD109" s="178"/>
      <c r="BE109" s="178"/>
      <c r="BF109" s="178"/>
      <c r="BG109" s="178"/>
      <c r="BH109" s="178"/>
      <c r="BI109" s="178"/>
      <c r="BJ109" s="178"/>
      <c r="BK109" s="178"/>
      <c r="BL109" s="178"/>
      <c r="BM109" s="27"/>
      <c r="BN109" s="27"/>
    </row>
    <row r="110" spans="1:66">
      <c r="A110" s="27"/>
      <c r="B110" s="27"/>
      <c r="C110" s="27"/>
      <c r="D110" s="27"/>
      <c r="E110" s="27"/>
      <c r="F110" s="27"/>
      <c r="G110" s="27"/>
      <c r="H110" s="27"/>
      <c r="I110" s="27"/>
      <c r="J110" s="27"/>
      <c r="K110" s="27"/>
      <c r="L110" s="27"/>
      <c r="M110" s="27"/>
      <c r="N110" s="27"/>
      <c r="O110" s="178"/>
      <c r="P110" s="178"/>
      <c r="Q110" s="178"/>
      <c r="R110" s="178"/>
      <c r="S110" s="178"/>
      <c r="T110" s="178"/>
      <c r="U110" s="178"/>
      <c r="V110" s="178"/>
      <c r="W110" s="178"/>
      <c r="X110" s="577"/>
      <c r="Y110" s="577"/>
      <c r="Z110" s="178"/>
      <c r="AA110" s="178"/>
      <c r="AB110" s="178"/>
      <c r="AC110" s="178"/>
      <c r="AD110" s="178"/>
      <c r="AE110" s="178"/>
      <c r="AF110" s="178"/>
      <c r="AG110" s="178"/>
      <c r="AH110" s="178"/>
      <c r="AI110" s="178"/>
      <c r="AJ110" s="178"/>
      <c r="AK110" s="178"/>
      <c r="AL110" s="178"/>
      <c r="AM110" s="178"/>
      <c r="AN110" s="178"/>
      <c r="AO110" s="178"/>
      <c r="AP110" s="178"/>
      <c r="AQ110" s="178"/>
      <c r="AR110" s="178"/>
      <c r="AS110" s="178"/>
      <c r="AT110" s="178"/>
      <c r="AU110" s="178"/>
      <c r="AV110" s="178"/>
      <c r="AW110" s="178"/>
      <c r="AX110" s="178"/>
      <c r="AY110" s="178"/>
      <c r="AZ110" s="178"/>
      <c r="BA110" s="178"/>
      <c r="BB110" s="178"/>
      <c r="BC110" s="178"/>
      <c r="BD110" s="178"/>
      <c r="BE110" s="178"/>
      <c r="BF110" s="178"/>
      <c r="BG110" s="178"/>
      <c r="BH110" s="178"/>
      <c r="BI110" s="178"/>
      <c r="BJ110" s="178"/>
      <c r="BK110" s="178"/>
      <c r="BL110" s="178"/>
      <c r="BM110" s="27"/>
      <c r="BN110" s="27"/>
    </row>
    <row r="111" spans="1:66">
      <c r="A111" s="27"/>
      <c r="B111" s="27"/>
      <c r="C111" s="27"/>
      <c r="D111" s="27"/>
      <c r="E111" s="27"/>
      <c r="F111" s="27"/>
      <c r="G111" s="27"/>
      <c r="H111" s="27"/>
      <c r="I111" s="27"/>
      <c r="J111" s="27"/>
      <c r="K111" s="27"/>
      <c r="L111" s="27"/>
      <c r="M111" s="27"/>
      <c r="N111" s="27"/>
      <c r="O111" s="178"/>
      <c r="P111" s="178"/>
      <c r="Q111" s="178"/>
      <c r="R111" s="178"/>
      <c r="S111" s="178"/>
      <c r="T111" s="178"/>
      <c r="U111" s="178"/>
      <c r="V111" s="178"/>
      <c r="W111" s="178"/>
      <c r="X111" s="577"/>
      <c r="Y111" s="577"/>
      <c r="Z111" s="178"/>
      <c r="AA111" s="178"/>
      <c r="AB111" s="178"/>
      <c r="AC111" s="178"/>
      <c r="AD111" s="178"/>
      <c r="AE111" s="178"/>
      <c r="AF111" s="178"/>
      <c r="AG111" s="178"/>
      <c r="AH111" s="178"/>
      <c r="AI111" s="178"/>
      <c r="AJ111" s="178"/>
      <c r="AK111" s="178"/>
      <c r="AL111" s="178"/>
      <c r="AM111" s="178"/>
      <c r="AN111" s="178"/>
      <c r="AO111" s="178"/>
      <c r="AP111" s="178"/>
      <c r="AQ111" s="178"/>
      <c r="AR111" s="178"/>
      <c r="AS111" s="178"/>
      <c r="AT111" s="178"/>
      <c r="AU111" s="178"/>
      <c r="AV111" s="178"/>
      <c r="AW111" s="178"/>
      <c r="AX111" s="178"/>
      <c r="AY111" s="178"/>
      <c r="AZ111" s="178"/>
      <c r="BA111" s="178"/>
      <c r="BB111" s="178"/>
      <c r="BC111" s="178"/>
      <c r="BD111" s="178"/>
      <c r="BE111" s="178"/>
      <c r="BF111" s="178"/>
      <c r="BG111" s="178"/>
      <c r="BH111" s="178"/>
      <c r="BI111" s="178"/>
      <c r="BJ111" s="178"/>
      <c r="BK111" s="178"/>
      <c r="BL111" s="178"/>
      <c r="BM111" s="27"/>
      <c r="BN111" s="27"/>
    </row>
    <row r="112" spans="1:66">
      <c r="A112" s="27"/>
      <c r="B112" s="27"/>
      <c r="C112" s="27"/>
      <c r="D112" s="27"/>
      <c r="E112" s="27"/>
      <c r="F112" s="27"/>
      <c r="G112" s="27"/>
      <c r="H112" s="27"/>
      <c r="I112" s="27"/>
      <c r="J112" s="27"/>
      <c r="K112" s="27"/>
      <c r="L112" s="27"/>
      <c r="M112" s="27"/>
      <c r="N112" s="27"/>
      <c r="O112" s="178"/>
      <c r="P112" s="178"/>
      <c r="Q112" s="178"/>
      <c r="R112" s="178"/>
      <c r="S112" s="178"/>
      <c r="T112" s="178"/>
      <c r="U112" s="178"/>
      <c r="V112" s="178"/>
      <c r="W112" s="178"/>
      <c r="X112" s="577"/>
      <c r="Y112" s="577"/>
      <c r="Z112" s="178"/>
      <c r="AA112" s="178"/>
      <c r="AB112" s="178"/>
      <c r="AC112" s="178"/>
      <c r="AD112" s="178"/>
      <c r="AE112" s="178"/>
      <c r="AF112" s="178"/>
      <c r="AG112" s="178"/>
      <c r="AH112" s="178"/>
      <c r="AI112" s="178"/>
      <c r="AJ112" s="178"/>
      <c r="AK112" s="178"/>
      <c r="AL112" s="178"/>
      <c r="AM112" s="178"/>
      <c r="AN112" s="178"/>
      <c r="AO112" s="178"/>
      <c r="AP112" s="178"/>
      <c r="AQ112" s="178"/>
      <c r="AR112" s="178"/>
      <c r="AS112" s="178"/>
      <c r="AT112" s="178"/>
      <c r="AU112" s="178"/>
      <c r="AV112" s="178"/>
      <c r="AW112" s="178"/>
      <c r="AX112" s="178"/>
      <c r="AY112" s="178"/>
      <c r="AZ112" s="178"/>
      <c r="BA112" s="178"/>
      <c r="BB112" s="178"/>
      <c r="BC112" s="178"/>
      <c r="BD112" s="178"/>
      <c r="BE112" s="178"/>
      <c r="BF112" s="178"/>
      <c r="BG112" s="178"/>
      <c r="BH112" s="178"/>
      <c r="BI112" s="178"/>
      <c r="BJ112" s="178"/>
      <c r="BK112" s="178"/>
      <c r="BL112" s="178"/>
      <c r="BM112" s="27"/>
      <c r="BN112" s="27"/>
    </row>
    <row r="113" spans="1:66">
      <c r="A113" s="27"/>
      <c r="B113" s="27"/>
      <c r="C113" s="27"/>
      <c r="D113" s="27"/>
      <c r="E113" s="27"/>
      <c r="F113" s="27"/>
      <c r="G113" s="27"/>
      <c r="H113" s="27"/>
      <c r="I113" s="27"/>
      <c r="J113" s="27"/>
      <c r="K113" s="27"/>
      <c r="L113" s="27"/>
      <c r="M113" s="27"/>
      <c r="N113" s="27"/>
      <c r="O113" s="178"/>
      <c r="P113" s="178"/>
      <c r="Q113" s="178"/>
      <c r="R113" s="178"/>
      <c r="S113" s="178"/>
      <c r="T113" s="178"/>
      <c r="U113" s="178"/>
      <c r="V113" s="178"/>
      <c r="W113" s="178"/>
      <c r="X113" s="577"/>
      <c r="Y113" s="577"/>
      <c r="Z113" s="178"/>
      <c r="AA113" s="178"/>
      <c r="AB113" s="178"/>
      <c r="AC113" s="178"/>
      <c r="AD113" s="178"/>
      <c r="AE113" s="178"/>
      <c r="AF113" s="178"/>
      <c r="AG113" s="178"/>
      <c r="AH113" s="178"/>
      <c r="AI113" s="178"/>
      <c r="AJ113" s="178"/>
      <c r="AK113" s="178"/>
      <c r="AL113" s="178"/>
      <c r="AM113" s="178"/>
      <c r="AN113" s="178"/>
      <c r="AO113" s="178"/>
      <c r="AP113" s="178"/>
      <c r="AQ113" s="178"/>
      <c r="AR113" s="178"/>
      <c r="AS113" s="178"/>
      <c r="AT113" s="178"/>
      <c r="AU113" s="178"/>
      <c r="AV113" s="178"/>
      <c r="AW113" s="178"/>
      <c r="AX113" s="178"/>
      <c r="AY113" s="178"/>
      <c r="AZ113" s="178"/>
      <c r="BA113" s="178"/>
      <c r="BB113" s="178"/>
      <c r="BC113" s="178"/>
      <c r="BD113" s="178"/>
      <c r="BE113" s="178"/>
      <c r="BF113" s="178"/>
      <c r="BG113" s="178"/>
      <c r="BH113" s="178"/>
      <c r="BI113" s="178"/>
      <c r="BJ113" s="178"/>
      <c r="BK113" s="178"/>
      <c r="BL113" s="178"/>
      <c r="BM113" s="27"/>
      <c r="BN113" s="27"/>
    </row>
    <row r="114" spans="1:66">
      <c r="A114" s="27"/>
      <c r="B114" s="27"/>
      <c r="C114" s="27"/>
      <c r="D114" s="27"/>
      <c r="E114" s="27"/>
      <c r="F114" s="27"/>
      <c r="G114" s="27"/>
      <c r="H114" s="27"/>
      <c r="I114" s="27"/>
      <c r="J114" s="27"/>
      <c r="K114" s="27"/>
      <c r="L114" s="27"/>
      <c r="M114" s="27"/>
      <c r="N114" s="27"/>
      <c r="O114" s="178"/>
      <c r="P114" s="178"/>
      <c r="Q114" s="178"/>
      <c r="R114" s="178"/>
      <c r="S114" s="178"/>
      <c r="T114" s="178"/>
      <c r="U114" s="178"/>
      <c r="V114" s="178"/>
      <c r="W114" s="178"/>
      <c r="X114" s="577"/>
      <c r="Y114" s="577"/>
      <c r="Z114" s="178"/>
      <c r="AA114" s="178"/>
      <c r="AB114" s="178"/>
      <c r="AC114" s="178"/>
      <c r="AD114" s="178"/>
      <c r="AE114" s="178"/>
      <c r="AF114" s="178"/>
      <c r="AG114" s="178"/>
      <c r="AH114" s="178"/>
      <c r="AI114" s="178"/>
      <c r="AJ114" s="178"/>
      <c r="AK114" s="178"/>
      <c r="AL114" s="178"/>
      <c r="AM114" s="178"/>
      <c r="AN114" s="178"/>
      <c r="AO114" s="178"/>
      <c r="AP114" s="178"/>
      <c r="AQ114" s="178"/>
      <c r="AR114" s="178"/>
      <c r="AS114" s="178"/>
      <c r="AT114" s="178"/>
      <c r="AU114" s="178"/>
      <c r="AV114" s="178"/>
      <c r="AW114" s="178"/>
      <c r="AX114" s="178"/>
      <c r="AY114" s="178"/>
      <c r="AZ114" s="178"/>
      <c r="BA114" s="178"/>
      <c r="BB114" s="178"/>
      <c r="BC114" s="178"/>
      <c r="BD114" s="178"/>
      <c r="BE114" s="178"/>
      <c r="BF114" s="178"/>
      <c r="BG114" s="178"/>
      <c r="BH114" s="178"/>
      <c r="BI114" s="178"/>
      <c r="BJ114" s="178"/>
      <c r="BK114" s="178"/>
      <c r="BL114" s="178"/>
      <c r="BM114" s="27"/>
      <c r="BN114" s="27"/>
    </row>
    <row r="115" spans="1:66">
      <c r="A115" s="27"/>
      <c r="B115" s="27"/>
      <c r="C115" s="27"/>
      <c r="D115" s="27"/>
      <c r="E115" s="27"/>
      <c r="F115" s="27"/>
      <c r="G115" s="27"/>
      <c r="H115" s="27"/>
      <c r="I115" s="27"/>
      <c r="J115" s="27"/>
      <c r="K115" s="27"/>
      <c r="L115" s="27"/>
      <c r="M115" s="27"/>
      <c r="N115" s="27"/>
      <c r="O115" s="178"/>
      <c r="P115" s="178"/>
      <c r="Q115" s="178"/>
      <c r="R115" s="178"/>
      <c r="S115" s="178"/>
      <c r="T115" s="178"/>
      <c r="U115" s="178"/>
      <c r="V115" s="178"/>
      <c r="W115" s="178"/>
      <c r="X115" s="577"/>
      <c r="Y115" s="577"/>
      <c r="Z115" s="178"/>
      <c r="AA115" s="178"/>
      <c r="AB115" s="178"/>
      <c r="AC115" s="178"/>
      <c r="AD115" s="178"/>
      <c r="AE115" s="178"/>
      <c r="AF115" s="178"/>
      <c r="AG115" s="178"/>
      <c r="AH115" s="178"/>
      <c r="AI115" s="178"/>
      <c r="AJ115" s="178"/>
      <c r="AK115" s="178"/>
      <c r="AL115" s="178"/>
      <c r="AM115" s="178"/>
      <c r="AN115" s="178"/>
      <c r="AO115" s="178"/>
      <c r="AP115" s="178"/>
      <c r="AQ115" s="178"/>
      <c r="AR115" s="178"/>
      <c r="AS115" s="178"/>
      <c r="AT115" s="178"/>
      <c r="AU115" s="178"/>
      <c r="AV115" s="178"/>
      <c r="AW115" s="178"/>
      <c r="AX115" s="178"/>
      <c r="AY115" s="178"/>
      <c r="AZ115" s="178"/>
      <c r="BA115" s="178"/>
      <c r="BB115" s="178"/>
      <c r="BC115" s="178"/>
      <c r="BD115" s="178"/>
      <c r="BE115" s="178"/>
      <c r="BF115" s="178"/>
      <c r="BG115" s="178"/>
      <c r="BH115" s="178"/>
      <c r="BI115" s="178"/>
      <c r="BJ115" s="178"/>
      <c r="BK115" s="178"/>
      <c r="BL115" s="178"/>
      <c r="BM115" s="27"/>
      <c r="BN115" s="27"/>
    </row>
    <row r="116" spans="1:66">
      <c r="A116" s="27"/>
      <c r="B116" s="27"/>
      <c r="C116" s="27"/>
      <c r="D116" s="27"/>
      <c r="E116" s="27"/>
      <c r="F116" s="27"/>
      <c r="G116" s="27"/>
      <c r="H116" s="27"/>
      <c r="I116" s="27"/>
      <c r="J116" s="27"/>
      <c r="K116" s="27"/>
      <c r="L116" s="27"/>
      <c r="M116" s="27"/>
      <c r="N116" s="27"/>
      <c r="O116" s="178"/>
      <c r="P116" s="178"/>
      <c r="Q116" s="178"/>
      <c r="R116" s="178"/>
      <c r="S116" s="178"/>
      <c r="T116" s="178"/>
      <c r="U116" s="178"/>
      <c r="V116" s="178"/>
      <c r="W116" s="178"/>
      <c r="X116" s="577"/>
      <c r="Y116" s="577"/>
      <c r="Z116" s="178"/>
      <c r="AA116" s="178"/>
      <c r="AB116" s="178"/>
      <c r="AC116" s="178"/>
      <c r="AD116" s="178"/>
      <c r="AE116" s="178"/>
      <c r="AF116" s="178"/>
      <c r="AG116" s="178"/>
      <c r="AH116" s="178"/>
      <c r="AI116" s="178"/>
      <c r="AJ116" s="178"/>
      <c r="AK116" s="178"/>
      <c r="AL116" s="178"/>
      <c r="AM116" s="178"/>
      <c r="AN116" s="178"/>
      <c r="AO116" s="178"/>
      <c r="AP116" s="178"/>
      <c r="AQ116" s="178"/>
      <c r="AR116" s="178"/>
      <c r="AS116" s="178"/>
      <c r="AT116" s="178"/>
      <c r="AU116" s="178"/>
      <c r="AV116" s="178"/>
      <c r="AW116" s="178"/>
      <c r="AX116" s="178"/>
      <c r="AY116" s="178"/>
      <c r="AZ116" s="178"/>
      <c r="BA116" s="178"/>
      <c r="BB116" s="178"/>
      <c r="BC116" s="178"/>
      <c r="BD116" s="178"/>
      <c r="BE116" s="178"/>
      <c r="BF116" s="178"/>
      <c r="BG116" s="178"/>
      <c r="BH116" s="178"/>
      <c r="BI116" s="178"/>
      <c r="BJ116" s="178"/>
      <c r="BK116" s="178"/>
      <c r="BL116" s="178"/>
      <c r="BM116" s="27"/>
      <c r="BN116" s="27"/>
    </row>
    <row r="117" spans="1:66">
      <c r="A117" s="27"/>
      <c r="B117" s="27"/>
      <c r="C117" s="27"/>
      <c r="D117" s="27"/>
      <c r="E117" s="27"/>
      <c r="F117" s="27"/>
      <c r="G117" s="27"/>
      <c r="H117" s="27"/>
      <c r="I117" s="27"/>
      <c r="J117" s="27"/>
      <c r="K117" s="27"/>
      <c r="L117" s="27"/>
      <c r="M117" s="27"/>
      <c r="N117" s="27"/>
      <c r="O117" s="178"/>
      <c r="P117" s="178"/>
      <c r="Q117" s="178"/>
      <c r="R117" s="178"/>
      <c r="S117" s="178"/>
      <c r="T117" s="178"/>
      <c r="U117" s="178"/>
      <c r="V117" s="178"/>
      <c r="W117" s="178"/>
      <c r="X117" s="577"/>
      <c r="Y117" s="577"/>
      <c r="Z117" s="178"/>
      <c r="AA117" s="178"/>
      <c r="AB117" s="178"/>
      <c r="AC117" s="178"/>
      <c r="AD117" s="178"/>
      <c r="AE117" s="178"/>
      <c r="AF117" s="178"/>
      <c r="AG117" s="178"/>
      <c r="AH117" s="178"/>
      <c r="AI117" s="178"/>
      <c r="AJ117" s="178"/>
      <c r="AK117" s="178"/>
      <c r="AL117" s="178"/>
      <c r="AM117" s="178"/>
      <c r="AN117" s="178"/>
      <c r="AO117" s="178"/>
      <c r="AP117" s="178"/>
      <c r="AQ117" s="178"/>
      <c r="AR117" s="178"/>
      <c r="AS117" s="178"/>
      <c r="AT117" s="178"/>
      <c r="AU117" s="178"/>
      <c r="AV117" s="178"/>
      <c r="AW117" s="178"/>
      <c r="AX117" s="178"/>
      <c r="AY117" s="178"/>
      <c r="AZ117" s="178"/>
      <c r="BA117" s="178"/>
      <c r="BB117" s="178"/>
      <c r="BC117" s="178"/>
      <c r="BD117" s="178"/>
      <c r="BE117" s="178"/>
      <c r="BF117" s="178"/>
      <c r="BG117" s="178"/>
      <c r="BH117" s="178"/>
      <c r="BI117" s="178"/>
      <c r="BJ117" s="178"/>
      <c r="BK117" s="178"/>
      <c r="BL117" s="178"/>
      <c r="BM117" s="27"/>
      <c r="BN117" s="27"/>
    </row>
    <row r="118" spans="1:66">
      <c r="A118" s="27"/>
      <c r="B118" s="27"/>
      <c r="C118" s="27"/>
      <c r="D118" s="27"/>
      <c r="E118" s="27"/>
      <c r="F118" s="27"/>
      <c r="G118" s="27"/>
      <c r="H118" s="27"/>
      <c r="I118" s="27"/>
      <c r="J118" s="27"/>
      <c r="K118" s="27"/>
      <c r="L118" s="27"/>
      <c r="M118" s="27"/>
      <c r="N118" s="27"/>
      <c r="O118" s="178"/>
      <c r="P118" s="178"/>
      <c r="Q118" s="178"/>
      <c r="R118" s="178"/>
      <c r="S118" s="178"/>
      <c r="T118" s="178"/>
      <c r="U118" s="178"/>
      <c r="V118" s="178"/>
      <c r="W118" s="178"/>
      <c r="X118" s="577"/>
      <c r="Y118" s="577"/>
      <c r="Z118" s="178"/>
      <c r="AA118" s="178"/>
      <c r="AB118" s="178"/>
      <c r="AC118" s="178"/>
      <c r="AD118" s="178"/>
      <c r="AE118" s="178"/>
      <c r="AF118" s="178"/>
      <c r="AG118" s="178"/>
      <c r="AH118" s="178"/>
      <c r="AI118" s="178"/>
      <c r="AJ118" s="178"/>
      <c r="AK118" s="178"/>
      <c r="AL118" s="178"/>
      <c r="AM118" s="178"/>
      <c r="AN118" s="178"/>
      <c r="AO118" s="178"/>
      <c r="AP118" s="178"/>
      <c r="AQ118" s="178"/>
      <c r="AR118" s="178"/>
      <c r="AS118" s="178"/>
      <c r="AT118" s="178"/>
      <c r="AU118" s="178"/>
      <c r="AV118" s="178"/>
      <c r="AW118" s="178"/>
      <c r="AX118" s="178"/>
      <c r="AY118" s="178"/>
      <c r="AZ118" s="178"/>
      <c r="BA118" s="178"/>
      <c r="BB118" s="178"/>
      <c r="BC118" s="178"/>
      <c r="BD118" s="178"/>
      <c r="BE118" s="178"/>
      <c r="BF118" s="178"/>
      <c r="BG118" s="178"/>
      <c r="BH118" s="178"/>
      <c r="BI118" s="178"/>
      <c r="BJ118" s="178"/>
      <c r="BK118" s="178"/>
      <c r="BL118" s="178"/>
      <c r="BM118" s="27"/>
      <c r="BN118" s="27"/>
    </row>
    <row r="119" spans="1:66">
      <c r="A119" s="27"/>
      <c r="B119" s="27"/>
      <c r="C119" s="27"/>
      <c r="D119" s="27"/>
      <c r="E119" s="27"/>
      <c r="F119" s="27"/>
      <c r="G119" s="27"/>
      <c r="H119" s="27"/>
      <c r="I119" s="27"/>
      <c r="J119" s="27"/>
      <c r="K119" s="27"/>
      <c r="L119" s="27"/>
      <c r="M119" s="27"/>
      <c r="N119" s="27"/>
      <c r="O119" s="178"/>
      <c r="P119" s="178"/>
      <c r="Q119" s="178"/>
      <c r="R119" s="178"/>
      <c r="S119" s="178"/>
      <c r="T119" s="178"/>
      <c r="U119" s="178"/>
      <c r="V119" s="178"/>
      <c r="W119" s="178"/>
      <c r="X119" s="577"/>
      <c r="Y119" s="577"/>
      <c r="Z119" s="178"/>
      <c r="AA119" s="178"/>
      <c r="AB119" s="178"/>
      <c r="AC119" s="178"/>
      <c r="AD119" s="178"/>
      <c r="AE119" s="178"/>
      <c r="AF119" s="178"/>
      <c r="AG119" s="178"/>
      <c r="AH119" s="178"/>
      <c r="AI119" s="178"/>
      <c r="AJ119" s="178"/>
      <c r="AK119" s="178"/>
      <c r="AL119" s="178"/>
      <c r="AM119" s="178"/>
      <c r="AN119" s="178"/>
      <c r="AO119" s="178"/>
      <c r="AP119" s="178"/>
      <c r="AQ119" s="178"/>
      <c r="AR119" s="178"/>
      <c r="AS119" s="178"/>
      <c r="AT119" s="178"/>
      <c r="AU119" s="178"/>
      <c r="AV119" s="178"/>
      <c r="AW119" s="178"/>
      <c r="AX119" s="178"/>
      <c r="AY119" s="178"/>
      <c r="AZ119" s="178"/>
      <c r="BA119" s="178"/>
      <c r="BB119" s="178"/>
      <c r="BC119" s="178"/>
      <c r="BD119" s="178"/>
      <c r="BE119" s="178"/>
      <c r="BF119" s="178"/>
      <c r="BG119" s="178"/>
      <c r="BH119" s="178"/>
      <c r="BI119" s="178"/>
      <c r="BJ119" s="178"/>
      <c r="BK119" s="178"/>
      <c r="BL119" s="178"/>
      <c r="BM119" s="27"/>
      <c r="BN119" s="27"/>
    </row>
    <row r="120" spans="1:66">
      <c r="A120" s="27"/>
      <c r="B120" s="27"/>
      <c r="C120" s="27"/>
      <c r="D120" s="27"/>
      <c r="E120" s="27"/>
      <c r="F120" s="27"/>
      <c r="G120" s="27"/>
      <c r="H120" s="27"/>
      <c r="I120" s="27"/>
      <c r="J120" s="27"/>
      <c r="K120" s="27"/>
      <c r="L120" s="27"/>
      <c r="M120" s="27"/>
      <c r="N120" s="27"/>
      <c r="O120" s="178"/>
      <c r="P120" s="178"/>
      <c r="Q120" s="178"/>
      <c r="R120" s="178"/>
      <c r="S120" s="178"/>
      <c r="T120" s="178"/>
      <c r="U120" s="178"/>
      <c r="V120" s="178"/>
      <c r="W120" s="178"/>
      <c r="X120" s="577"/>
      <c r="Y120" s="577"/>
      <c r="Z120" s="178"/>
      <c r="AA120" s="178"/>
      <c r="AB120" s="178"/>
      <c r="AC120" s="178"/>
      <c r="AD120" s="178"/>
      <c r="AE120" s="178"/>
      <c r="AF120" s="178"/>
      <c r="AG120" s="178"/>
      <c r="AH120" s="178"/>
      <c r="AI120" s="178"/>
      <c r="AJ120" s="178"/>
      <c r="AK120" s="178"/>
      <c r="AL120" s="178"/>
      <c r="AM120" s="178"/>
      <c r="AN120" s="178"/>
      <c r="AO120" s="178"/>
      <c r="AP120" s="178"/>
      <c r="AQ120" s="178"/>
      <c r="AR120" s="178"/>
      <c r="AS120" s="178"/>
      <c r="AT120" s="178"/>
      <c r="AU120" s="178"/>
      <c r="AV120" s="178"/>
      <c r="AW120" s="178"/>
      <c r="AX120" s="178"/>
      <c r="AY120" s="178"/>
      <c r="AZ120" s="178"/>
      <c r="BA120" s="178"/>
      <c r="BB120" s="178"/>
      <c r="BC120" s="178"/>
      <c r="BD120" s="178"/>
      <c r="BE120" s="178"/>
      <c r="BF120" s="178"/>
      <c r="BG120" s="178"/>
      <c r="BH120" s="178"/>
      <c r="BI120" s="178"/>
      <c r="BJ120" s="178"/>
      <c r="BK120" s="178"/>
      <c r="BL120" s="178"/>
      <c r="BM120" s="27"/>
      <c r="BN120" s="27"/>
    </row>
    <row r="121" spans="1:66">
      <c r="A121" s="27"/>
      <c r="B121" s="27"/>
      <c r="C121" s="27"/>
      <c r="D121" s="27"/>
      <c r="E121" s="27"/>
      <c r="F121" s="27"/>
      <c r="G121" s="27"/>
      <c r="H121" s="27"/>
      <c r="I121" s="27"/>
      <c r="J121" s="27"/>
      <c r="K121" s="27"/>
      <c r="L121" s="27"/>
      <c r="M121" s="27"/>
      <c r="N121" s="27"/>
      <c r="O121" s="178"/>
      <c r="P121" s="178"/>
      <c r="Q121" s="178"/>
      <c r="R121" s="178"/>
      <c r="S121" s="178"/>
      <c r="T121" s="178"/>
      <c r="U121" s="178"/>
      <c r="V121" s="178"/>
      <c r="W121" s="178"/>
      <c r="X121" s="577"/>
      <c r="Y121" s="577"/>
      <c r="Z121" s="178"/>
      <c r="AA121" s="178"/>
      <c r="AB121" s="178"/>
      <c r="AC121" s="178"/>
      <c r="AD121" s="178"/>
      <c r="AE121" s="178"/>
      <c r="AF121" s="178"/>
      <c r="AG121" s="178"/>
      <c r="AH121" s="178"/>
      <c r="AI121" s="178"/>
      <c r="AJ121" s="178"/>
      <c r="AK121" s="178"/>
      <c r="AL121" s="178"/>
      <c r="AM121" s="178"/>
      <c r="AN121" s="178"/>
      <c r="AO121" s="178"/>
      <c r="AP121" s="178"/>
      <c r="AQ121" s="178"/>
      <c r="AR121" s="178"/>
      <c r="AS121" s="178"/>
      <c r="AT121" s="178"/>
      <c r="AU121" s="178"/>
      <c r="AV121" s="178"/>
      <c r="AW121" s="178"/>
      <c r="AX121" s="178"/>
      <c r="AY121" s="178"/>
      <c r="AZ121" s="178"/>
      <c r="BA121" s="178"/>
      <c r="BB121" s="178"/>
      <c r="BC121" s="178"/>
      <c r="BD121" s="178"/>
      <c r="BE121" s="178"/>
      <c r="BF121" s="178"/>
      <c r="BG121" s="178"/>
      <c r="BH121" s="178"/>
      <c r="BI121" s="178"/>
      <c r="BJ121" s="178"/>
      <c r="BK121" s="178"/>
      <c r="BL121" s="178"/>
      <c r="BM121" s="27"/>
      <c r="BN121" s="27"/>
    </row>
    <row r="122" spans="1:66">
      <c r="A122" s="27"/>
      <c r="B122" s="27"/>
      <c r="C122" s="27"/>
      <c r="D122" s="27"/>
      <c r="E122" s="27"/>
      <c r="F122" s="27"/>
      <c r="G122" s="27"/>
      <c r="H122" s="27"/>
      <c r="I122" s="27"/>
      <c r="J122" s="27"/>
      <c r="K122" s="27"/>
      <c r="L122" s="27"/>
      <c r="M122" s="27"/>
      <c r="N122" s="27"/>
      <c r="O122" s="178"/>
      <c r="P122" s="178"/>
      <c r="Q122" s="178"/>
      <c r="R122" s="178"/>
      <c r="S122" s="178"/>
      <c r="T122" s="178"/>
      <c r="U122" s="178"/>
      <c r="V122" s="178"/>
      <c r="W122" s="178"/>
      <c r="X122" s="577"/>
      <c r="Y122" s="577"/>
      <c r="Z122" s="178"/>
      <c r="AA122" s="178"/>
      <c r="AB122" s="178"/>
      <c r="AC122" s="178"/>
      <c r="AD122" s="178"/>
      <c r="AE122" s="178"/>
      <c r="AF122" s="178"/>
      <c r="AG122" s="178"/>
      <c r="AH122" s="178"/>
      <c r="AI122" s="178"/>
      <c r="AJ122" s="178"/>
      <c r="AK122" s="178"/>
      <c r="AL122" s="178"/>
      <c r="AM122" s="178"/>
      <c r="AN122" s="178"/>
      <c r="AO122" s="178"/>
      <c r="AP122" s="178"/>
      <c r="AQ122" s="178"/>
      <c r="AR122" s="178"/>
      <c r="AS122" s="178"/>
      <c r="AT122" s="178"/>
      <c r="AU122" s="178"/>
      <c r="AV122" s="178"/>
      <c r="AW122" s="178"/>
      <c r="AX122" s="178"/>
      <c r="AY122" s="178"/>
      <c r="AZ122" s="178"/>
      <c r="BA122" s="178"/>
      <c r="BB122" s="178"/>
      <c r="BC122" s="178"/>
      <c r="BD122" s="178"/>
      <c r="BE122" s="178"/>
      <c r="BF122" s="178"/>
      <c r="BG122" s="178"/>
      <c r="BH122" s="178"/>
      <c r="BI122" s="178"/>
      <c r="BJ122" s="178"/>
      <c r="BK122" s="178"/>
      <c r="BL122" s="178"/>
      <c r="BM122" s="27"/>
      <c r="BN122" s="27"/>
    </row>
    <row r="123" spans="1:66">
      <c r="A123" s="27"/>
      <c r="B123" s="27"/>
      <c r="C123" s="27"/>
      <c r="D123" s="27"/>
      <c r="E123" s="27"/>
      <c r="F123" s="27"/>
      <c r="G123" s="27"/>
      <c r="H123" s="27"/>
      <c r="I123" s="27"/>
      <c r="J123" s="27"/>
      <c r="K123" s="27"/>
      <c r="L123" s="27"/>
      <c r="M123" s="27"/>
      <c r="N123" s="27"/>
      <c r="O123" s="178"/>
      <c r="P123" s="178"/>
      <c r="Q123" s="178"/>
      <c r="R123" s="178"/>
      <c r="S123" s="178"/>
      <c r="T123" s="178"/>
      <c r="U123" s="178"/>
      <c r="V123" s="178"/>
      <c r="W123" s="178"/>
      <c r="X123" s="577"/>
      <c r="Y123" s="577"/>
      <c r="Z123" s="178"/>
      <c r="AA123" s="178"/>
      <c r="AB123" s="178"/>
      <c r="AC123" s="178"/>
      <c r="AD123" s="178"/>
      <c r="AE123" s="178"/>
      <c r="AF123" s="178"/>
      <c r="AG123" s="178"/>
      <c r="AH123" s="178"/>
      <c r="AI123" s="178"/>
      <c r="AJ123" s="178"/>
      <c r="AK123" s="178"/>
      <c r="AL123" s="178"/>
      <c r="AM123" s="178"/>
      <c r="AN123" s="178"/>
      <c r="AO123" s="178"/>
      <c r="AP123" s="178"/>
      <c r="AQ123" s="178"/>
      <c r="AR123" s="178"/>
      <c r="AS123" s="178"/>
      <c r="AT123" s="178"/>
      <c r="AU123" s="178"/>
      <c r="AV123" s="178"/>
      <c r="AW123" s="178"/>
      <c r="AX123" s="178"/>
      <c r="AY123" s="178"/>
      <c r="AZ123" s="178"/>
      <c r="BA123" s="178"/>
      <c r="BB123" s="178"/>
      <c r="BC123" s="178"/>
      <c r="BD123" s="178"/>
      <c r="BE123" s="178"/>
      <c r="BF123" s="178"/>
      <c r="BG123" s="178"/>
      <c r="BH123" s="178"/>
      <c r="BI123" s="178"/>
      <c r="BJ123" s="178"/>
      <c r="BK123" s="178"/>
      <c r="BL123" s="178"/>
      <c r="BM123" s="27"/>
      <c r="BN123" s="27"/>
    </row>
    <row r="124" spans="1:66">
      <c r="A124" s="27"/>
      <c r="B124" s="27"/>
      <c r="C124" s="27"/>
      <c r="D124" s="27"/>
      <c r="E124" s="27"/>
      <c r="F124" s="27"/>
      <c r="G124" s="27"/>
      <c r="H124" s="27"/>
      <c r="I124" s="27"/>
      <c r="J124" s="27"/>
      <c r="K124" s="27"/>
      <c r="L124" s="27"/>
      <c r="M124" s="27"/>
      <c r="N124" s="27"/>
      <c r="O124" s="178"/>
      <c r="P124" s="178"/>
      <c r="Q124" s="178"/>
      <c r="R124" s="178"/>
      <c r="S124" s="178"/>
      <c r="T124" s="178"/>
      <c r="U124" s="178"/>
      <c r="V124" s="178"/>
      <c r="W124" s="178"/>
      <c r="X124" s="577"/>
      <c r="Y124" s="577"/>
      <c r="Z124" s="178"/>
      <c r="AA124" s="178"/>
      <c r="AB124" s="178"/>
      <c r="AC124" s="178"/>
      <c r="AD124" s="178"/>
      <c r="AE124" s="178"/>
      <c r="AF124" s="178"/>
      <c r="AG124" s="178"/>
      <c r="AH124" s="178"/>
      <c r="AI124" s="178"/>
      <c r="AJ124" s="178"/>
      <c r="AK124" s="178"/>
      <c r="AL124" s="178"/>
      <c r="AM124" s="178"/>
      <c r="AN124" s="178"/>
      <c r="AO124" s="178"/>
      <c r="AP124" s="178"/>
      <c r="AQ124" s="178"/>
      <c r="AR124" s="178"/>
      <c r="AS124" s="178"/>
      <c r="AT124" s="178"/>
      <c r="AU124" s="178"/>
      <c r="AV124" s="178"/>
      <c r="AW124" s="178"/>
      <c r="AX124" s="178"/>
      <c r="AY124" s="178"/>
      <c r="AZ124" s="178"/>
      <c r="BA124" s="178"/>
      <c r="BB124" s="178"/>
      <c r="BC124" s="178"/>
      <c r="BD124" s="178"/>
      <c r="BE124" s="178"/>
      <c r="BF124" s="178"/>
      <c r="BG124" s="178"/>
      <c r="BH124" s="178"/>
      <c r="BI124" s="178"/>
      <c r="BJ124" s="178"/>
      <c r="BK124" s="178"/>
      <c r="BL124" s="178"/>
      <c r="BM124" s="27"/>
      <c r="BN124" s="27"/>
    </row>
    <row r="125" spans="1:66">
      <c r="A125" s="27"/>
      <c r="B125" s="27"/>
      <c r="C125" s="27"/>
      <c r="D125" s="27"/>
      <c r="E125" s="27"/>
      <c r="F125" s="27"/>
      <c r="G125" s="27"/>
      <c r="H125" s="27"/>
      <c r="I125" s="27"/>
      <c r="J125" s="27"/>
      <c r="K125" s="27"/>
      <c r="L125" s="27"/>
      <c r="M125" s="27"/>
      <c r="N125" s="27"/>
      <c r="O125" s="178"/>
      <c r="P125" s="178"/>
      <c r="Q125" s="178"/>
      <c r="R125" s="178"/>
      <c r="S125" s="178"/>
      <c r="T125" s="178"/>
      <c r="U125" s="178"/>
      <c r="V125" s="178"/>
      <c r="W125" s="178"/>
      <c r="X125" s="577"/>
      <c r="Y125" s="577"/>
      <c r="Z125" s="178"/>
      <c r="AA125" s="178"/>
      <c r="AB125" s="178"/>
      <c r="AC125" s="178"/>
      <c r="AD125" s="178"/>
      <c r="AE125" s="178"/>
      <c r="AF125" s="178"/>
      <c r="AG125" s="178"/>
      <c r="AH125" s="178"/>
      <c r="AI125" s="178"/>
      <c r="AJ125" s="178"/>
      <c r="AK125" s="178"/>
      <c r="AL125" s="178"/>
      <c r="AM125" s="178"/>
      <c r="AN125" s="178"/>
      <c r="AO125" s="178"/>
      <c r="AP125" s="178"/>
      <c r="AQ125" s="178"/>
      <c r="AR125" s="178"/>
      <c r="AS125" s="178"/>
      <c r="AT125" s="178"/>
      <c r="AU125" s="178"/>
      <c r="AV125" s="178"/>
      <c r="AW125" s="178"/>
      <c r="AX125" s="178"/>
      <c r="AY125" s="178"/>
      <c r="AZ125" s="178"/>
      <c r="BA125" s="178"/>
      <c r="BB125" s="178"/>
      <c r="BC125" s="178"/>
      <c r="BD125" s="178"/>
      <c r="BE125" s="178"/>
      <c r="BF125" s="178"/>
      <c r="BG125" s="178"/>
      <c r="BH125" s="178"/>
      <c r="BI125" s="178"/>
      <c r="BJ125" s="178"/>
      <c r="BK125" s="178"/>
      <c r="BL125" s="178"/>
      <c r="BM125" s="27"/>
      <c r="BN125" s="27"/>
    </row>
    <row r="126" spans="1:66">
      <c r="A126" s="27"/>
      <c r="B126" s="27"/>
      <c r="C126" s="27"/>
      <c r="D126" s="27"/>
      <c r="E126" s="27"/>
      <c r="F126" s="27"/>
      <c r="G126" s="27"/>
      <c r="H126" s="27"/>
      <c r="I126" s="27"/>
      <c r="J126" s="27"/>
      <c r="K126" s="27"/>
      <c r="L126" s="27"/>
      <c r="M126" s="27"/>
      <c r="N126" s="27"/>
      <c r="O126" s="178"/>
      <c r="P126" s="178"/>
      <c r="Q126" s="178"/>
      <c r="R126" s="178"/>
      <c r="S126" s="178"/>
      <c r="T126" s="178"/>
      <c r="U126" s="178"/>
      <c r="V126" s="178"/>
      <c r="W126" s="178"/>
      <c r="X126" s="577"/>
      <c r="Y126" s="577"/>
      <c r="Z126" s="178"/>
      <c r="AA126" s="178"/>
      <c r="AB126" s="178"/>
      <c r="AC126" s="178"/>
      <c r="AD126" s="178"/>
      <c r="AE126" s="178"/>
      <c r="AF126" s="178"/>
      <c r="AG126" s="178"/>
      <c r="AH126" s="178"/>
      <c r="AI126" s="178"/>
      <c r="AJ126" s="178"/>
      <c r="AK126" s="178"/>
      <c r="AL126" s="178"/>
      <c r="AM126" s="178"/>
      <c r="AN126" s="178"/>
      <c r="AO126" s="178"/>
      <c r="AP126" s="178"/>
      <c r="AQ126" s="178"/>
      <c r="AR126" s="178"/>
      <c r="AS126" s="178"/>
      <c r="AT126" s="178"/>
      <c r="AU126" s="178"/>
      <c r="AV126" s="178"/>
      <c r="AW126" s="178"/>
      <c r="AX126" s="178"/>
      <c r="AY126" s="178"/>
      <c r="AZ126" s="178"/>
      <c r="BA126" s="178"/>
      <c r="BB126" s="178"/>
      <c r="BC126" s="178"/>
      <c r="BD126" s="178"/>
      <c r="BE126" s="178"/>
      <c r="BF126" s="178"/>
      <c r="BG126" s="178"/>
      <c r="BH126" s="178"/>
      <c r="BI126" s="178"/>
      <c r="BJ126" s="178"/>
      <c r="BK126" s="178"/>
      <c r="BL126" s="178"/>
      <c r="BM126" s="27"/>
      <c r="BN126" s="27"/>
    </row>
    <row r="127" spans="1:66">
      <c r="A127" s="27"/>
      <c r="B127" s="27"/>
      <c r="C127" s="27"/>
      <c r="D127" s="27"/>
      <c r="E127" s="27"/>
      <c r="F127" s="27"/>
      <c r="G127" s="27"/>
      <c r="H127" s="27"/>
      <c r="I127" s="27"/>
      <c r="J127" s="27"/>
      <c r="K127" s="27"/>
      <c r="L127" s="27"/>
      <c r="M127" s="27"/>
      <c r="N127" s="27"/>
      <c r="O127" s="178"/>
      <c r="P127" s="178"/>
      <c r="Q127" s="178"/>
      <c r="R127" s="178"/>
      <c r="S127" s="178"/>
      <c r="T127" s="178"/>
      <c r="U127" s="178"/>
      <c r="V127" s="178"/>
      <c r="W127" s="178"/>
      <c r="X127" s="577"/>
      <c r="Y127" s="577"/>
      <c r="Z127" s="178"/>
      <c r="AA127" s="178"/>
      <c r="AB127" s="178"/>
      <c r="AC127" s="178"/>
      <c r="AD127" s="178"/>
      <c r="AE127" s="178"/>
      <c r="AF127" s="178"/>
      <c r="AG127" s="178"/>
      <c r="AH127" s="178"/>
      <c r="AI127" s="178"/>
      <c r="AJ127" s="178"/>
      <c r="AK127" s="178"/>
      <c r="AL127" s="178"/>
      <c r="AM127" s="178"/>
      <c r="AN127" s="178"/>
      <c r="AO127" s="178"/>
      <c r="AP127" s="178"/>
      <c r="AQ127" s="178"/>
      <c r="AR127" s="178"/>
      <c r="AS127" s="178"/>
      <c r="AT127" s="178"/>
      <c r="AU127" s="178"/>
      <c r="AV127" s="178"/>
      <c r="AW127" s="178"/>
      <c r="AX127" s="178"/>
      <c r="AY127" s="178"/>
      <c r="AZ127" s="178"/>
      <c r="BA127" s="178"/>
      <c r="BB127" s="178"/>
      <c r="BC127" s="178"/>
      <c r="BD127" s="178"/>
      <c r="BE127" s="178"/>
      <c r="BF127" s="178"/>
      <c r="BG127" s="178"/>
      <c r="BH127" s="178"/>
      <c r="BI127" s="178"/>
      <c r="BJ127" s="178"/>
      <c r="BK127" s="178"/>
      <c r="BL127" s="178"/>
      <c r="BM127" s="27"/>
      <c r="BN127" s="27"/>
    </row>
    <row r="128" spans="1:66">
      <c r="A128" s="27"/>
      <c r="B128" s="27"/>
      <c r="C128" s="27"/>
      <c r="D128" s="27"/>
      <c r="E128" s="27"/>
      <c r="F128" s="27"/>
      <c r="G128" s="27"/>
      <c r="H128" s="27"/>
      <c r="I128" s="27"/>
      <c r="J128" s="27"/>
      <c r="K128" s="27"/>
      <c r="L128" s="27"/>
      <c r="M128" s="27"/>
      <c r="N128" s="27"/>
      <c r="O128" s="178"/>
      <c r="P128" s="178"/>
      <c r="Q128" s="178"/>
      <c r="R128" s="178"/>
      <c r="S128" s="178"/>
      <c r="T128" s="178"/>
      <c r="U128" s="178"/>
      <c r="V128" s="178"/>
      <c r="W128" s="178"/>
      <c r="X128" s="577"/>
      <c r="Y128" s="577"/>
      <c r="Z128" s="178"/>
      <c r="AA128" s="178"/>
      <c r="AB128" s="178"/>
      <c r="AC128" s="178"/>
      <c r="AD128" s="178"/>
      <c r="AE128" s="178"/>
      <c r="AF128" s="178"/>
      <c r="AG128" s="178"/>
      <c r="AH128" s="178"/>
      <c r="AI128" s="178"/>
      <c r="AJ128" s="178"/>
      <c r="AK128" s="178"/>
      <c r="AL128" s="178"/>
      <c r="AM128" s="178"/>
      <c r="AN128" s="178"/>
      <c r="AO128" s="178"/>
      <c r="AP128" s="178"/>
      <c r="AQ128" s="178"/>
      <c r="AR128" s="178"/>
      <c r="AS128" s="178"/>
      <c r="AT128" s="178"/>
      <c r="AU128" s="178"/>
      <c r="AV128" s="178"/>
      <c r="AW128" s="178"/>
      <c r="AX128" s="178"/>
      <c r="AY128" s="178"/>
      <c r="AZ128" s="178"/>
      <c r="BA128" s="178"/>
      <c r="BB128" s="178"/>
      <c r="BC128" s="178"/>
      <c r="BD128" s="178"/>
      <c r="BE128" s="178"/>
      <c r="BF128" s="178"/>
      <c r="BG128" s="178"/>
      <c r="BH128" s="178"/>
      <c r="BI128" s="178"/>
      <c r="BJ128" s="178"/>
      <c r="BK128" s="178"/>
      <c r="BL128" s="178"/>
      <c r="BM128" s="27"/>
      <c r="BN128" s="27"/>
    </row>
    <row r="129" spans="1:66">
      <c r="A129" s="27"/>
      <c r="B129" s="27"/>
      <c r="C129" s="27"/>
      <c r="D129" s="27"/>
      <c r="E129" s="27"/>
      <c r="F129" s="27"/>
      <c r="G129" s="27"/>
      <c r="H129" s="27"/>
      <c r="I129" s="27"/>
      <c r="J129" s="27"/>
      <c r="K129" s="27"/>
      <c r="L129" s="27"/>
      <c r="M129" s="27"/>
      <c r="N129" s="27"/>
      <c r="O129" s="178"/>
      <c r="P129" s="178"/>
      <c r="Q129" s="178"/>
      <c r="R129" s="178"/>
      <c r="S129" s="178"/>
      <c r="T129" s="178"/>
      <c r="U129" s="178"/>
      <c r="V129" s="178"/>
      <c r="W129" s="178"/>
      <c r="X129" s="577"/>
      <c r="Y129" s="577"/>
      <c r="Z129" s="178"/>
      <c r="AA129" s="178"/>
      <c r="AB129" s="178"/>
      <c r="AC129" s="178"/>
      <c r="AD129" s="178"/>
      <c r="AE129" s="178"/>
      <c r="AF129" s="178"/>
      <c r="AG129" s="178"/>
      <c r="AH129" s="178"/>
      <c r="AI129" s="178"/>
      <c r="AJ129" s="178"/>
      <c r="AK129" s="178"/>
      <c r="AL129" s="178"/>
      <c r="AM129" s="178"/>
      <c r="AN129" s="178"/>
      <c r="AO129" s="178"/>
      <c r="AP129" s="178"/>
      <c r="AQ129" s="178"/>
      <c r="AR129" s="178"/>
      <c r="AS129" s="178"/>
      <c r="AT129" s="178"/>
      <c r="AU129" s="178"/>
      <c r="AV129" s="178"/>
      <c r="AW129" s="178"/>
      <c r="AX129" s="178"/>
      <c r="AY129" s="178"/>
      <c r="AZ129" s="178"/>
      <c r="BA129" s="178"/>
      <c r="BB129" s="178"/>
      <c r="BC129" s="178"/>
      <c r="BD129" s="178"/>
      <c r="BE129" s="178"/>
      <c r="BF129" s="178"/>
      <c r="BG129" s="178"/>
      <c r="BH129" s="178"/>
      <c r="BI129" s="178"/>
      <c r="BJ129" s="178"/>
      <c r="BK129" s="178"/>
      <c r="BL129" s="178"/>
      <c r="BM129" s="27"/>
      <c r="BN129" s="27"/>
    </row>
    <row r="130" spans="1:66">
      <c r="A130" s="27"/>
      <c r="B130" s="27"/>
      <c r="C130" s="27"/>
      <c r="D130" s="27"/>
      <c r="E130" s="27"/>
      <c r="F130" s="27"/>
      <c r="G130" s="27"/>
      <c r="H130" s="27"/>
      <c r="I130" s="27"/>
      <c r="J130" s="27"/>
      <c r="K130" s="27"/>
      <c r="L130" s="27"/>
      <c r="M130" s="27"/>
      <c r="N130" s="27"/>
      <c r="O130" s="178"/>
      <c r="P130" s="178"/>
      <c r="Q130" s="178"/>
      <c r="R130" s="178"/>
      <c r="S130" s="178"/>
      <c r="T130" s="178"/>
      <c r="U130" s="178"/>
      <c r="V130" s="178"/>
      <c r="W130" s="178"/>
      <c r="X130" s="577"/>
      <c r="Y130" s="577"/>
      <c r="Z130" s="178"/>
      <c r="AA130" s="178"/>
      <c r="AB130" s="178"/>
      <c r="AC130" s="178"/>
      <c r="AD130" s="178"/>
      <c r="AE130" s="178"/>
      <c r="AF130" s="178"/>
      <c r="AG130" s="178"/>
      <c r="AH130" s="178"/>
      <c r="AI130" s="178"/>
      <c r="AJ130" s="178"/>
      <c r="AK130" s="178"/>
      <c r="AL130" s="178"/>
      <c r="AM130" s="178"/>
      <c r="AN130" s="178"/>
      <c r="AO130" s="178"/>
      <c r="AP130" s="178"/>
      <c r="AQ130" s="178"/>
      <c r="AR130" s="178"/>
      <c r="AS130" s="178"/>
      <c r="AT130" s="178"/>
      <c r="AU130" s="178"/>
      <c r="AV130" s="178"/>
      <c r="AW130" s="178"/>
      <c r="AX130" s="178"/>
      <c r="AY130" s="178"/>
      <c r="AZ130" s="178"/>
      <c r="BA130" s="178"/>
      <c r="BB130" s="178"/>
      <c r="BC130" s="178"/>
      <c r="BD130" s="178"/>
      <c r="BE130" s="178"/>
      <c r="BF130" s="178"/>
      <c r="BG130" s="178"/>
      <c r="BH130" s="178"/>
      <c r="BI130" s="178"/>
      <c r="BJ130" s="178"/>
      <c r="BK130" s="178"/>
      <c r="BL130" s="178"/>
      <c r="BM130" s="27"/>
      <c r="BN130" s="27"/>
    </row>
    <row r="131" spans="1:66">
      <c r="A131" s="27"/>
      <c r="B131" s="27"/>
      <c r="C131" s="27"/>
      <c r="D131" s="27"/>
      <c r="E131" s="27"/>
      <c r="F131" s="27"/>
      <c r="G131" s="27"/>
      <c r="H131" s="27"/>
      <c r="I131" s="27"/>
      <c r="J131" s="27"/>
      <c r="K131" s="27"/>
      <c r="L131" s="27"/>
      <c r="M131" s="27"/>
      <c r="N131" s="27"/>
      <c r="O131" s="178"/>
      <c r="P131" s="178"/>
      <c r="Q131" s="178"/>
      <c r="R131" s="178"/>
      <c r="S131" s="178"/>
      <c r="T131" s="178"/>
      <c r="U131" s="178"/>
      <c r="V131" s="178"/>
      <c r="W131" s="178"/>
      <c r="X131" s="178"/>
      <c r="Y131" s="577"/>
      <c r="Z131" s="178"/>
      <c r="AA131" s="178"/>
      <c r="AB131" s="178"/>
      <c r="AC131" s="178"/>
      <c r="AD131" s="178"/>
      <c r="AE131" s="178"/>
      <c r="AF131" s="178"/>
      <c r="AG131" s="178"/>
      <c r="AH131" s="178"/>
      <c r="AI131" s="178"/>
      <c r="AJ131" s="178"/>
      <c r="AK131" s="178"/>
      <c r="AL131" s="178"/>
      <c r="AM131" s="178"/>
      <c r="AN131" s="178"/>
      <c r="AO131" s="178"/>
      <c r="AP131" s="178"/>
      <c r="AQ131" s="178"/>
      <c r="AR131" s="178"/>
      <c r="AS131" s="178"/>
      <c r="AT131" s="178"/>
      <c r="AU131" s="178"/>
      <c r="AV131" s="178"/>
      <c r="AW131" s="178"/>
      <c r="AX131" s="178"/>
      <c r="AY131" s="178"/>
      <c r="AZ131" s="178"/>
      <c r="BA131" s="178"/>
      <c r="BB131" s="178"/>
      <c r="BC131" s="178"/>
      <c r="BD131" s="178"/>
      <c r="BE131" s="178"/>
      <c r="BF131" s="178"/>
      <c r="BG131" s="178"/>
      <c r="BH131" s="178"/>
      <c r="BI131" s="178"/>
      <c r="BJ131" s="178"/>
      <c r="BK131" s="178"/>
      <c r="BL131" s="178"/>
      <c r="BM131" s="27"/>
      <c r="BN131" s="27"/>
    </row>
    <row r="132" spans="1:66">
      <c r="A132" s="27"/>
      <c r="B132" s="27"/>
      <c r="C132" s="27"/>
      <c r="D132" s="27"/>
      <c r="E132" s="27"/>
      <c r="F132" s="27"/>
      <c r="G132" s="27"/>
      <c r="H132" s="27"/>
      <c r="I132" s="27"/>
      <c r="J132" s="27"/>
      <c r="K132" s="27"/>
      <c r="L132" s="27"/>
      <c r="M132" s="27"/>
      <c r="N132" s="27"/>
      <c r="O132" s="178"/>
      <c r="P132" s="178"/>
      <c r="Q132" s="178"/>
      <c r="R132" s="178"/>
      <c r="S132" s="178"/>
      <c r="T132" s="178"/>
      <c r="U132" s="178"/>
      <c r="V132" s="178"/>
      <c r="W132" s="178"/>
      <c r="X132" s="178"/>
      <c r="Y132" s="178"/>
      <c r="Z132" s="178"/>
      <c r="AA132" s="178"/>
      <c r="AB132" s="178"/>
      <c r="AC132" s="178"/>
      <c r="AD132" s="178"/>
      <c r="AE132" s="178"/>
      <c r="AF132" s="178"/>
      <c r="AG132" s="178"/>
      <c r="AH132" s="178"/>
      <c r="AI132" s="178"/>
      <c r="AJ132" s="178"/>
      <c r="AK132" s="178"/>
      <c r="AL132" s="178"/>
      <c r="AM132" s="178"/>
      <c r="AN132" s="178"/>
      <c r="AO132" s="178"/>
      <c r="AP132" s="178"/>
      <c r="AQ132" s="178"/>
      <c r="AR132" s="178"/>
      <c r="AS132" s="178"/>
      <c r="AT132" s="178"/>
      <c r="AU132" s="178"/>
      <c r="AV132" s="178"/>
      <c r="AW132" s="178"/>
      <c r="AX132" s="178"/>
      <c r="AY132" s="178"/>
      <c r="AZ132" s="178"/>
      <c r="BA132" s="178"/>
      <c r="BB132" s="178"/>
      <c r="BC132" s="178"/>
      <c r="BD132" s="178"/>
      <c r="BE132" s="178"/>
      <c r="BF132" s="178"/>
      <c r="BG132" s="178"/>
      <c r="BH132" s="178"/>
      <c r="BI132" s="178"/>
      <c r="BJ132" s="178"/>
      <c r="BK132" s="178"/>
      <c r="BL132" s="178"/>
      <c r="BM132" s="27"/>
      <c r="BN132" s="27"/>
    </row>
    <row r="133" spans="1:66">
      <c r="A133" s="27"/>
      <c r="B133" s="27"/>
      <c r="C133" s="27"/>
      <c r="D133" s="27"/>
      <c r="E133" s="27"/>
      <c r="F133" s="27"/>
      <c r="G133" s="27"/>
      <c r="H133" s="27"/>
      <c r="I133" s="27"/>
      <c r="J133" s="27"/>
      <c r="K133" s="27"/>
      <c r="L133" s="27"/>
      <c r="M133" s="27"/>
      <c r="N133" s="27"/>
      <c r="O133" s="178"/>
      <c r="P133" s="178"/>
      <c r="Q133" s="178"/>
      <c r="R133" s="178"/>
      <c r="S133" s="178"/>
      <c r="T133" s="178"/>
      <c r="U133" s="178"/>
      <c r="V133" s="178"/>
      <c r="W133" s="178"/>
      <c r="X133" s="178"/>
      <c r="Y133" s="178"/>
      <c r="Z133" s="178"/>
      <c r="AA133" s="178"/>
      <c r="AB133" s="178"/>
      <c r="AC133" s="178"/>
      <c r="AD133" s="178"/>
      <c r="AE133" s="178"/>
      <c r="AF133" s="178"/>
      <c r="AG133" s="178"/>
      <c r="AH133" s="178"/>
      <c r="AI133" s="178"/>
      <c r="AJ133" s="178"/>
      <c r="AK133" s="178"/>
      <c r="AL133" s="178"/>
      <c r="AM133" s="178"/>
      <c r="AN133" s="178"/>
      <c r="AO133" s="178"/>
      <c r="AP133" s="178"/>
      <c r="AQ133" s="178"/>
      <c r="AR133" s="178"/>
      <c r="AS133" s="178"/>
      <c r="AT133" s="178"/>
      <c r="AU133" s="178"/>
      <c r="AV133" s="178"/>
      <c r="AW133" s="178"/>
      <c r="AX133" s="178"/>
      <c r="AY133" s="178"/>
      <c r="AZ133" s="178"/>
      <c r="BA133" s="178"/>
      <c r="BB133" s="178"/>
      <c r="BC133" s="178"/>
      <c r="BD133" s="178"/>
      <c r="BE133" s="178"/>
      <c r="BF133" s="178"/>
      <c r="BG133" s="178"/>
      <c r="BH133" s="178"/>
      <c r="BI133" s="178"/>
      <c r="BJ133" s="178"/>
      <c r="BK133" s="178"/>
      <c r="BL133" s="178"/>
      <c r="BM133" s="27"/>
      <c r="BN133" s="27"/>
    </row>
    <row r="134" spans="1:66">
      <c r="A134" s="27"/>
      <c r="B134" s="27"/>
      <c r="C134" s="27"/>
      <c r="D134" s="27"/>
      <c r="E134" s="27"/>
      <c r="F134" s="27"/>
      <c r="G134" s="27"/>
      <c r="H134" s="27"/>
      <c r="I134" s="27"/>
      <c r="J134" s="27"/>
      <c r="K134" s="27"/>
      <c r="L134" s="27"/>
      <c r="M134" s="27"/>
      <c r="N134" s="27"/>
      <c r="O134" s="178"/>
      <c r="P134" s="178"/>
      <c r="Q134" s="178"/>
      <c r="R134" s="178"/>
      <c r="S134" s="178"/>
      <c r="T134" s="178"/>
      <c r="U134" s="178"/>
      <c r="V134" s="178"/>
      <c r="W134" s="178"/>
      <c r="X134" s="178"/>
      <c r="Y134" s="178"/>
      <c r="Z134" s="178"/>
      <c r="AA134" s="178"/>
      <c r="AB134" s="178"/>
      <c r="AC134" s="178"/>
      <c r="AD134" s="178"/>
      <c r="AE134" s="178"/>
      <c r="AF134" s="178"/>
      <c r="AG134" s="178"/>
      <c r="AH134" s="178"/>
      <c r="AI134" s="178"/>
      <c r="AJ134" s="178"/>
      <c r="AK134" s="178"/>
      <c r="AL134" s="178"/>
      <c r="AM134" s="178"/>
      <c r="AN134" s="178"/>
      <c r="AO134" s="178"/>
      <c r="AP134" s="178"/>
      <c r="AQ134" s="178"/>
      <c r="AR134" s="178"/>
      <c r="AS134" s="178"/>
      <c r="AT134" s="178"/>
      <c r="AU134" s="178"/>
      <c r="AV134" s="178"/>
      <c r="AW134" s="178"/>
      <c r="AX134" s="178"/>
      <c r="AY134" s="178"/>
      <c r="AZ134" s="178"/>
      <c r="BA134" s="178"/>
      <c r="BB134" s="178"/>
      <c r="BC134" s="178"/>
      <c r="BD134" s="178"/>
      <c r="BE134" s="178"/>
      <c r="BF134" s="178"/>
      <c r="BG134" s="178"/>
      <c r="BH134" s="178"/>
      <c r="BI134" s="178"/>
      <c r="BJ134" s="178"/>
      <c r="BK134" s="178"/>
      <c r="BL134" s="178"/>
      <c r="BM134" s="27"/>
      <c r="BN134" s="27"/>
    </row>
    <row r="135" spans="1:66">
      <c r="A135" s="27"/>
      <c r="B135" s="27"/>
      <c r="C135" s="27"/>
      <c r="D135" s="27"/>
      <c r="E135" s="27"/>
      <c r="F135" s="27"/>
      <c r="G135" s="27"/>
      <c r="H135" s="27"/>
      <c r="I135" s="27"/>
      <c r="J135" s="27"/>
      <c r="K135" s="27"/>
      <c r="L135" s="27"/>
      <c r="M135" s="27"/>
      <c r="N135" s="27"/>
      <c r="O135" s="178"/>
      <c r="P135" s="178"/>
      <c r="Q135" s="178"/>
      <c r="R135" s="178"/>
      <c r="S135" s="178"/>
      <c r="T135" s="178"/>
      <c r="U135" s="178"/>
      <c r="V135" s="178"/>
      <c r="W135" s="178"/>
      <c r="X135" s="178"/>
      <c r="Y135" s="178"/>
      <c r="Z135" s="178"/>
      <c r="AA135" s="178"/>
      <c r="AB135" s="178"/>
      <c r="AC135" s="178"/>
      <c r="AD135" s="178"/>
      <c r="AE135" s="178"/>
      <c r="AF135" s="178"/>
      <c r="AG135" s="178"/>
      <c r="AH135" s="178"/>
      <c r="AI135" s="178"/>
      <c r="AJ135" s="178"/>
      <c r="AK135" s="178"/>
      <c r="AL135" s="178"/>
      <c r="AM135" s="178"/>
      <c r="AN135" s="178"/>
      <c r="AO135" s="178"/>
      <c r="AP135" s="178"/>
      <c r="AQ135" s="178"/>
      <c r="AR135" s="178"/>
      <c r="AS135" s="178"/>
      <c r="AT135" s="178"/>
      <c r="AU135" s="178"/>
      <c r="AV135" s="178"/>
      <c r="AW135" s="178"/>
      <c r="AX135" s="178"/>
      <c r="AY135" s="178"/>
      <c r="AZ135" s="178"/>
      <c r="BA135" s="178"/>
      <c r="BB135" s="178"/>
      <c r="BC135" s="178"/>
      <c r="BD135" s="178"/>
      <c r="BE135" s="178"/>
      <c r="BF135" s="178"/>
      <c r="BG135" s="178"/>
      <c r="BH135" s="178"/>
      <c r="BI135" s="178"/>
      <c r="BJ135" s="178"/>
      <c r="BK135" s="178"/>
      <c r="BL135" s="178"/>
      <c r="BM135" s="27"/>
      <c r="BN135" s="27"/>
    </row>
    <row r="136" spans="1:66">
      <c r="A136" s="27"/>
      <c r="B136" s="27"/>
      <c r="C136" s="27"/>
      <c r="D136" s="27"/>
      <c r="E136" s="27"/>
      <c r="F136" s="27"/>
      <c r="G136" s="27"/>
      <c r="H136" s="27"/>
      <c r="I136" s="27"/>
      <c r="J136" s="27"/>
      <c r="K136" s="27"/>
      <c r="L136" s="27"/>
      <c r="M136" s="27"/>
      <c r="N136" s="27"/>
      <c r="O136" s="178"/>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8"/>
      <c r="AL136" s="178"/>
      <c r="AM136" s="178"/>
      <c r="AN136" s="178"/>
      <c r="AO136" s="178"/>
      <c r="AP136" s="178"/>
      <c r="AQ136" s="178"/>
      <c r="AR136" s="178"/>
      <c r="AS136" s="178"/>
      <c r="AT136" s="178"/>
      <c r="AU136" s="178"/>
      <c r="AV136" s="178"/>
      <c r="AW136" s="178"/>
      <c r="AX136" s="178"/>
      <c r="AY136" s="178"/>
      <c r="AZ136" s="178"/>
      <c r="BA136" s="178"/>
      <c r="BB136" s="178"/>
      <c r="BC136" s="178"/>
      <c r="BD136" s="178"/>
      <c r="BE136" s="178"/>
      <c r="BF136" s="178"/>
      <c r="BG136" s="178"/>
      <c r="BH136" s="178"/>
      <c r="BI136" s="178"/>
      <c r="BJ136" s="178"/>
      <c r="BK136" s="178"/>
      <c r="BL136" s="178"/>
      <c r="BM136" s="27"/>
      <c r="BN136" s="27"/>
    </row>
    <row r="137" spans="1:66">
      <c r="A137" s="27"/>
      <c r="B137" s="27"/>
      <c r="C137" s="27"/>
      <c r="D137" s="27"/>
      <c r="E137" s="27"/>
      <c r="F137" s="27"/>
      <c r="G137" s="27"/>
      <c r="H137" s="27"/>
      <c r="I137" s="27"/>
      <c r="J137" s="27"/>
      <c r="K137" s="27"/>
      <c r="L137" s="27"/>
      <c r="M137" s="27"/>
      <c r="N137" s="27"/>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8"/>
      <c r="AL137" s="178"/>
      <c r="AM137" s="178"/>
      <c r="AN137" s="178"/>
      <c r="AO137" s="178"/>
      <c r="AP137" s="178"/>
      <c r="AQ137" s="178"/>
      <c r="AR137" s="178"/>
      <c r="AS137" s="178"/>
      <c r="AT137" s="178"/>
      <c r="AU137" s="178"/>
      <c r="AV137" s="178"/>
      <c r="AW137" s="178"/>
      <c r="AX137" s="178"/>
      <c r="AY137" s="178"/>
      <c r="AZ137" s="178"/>
      <c r="BA137" s="178"/>
      <c r="BB137" s="178"/>
      <c r="BC137" s="178"/>
      <c r="BD137" s="178"/>
      <c r="BE137" s="178"/>
      <c r="BF137" s="178"/>
      <c r="BG137" s="178"/>
      <c r="BH137" s="178"/>
      <c r="BI137" s="178"/>
      <c r="BJ137" s="178"/>
      <c r="BK137" s="178"/>
      <c r="BL137" s="178"/>
      <c r="BM137" s="27"/>
      <c r="BN137" s="27"/>
    </row>
    <row r="138" spans="1:66">
      <c r="A138" s="27"/>
      <c r="B138" s="27"/>
      <c r="C138" s="27"/>
      <c r="D138" s="27"/>
      <c r="E138" s="27"/>
      <c r="F138" s="27"/>
      <c r="G138" s="27"/>
      <c r="H138" s="27"/>
      <c r="I138" s="27"/>
      <c r="J138" s="27"/>
      <c r="K138" s="27"/>
      <c r="L138" s="27"/>
      <c r="M138" s="27"/>
      <c r="N138" s="27"/>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8"/>
      <c r="AL138" s="178"/>
      <c r="AM138" s="178"/>
      <c r="AN138" s="178"/>
      <c r="AO138" s="178"/>
      <c r="AP138" s="178"/>
      <c r="AQ138" s="178"/>
      <c r="AR138" s="178"/>
      <c r="AS138" s="178"/>
      <c r="AT138" s="178"/>
      <c r="AU138" s="178"/>
      <c r="AV138" s="178"/>
      <c r="AW138" s="178"/>
      <c r="AX138" s="178"/>
      <c r="AY138" s="178"/>
      <c r="AZ138" s="178"/>
      <c r="BA138" s="178"/>
      <c r="BB138" s="178"/>
      <c r="BC138" s="178"/>
      <c r="BD138" s="178"/>
      <c r="BE138" s="178"/>
      <c r="BF138" s="178"/>
      <c r="BG138" s="178"/>
      <c r="BH138" s="178"/>
      <c r="BI138" s="178"/>
      <c r="BJ138" s="178"/>
      <c r="BK138" s="178"/>
      <c r="BL138" s="178"/>
      <c r="BM138" s="27"/>
      <c r="BN138" s="27"/>
    </row>
    <row r="139" spans="1:66">
      <c r="A139" s="27"/>
      <c r="B139" s="27"/>
      <c r="C139" s="27"/>
      <c r="D139" s="27"/>
      <c r="E139" s="27"/>
      <c r="F139" s="27"/>
      <c r="G139" s="27"/>
      <c r="H139" s="27"/>
      <c r="I139" s="27"/>
      <c r="J139" s="27"/>
      <c r="K139" s="27"/>
      <c r="L139" s="27"/>
      <c r="M139" s="27"/>
      <c r="N139" s="27"/>
      <c r="O139" s="178"/>
      <c r="P139" s="178"/>
      <c r="Q139" s="178"/>
      <c r="R139" s="178"/>
      <c r="S139" s="178"/>
      <c r="T139" s="178"/>
      <c r="U139" s="178"/>
      <c r="V139" s="178"/>
      <c r="W139" s="178"/>
      <c r="X139" s="178"/>
      <c r="Y139" s="178"/>
      <c r="Z139" s="178"/>
      <c r="AA139" s="178"/>
      <c r="AB139" s="178"/>
      <c r="AC139" s="178"/>
      <c r="AD139" s="178"/>
      <c r="AE139" s="178"/>
      <c r="AF139" s="178"/>
      <c r="AG139" s="178"/>
      <c r="AH139" s="178"/>
      <c r="AI139" s="178"/>
      <c r="AJ139" s="178"/>
      <c r="AK139" s="178"/>
      <c r="AL139" s="178"/>
      <c r="AM139" s="178"/>
      <c r="AN139" s="178"/>
      <c r="AO139" s="178"/>
      <c r="AP139" s="178"/>
      <c r="AQ139" s="178"/>
      <c r="AR139" s="178"/>
      <c r="AS139" s="178"/>
      <c r="AT139" s="178"/>
      <c r="AU139" s="178"/>
      <c r="AV139" s="178"/>
      <c r="AW139" s="178"/>
      <c r="AX139" s="178"/>
      <c r="AY139" s="178"/>
      <c r="AZ139" s="178"/>
      <c r="BA139" s="178"/>
      <c r="BB139" s="178"/>
      <c r="BC139" s="178"/>
      <c r="BD139" s="178"/>
      <c r="BE139" s="178"/>
      <c r="BF139" s="178"/>
      <c r="BG139" s="178"/>
      <c r="BH139" s="178"/>
      <c r="BI139" s="178"/>
      <c r="BJ139" s="178"/>
      <c r="BK139" s="178"/>
      <c r="BL139" s="178"/>
      <c r="BM139" s="27"/>
      <c r="BN139" s="27"/>
    </row>
    <row r="140" spans="1:66">
      <c r="A140" s="27"/>
      <c r="B140" s="27"/>
      <c r="C140" s="27"/>
      <c r="D140" s="27"/>
      <c r="E140" s="27"/>
      <c r="F140" s="27"/>
      <c r="G140" s="27"/>
      <c r="H140" s="27"/>
      <c r="I140" s="27"/>
      <c r="J140" s="27"/>
      <c r="K140" s="27"/>
      <c r="L140" s="27"/>
      <c r="M140" s="27"/>
      <c r="N140" s="27"/>
      <c r="O140" s="178"/>
      <c r="P140" s="178"/>
      <c r="Q140" s="178"/>
      <c r="R140" s="178"/>
      <c r="S140" s="178"/>
      <c r="T140" s="178"/>
      <c r="U140" s="178"/>
      <c r="V140" s="178"/>
      <c r="W140" s="178"/>
      <c r="X140" s="178"/>
      <c r="Y140" s="178"/>
      <c r="Z140" s="178"/>
      <c r="AA140" s="178"/>
      <c r="AB140" s="178"/>
      <c r="AC140" s="178"/>
      <c r="AD140" s="178"/>
      <c r="AE140" s="178"/>
      <c r="AF140" s="178"/>
      <c r="AG140" s="178"/>
      <c r="AH140" s="178"/>
      <c r="AI140" s="178"/>
      <c r="AJ140" s="178"/>
      <c r="AK140" s="178"/>
      <c r="AL140" s="178"/>
      <c r="AM140" s="178"/>
      <c r="AN140" s="178"/>
      <c r="AO140" s="178"/>
      <c r="AP140" s="178"/>
      <c r="AQ140" s="178"/>
      <c r="AR140" s="178"/>
      <c r="AS140" s="178"/>
      <c r="AT140" s="178"/>
      <c r="AU140" s="178"/>
      <c r="AV140" s="178"/>
      <c r="AW140" s="178"/>
      <c r="AX140" s="178"/>
      <c r="AY140" s="178"/>
      <c r="AZ140" s="178"/>
      <c r="BA140" s="178"/>
      <c r="BB140" s="178"/>
      <c r="BC140" s="178"/>
      <c r="BD140" s="178"/>
      <c r="BE140" s="178"/>
      <c r="BF140" s="178"/>
      <c r="BG140" s="178"/>
      <c r="BH140" s="178"/>
      <c r="BI140" s="178"/>
      <c r="BJ140" s="178"/>
      <c r="BK140" s="178"/>
      <c r="BL140" s="178"/>
      <c r="BM140" s="27"/>
      <c r="BN140" s="27"/>
    </row>
    <row r="141" spans="1:66">
      <c r="A141" s="27"/>
      <c r="B141" s="27"/>
      <c r="C141" s="27"/>
      <c r="D141" s="27"/>
      <c r="E141" s="27"/>
      <c r="F141" s="27"/>
      <c r="G141" s="27"/>
      <c r="H141" s="27"/>
      <c r="I141" s="27"/>
      <c r="J141" s="27"/>
      <c r="K141" s="27"/>
      <c r="L141" s="27"/>
      <c r="M141" s="27"/>
      <c r="N141" s="27"/>
      <c r="O141" s="178"/>
      <c r="P141" s="178"/>
      <c r="Q141" s="178"/>
      <c r="R141" s="178"/>
      <c r="S141" s="178"/>
      <c r="T141" s="178"/>
      <c r="U141" s="178"/>
      <c r="V141" s="178"/>
      <c r="W141" s="178"/>
      <c r="X141" s="178"/>
      <c r="Y141" s="178"/>
      <c r="Z141" s="178"/>
      <c r="AA141" s="178"/>
      <c r="AB141" s="178"/>
      <c r="AC141" s="178"/>
      <c r="AD141" s="178"/>
      <c r="AE141" s="178"/>
      <c r="AF141" s="178"/>
      <c r="AG141" s="178"/>
      <c r="AH141" s="178"/>
      <c r="AI141" s="178"/>
      <c r="AJ141" s="178"/>
      <c r="AK141" s="178"/>
      <c r="AL141" s="178"/>
      <c r="AM141" s="178"/>
      <c r="AN141" s="178"/>
      <c r="AO141" s="178"/>
      <c r="AP141" s="178"/>
      <c r="AQ141" s="178"/>
      <c r="AR141" s="178"/>
      <c r="AS141" s="178"/>
      <c r="AT141" s="178"/>
      <c r="AU141" s="178"/>
      <c r="AV141" s="178"/>
      <c r="AW141" s="178"/>
      <c r="AX141" s="178"/>
      <c r="AY141" s="178"/>
      <c r="AZ141" s="178"/>
      <c r="BA141" s="178"/>
      <c r="BB141" s="178"/>
      <c r="BC141" s="178"/>
      <c r="BD141" s="178"/>
      <c r="BE141" s="178"/>
      <c r="BF141" s="178"/>
      <c r="BG141" s="178"/>
      <c r="BH141" s="178"/>
      <c r="BI141" s="178"/>
      <c r="BJ141" s="178"/>
      <c r="BK141" s="178"/>
      <c r="BL141" s="178"/>
      <c r="BM141" s="27"/>
      <c r="BN141" s="27"/>
    </row>
    <row r="142" spans="1:66">
      <c r="A142" s="27"/>
      <c r="B142" s="27"/>
      <c r="C142" s="27"/>
      <c r="D142" s="27"/>
      <c r="E142" s="27"/>
      <c r="F142" s="27"/>
      <c r="G142" s="27"/>
      <c r="H142" s="27"/>
      <c r="I142" s="27"/>
      <c r="J142" s="27"/>
      <c r="K142" s="27"/>
      <c r="L142" s="27"/>
      <c r="M142" s="27"/>
      <c r="N142" s="27"/>
      <c r="O142" s="178"/>
      <c r="P142" s="178"/>
      <c r="Q142" s="178"/>
      <c r="R142" s="178"/>
      <c r="S142" s="178"/>
      <c r="T142" s="178"/>
      <c r="U142" s="178"/>
      <c r="V142" s="178"/>
      <c r="W142" s="178"/>
      <c r="X142" s="178"/>
      <c r="Y142" s="178"/>
      <c r="Z142" s="178"/>
      <c r="AA142" s="178"/>
      <c r="AB142" s="178"/>
      <c r="AC142" s="178"/>
      <c r="AD142" s="178"/>
      <c r="AE142" s="178"/>
      <c r="AF142" s="178"/>
      <c r="AG142" s="178"/>
      <c r="AH142" s="178"/>
      <c r="AI142" s="178"/>
      <c r="AJ142" s="178"/>
      <c r="AK142" s="178"/>
      <c r="AL142" s="178"/>
      <c r="AM142" s="178"/>
      <c r="AN142" s="178"/>
      <c r="AO142" s="178"/>
      <c r="AP142" s="178"/>
      <c r="AQ142" s="178"/>
      <c r="AR142" s="178"/>
      <c r="AS142" s="178"/>
      <c r="AT142" s="178"/>
      <c r="AU142" s="178"/>
      <c r="AV142" s="178"/>
      <c r="AW142" s="178"/>
      <c r="AX142" s="178"/>
      <c r="AY142" s="178"/>
      <c r="AZ142" s="178"/>
      <c r="BA142" s="178"/>
      <c r="BB142" s="178"/>
      <c r="BC142" s="178"/>
      <c r="BD142" s="178"/>
      <c r="BE142" s="178"/>
      <c r="BF142" s="178"/>
      <c r="BG142" s="178"/>
      <c r="BH142" s="178"/>
      <c r="BI142" s="178"/>
      <c r="BJ142" s="178"/>
      <c r="BK142" s="178"/>
      <c r="BL142" s="178"/>
      <c r="BM142" s="27"/>
      <c r="BN142" s="27"/>
    </row>
    <row r="143" spans="1:66">
      <c r="A143" s="27"/>
      <c r="B143" s="27"/>
      <c r="C143" s="27"/>
      <c r="D143" s="27"/>
      <c r="E143" s="27"/>
      <c r="F143" s="27"/>
      <c r="G143" s="27"/>
      <c r="H143" s="27"/>
      <c r="I143" s="27"/>
      <c r="J143" s="27"/>
      <c r="K143" s="27"/>
      <c r="L143" s="27"/>
      <c r="M143" s="27"/>
      <c r="N143" s="27"/>
      <c r="O143" s="178"/>
      <c r="P143" s="178"/>
      <c r="Q143" s="178"/>
      <c r="R143" s="178"/>
      <c r="S143" s="178"/>
      <c r="T143" s="178"/>
      <c r="U143" s="178"/>
      <c r="V143" s="178"/>
      <c r="W143" s="178"/>
      <c r="X143" s="178"/>
      <c r="Y143" s="178"/>
      <c r="Z143" s="178"/>
      <c r="AA143" s="178"/>
      <c r="AB143" s="178"/>
      <c r="AC143" s="178"/>
      <c r="AD143" s="178"/>
      <c r="AE143" s="178"/>
      <c r="AF143" s="178"/>
      <c r="AG143" s="178"/>
      <c r="AH143" s="178"/>
      <c r="AI143" s="178"/>
      <c r="AJ143" s="178"/>
      <c r="AK143" s="178"/>
      <c r="AL143" s="178"/>
      <c r="AM143" s="178"/>
      <c r="AN143" s="178"/>
      <c r="AO143" s="178"/>
      <c r="AP143" s="178"/>
      <c r="AQ143" s="178"/>
      <c r="AR143" s="178"/>
      <c r="AS143" s="178"/>
      <c r="AT143" s="178"/>
      <c r="AU143" s="178"/>
      <c r="AV143" s="178"/>
      <c r="AW143" s="178"/>
      <c r="AX143" s="178"/>
      <c r="AY143" s="178"/>
      <c r="AZ143" s="178"/>
      <c r="BA143" s="178"/>
      <c r="BB143" s="178"/>
      <c r="BC143" s="178"/>
      <c r="BD143" s="178"/>
      <c r="BE143" s="178"/>
      <c r="BF143" s="178"/>
      <c r="BG143" s="178"/>
      <c r="BH143" s="178"/>
      <c r="BI143" s="178"/>
      <c r="BJ143" s="178"/>
      <c r="BK143" s="178"/>
      <c r="BL143" s="178"/>
      <c r="BM143" s="27"/>
      <c r="BN143" s="27"/>
    </row>
    <row r="144" spans="1:66">
      <c r="A144" s="27"/>
      <c r="B144" s="27"/>
      <c r="C144" s="27"/>
      <c r="D144" s="27"/>
      <c r="E144" s="27"/>
      <c r="F144" s="27"/>
      <c r="G144" s="27"/>
      <c r="H144" s="27"/>
      <c r="I144" s="27"/>
      <c r="J144" s="27"/>
      <c r="K144" s="27"/>
      <c r="L144" s="27"/>
      <c r="M144" s="27"/>
      <c r="N144" s="27"/>
      <c r="O144" s="178"/>
      <c r="P144" s="178"/>
      <c r="Q144" s="178"/>
      <c r="R144" s="178"/>
      <c r="S144" s="178"/>
      <c r="T144" s="178"/>
      <c r="U144" s="178"/>
      <c r="V144" s="178"/>
      <c r="W144" s="178"/>
      <c r="X144" s="178"/>
      <c r="Y144" s="178"/>
      <c r="Z144" s="178"/>
      <c r="AA144" s="178"/>
      <c r="AB144" s="178"/>
      <c r="AC144" s="178"/>
      <c r="AD144" s="178"/>
      <c r="AE144" s="178"/>
      <c r="AF144" s="178"/>
      <c r="AG144" s="178"/>
      <c r="AH144" s="178"/>
      <c r="AI144" s="178"/>
      <c r="AJ144" s="178"/>
      <c r="AK144" s="178"/>
      <c r="AL144" s="178"/>
      <c r="AM144" s="178"/>
      <c r="AN144" s="178"/>
      <c r="AO144" s="178"/>
      <c r="AP144" s="178"/>
      <c r="AQ144" s="178"/>
      <c r="AR144" s="178"/>
      <c r="AS144" s="178"/>
      <c r="AT144" s="178"/>
      <c r="AU144" s="178"/>
      <c r="AV144" s="178"/>
      <c r="AW144" s="178"/>
      <c r="AX144" s="178"/>
      <c r="AY144" s="178"/>
      <c r="AZ144" s="178"/>
      <c r="BA144" s="178"/>
      <c r="BB144" s="178"/>
      <c r="BC144" s="178"/>
      <c r="BD144" s="178"/>
      <c r="BE144" s="178"/>
      <c r="BF144" s="178"/>
      <c r="BG144" s="178"/>
      <c r="BH144" s="178"/>
      <c r="BI144" s="178"/>
      <c r="BJ144" s="178"/>
      <c r="BK144" s="178"/>
      <c r="BL144" s="178"/>
      <c r="BM144" s="27"/>
      <c r="BN144" s="27"/>
    </row>
    <row r="145" spans="1:66">
      <c r="A145" s="27"/>
      <c r="B145" s="27"/>
      <c r="C145" s="27"/>
      <c r="D145" s="27"/>
      <c r="E145" s="27"/>
      <c r="F145" s="27"/>
      <c r="G145" s="27"/>
      <c r="H145" s="27"/>
      <c r="I145" s="27"/>
      <c r="J145" s="27"/>
      <c r="K145" s="27"/>
      <c r="L145" s="27"/>
      <c r="M145" s="27"/>
      <c r="N145" s="27"/>
      <c r="O145" s="178"/>
      <c r="P145" s="178"/>
      <c r="Q145" s="178"/>
      <c r="R145" s="178"/>
      <c r="S145" s="178"/>
      <c r="T145" s="178"/>
      <c r="U145" s="178"/>
      <c r="V145" s="178"/>
      <c r="W145" s="178"/>
      <c r="X145" s="178"/>
      <c r="Y145" s="178"/>
      <c r="Z145" s="178"/>
      <c r="AA145" s="178"/>
      <c r="AB145" s="178"/>
      <c r="AC145" s="178"/>
      <c r="AD145" s="178"/>
      <c r="AE145" s="178"/>
      <c r="AF145" s="178"/>
      <c r="AG145" s="178"/>
      <c r="AH145" s="178"/>
      <c r="AI145" s="178"/>
      <c r="AJ145" s="178"/>
      <c r="AK145" s="178"/>
      <c r="AL145" s="178"/>
      <c r="AM145" s="178"/>
      <c r="AN145" s="178"/>
      <c r="AO145" s="178"/>
      <c r="AP145" s="178"/>
      <c r="AQ145" s="178"/>
      <c r="AR145" s="178"/>
      <c r="AS145" s="178"/>
      <c r="AT145" s="178"/>
      <c r="AU145" s="178"/>
      <c r="AV145" s="178"/>
      <c r="AW145" s="178"/>
      <c r="AX145" s="178"/>
      <c r="AY145" s="178"/>
      <c r="AZ145" s="178"/>
      <c r="BA145" s="178"/>
      <c r="BB145" s="178"/>
      <c r="BC145" s="178"/>
      <c r="BD145" s="178"/>
      <c r="BE145" s="178"/>
      <c r="BF145" s="178"/>
      <c r="BG145" s="178"/>
      <c r="BH145" s="178"/>
      <c r="BI145" s="178"/>
      <c r="BJ145" s="178"/>
      <c r="BK145" s="178"/>
      <c r="BL145" s="178"/>
      <c r="BM145" s="27"/>
      <c r="BN145" s="27"/>
    </row>
    <row r="146" spans="1:66">
      <c r="A146" s="27"/>
      <c r="B146" s="27"/>
      <c r="C146" s="27"/>
      <c r="D146" s="27"/>
      <c r="E146" s="27"/>
      <c r="F146" s="27"/>
      <c r="G146" s="27"/>
      <c r="H146" s="27"/>
      <c r="I146" s="27"/>
      <c r="J146" s="27"/>
      <c r="K146" s="27"/>
      <c r="L146" s="27"/>
      <c r="M146" s="27"/>
      <c r="N146" s="27"/>
      <c r="O146" s="178"/>
      <c r="P146" s="178"/>
      <c r="Q146" s="178"/>
      <c r="R146" s="178"/>
      <c r="S146" s="178"/>
      <c r="T146" s="178"/>
      <c r="U146" s="178"/>
      <c r="V146" s="178"/>
      <c r="W146" s="178"/>
      <c r="X146" s="178"/>
      <c r="Y146" s="178"/>
      <c r="Z146" s="178"/>
      <c r="AA146" s="178"/>
      <c r="AB146" s="178"/>
      <c r="AC146" s="178"/>
      <c r="AD146" s="178"/>
      <c r="AE146" s="178"/>
      <c r="AF146" s="178"/>
      <c r="AG146" s="178"/>
      <c r="AH146" s="178"/>
      <c r="AI146" s="178"/>
      <c r="AJ146" s="178"/>
      <c r="AK146" s="178"/>
      <c r="AL146" s="178"/>
      <c r="AM146" s="178"/>
      <c r="AN146" s="178"/>
      <c r="AO146" s="178"/>
      <c r="AP146" s="178"/>
      <c r="AQ146" s="178"/>
      <c r="AR146" s="178"/>
      <c r="AS146" s="178"/>
      <c r="AT146" s="178"/>
      <c r="AU146" s="178"/>
      <c r="AV146" s="178"/>
      <c r="AW146" s="178"/>
      <c r="AX146" s="178"/>
      <c r="AY146" s="178"/>
      <c r="AZ146" s="178"/>
      <c r="BA146" s="178"/>
      <c r="BB146" s="178"/>
      <c r="BC146" s="178"/>
      <c r="BD146" s="178"/>
      <c r="BE146" s="178"/>
      <c r="BF146" s="178"/>
      <c r="BG146" s="178"/>
      <c r="BH146" s="178"/>
      <c r="BI146" s="178"/>
      <c r="BJ146" s="178"/>
      <c r="BK146" s="178"/>
      <c r="BL146" s="178"/>
      <c r="BM146" s="27"/>
      <c r="BN146" s="27"/>
    </row>
    <row r="147" spans="1:66">
      <c r="A147" s="27"/>
      <c r="B147" s="27"/>
      <c r="C147" s="27"/>
      <c r="D147" s="27"/>
      <c r="E147" s="27"/>
      <c r="F147" s="27"/>
      <c r="G147" s="27"/>
      <c r="H147" s="27"/>
      <c r="I147" s="27"/>
      <c r="J147" s="27"/>
      <c r="K147" s="27"/>
      <c r="L147" s="27"/>
      <c r="M147" s="27"/>
      <c r="N147" s="27"/>
      <c r="O147" s="178"/>
      <c r="P147" s="178"/>
      <c r="Q147" s="178"/>
      <c r="R147" s="178"/>
      <c r="S147" s="178"/>
      <c r="T147" s="178"/>
      <c r="U147" s="178"/>
      <c r="V147" s="178"/>
      <c r="W147" s="178"/>
      <c r="X147" s="178"/>
      <c r="Y147" s="178"/>
      <c r="Z147" s="178"/>
      <c r="AA147" s="178"/>
      <c r="AB147" s="178"/>
      <c r="AC147" s="178"/>
      <c r="AD147" s="178"/>
      <c r="AE147" s="178"/>
      <c r="AF147" s="178"/>
      <c r="AG147" s="178"/>
      <c r="AH147" s="178"/>
      <c r="AI147" s="178"/>
      <c r="AJ147" s="178"/>
      <c r="AK147" s="178"/>
      <c r="AL147" s="178"/>
      <c r="AM147" s="178"/>
      <c r="AN147" s="178"/>
      <c r="AO147" s="178"/>
      <c r="AP147" s="178"/>
      <c r="AQ147" s="178"/>
      <c r="AR147" s="178"/>
      <c r="AS147" s="178"/>
      <c r="AT147" s="178"/>
      <c r="AU147" s="178"/>
      <c r="AV147" s="178"/>
      <c r="AW147" s="178"/>
      <c r="AX147" s="178"/>
      <c r="AY147" s="178"/>
      <c r="AZ147" s="178"/>
      <c r="BA147" s="178"/>
      <c r="BB147" s="178"/>
      <c r="BC147" s="178"/>
      <c r="BD147" s="178"/>
      <c r="BE147" s="178"/>
      <c r="BF147" s="178"/>
      <c r="BG147" s="178"/>
      <c r="BH147" s="178"/>
      <c r="BI147" s="178"/>
      <c r="BJ147" s="178"/>
      <c r="BK147" s="178"/>
      <c r="BL147" s="178"/>
      <c r="BM147" s="27"/>
      <c r="BN147" s="27"/>
    </row>
    <row r="148" spans="1:66">
      <c r="A148" s="27"/>
      <c r="B148" s="27"/>
      <c r="C148" s="27"/>
      <c r="D148" s="27"/>
      <c r="E148" s="27"/>
      <c r="F148" s="27"/>
      <c r="G148" s="27"/>
      <c r="H148" s="27"/>
      <c r="I148" s="27"/>
      <c r="J148" s="27"/>
      <c r="K148" s="27"/>
      <c r="L148" s="27"/>
      <c r="M148" s="27"/>
      <c r="N148" s="27"/>
      <c r="O148" s="178"/>
      <c r="P148" s="178"/>
      <c r="Q148" s="178"/>
      <c r="R148" s="178"/>
      <c r="S148" s="178"/>
      <c r="T148" s="178"/>
      <c r="U148" s="178"/>
      <c r="V148" s="178"/>
      <c r="W148" s="178"/>
      <c r="X148" s="178"/>
      <c r="Y148" s="178"/>
      <c r="Z148" s="178"/>
      <c r="AA148" s="178"/>
      <c r="AB148" s="178"/>
      <c r="AC148" s="178"/>
      <c r="AD148" s="178"/>
      <c r="AE148" s="178"/>
      <c r="AF148" s="178"/>
      <c r="AG148" s="178"/>
      <c r="AH148" s="178"/>
      <c r="AI148" s="178"/>
      <c r="AJ148" s="178"/>
      <c r="AK148" s="178"/>
      <c r="AL148" s="178"/>
      <c r="AM148" s="178"/>
      <c r="AN148" s="178"/>
      <c r="AO148" s="178"/>
      <c r="AP148" s="178"/>
      <c r="AQ148" s="178"/>
      <c r="AR148" s="178"/>
      <c r="AS148" s="178"/>
      <c r="AT148" s="178"/>
      <c r="AU148" s="178"/>
      <c r="AV148" s="178"/>
      <c r="AW148" s="178"/>
      <c r="AX148" s="178"/>
      <c r="AY148" s="178"/>
      <c r="AZ148" s="178"/>
      <c r="BA148" s="178"/>
      <c r="BB148" s="178"/>
      <c r="BC148" s="178"/>
      <c r="BD148" s="178"/>
      <c r="BE148" s="178"/>
      <c r="BF148" s="178"/>
      <c r="BG148" s="178"/>
      <c r="BH148" s="178"/>
      <c r="BI148" s="178"/>
      <c r="BJ148" s="178"/>
      <c r="BK148" s="178"/>
      <c r="BL148" s="178"/>
      <c r="BM148" s="27"/>
      <c r="BN148" s="27"/>
    </row>
    <row r="149" spans="1:66">
      <c r="A149" s="27"/>
      <c r="B149" s="27"/>
      <c r="C149" s="27"/>
      <c r="D149" s="27"/>
      <c r="E149" s="27"/>
      <c r="F149" s="27"/>
      <c r="G149" s="27"/>
      <c r="H149" s="27"/>
      <c r="I149" s="27"/>
      <c r="J149" s="27"/>
      <c r="K149" s="27"/>
      <c r="L149" s="27"/>
      <c r="M149" s="27"/>
      <c r="N149" s="27"/>
      <c r="O149" s="178"/>
      <c r="P149" s="178"/>
      <c r="Q149" s="178"/>
      <c r="R149" s="178"/>
      <c r="S149" s="178"/>
      <c r="T149" s="178"/>
      <c r="U149" s="178"/>
      <c r="V149" s="178"/>
      <c r="W149" s="178"/>
      <c r="X149" s="178"/>
      <c r="Y149" s="178"/>
      <c r="Z149" s="178"/>
      <c r="AA149" s="178"/>
      <c r="AB149" s="178"/>
      <c r="AC149" s="178"/>
      <c r="AD149" s="178"/>
      <c r="AE149" s="178"/>
      <c r="AF149" s="178"/>
      <c r="AG149" s="178"/>
      <c r="AH149" s="178"/>
      <c r="AI149" s="178"/>
      <c r="AJ149" s="178"/>
      <c r="AK149" s="178"/>
      <c r="AL149" s="178"/>
      <c r="AM149" s="178"/>
      <c r="AN149" s="178"/>
      <c r="AO149" s="178"/>
      <c r="AP149" s="178"/>
      <c r="AQ149" s="178"/>
      <c r="AR149" s="178"/>
      <c r="AS149" s="178"/>
      <c r="AT149" s="178"/>
      <c r="AU149" s="178"/>
      <c r="AV149" s="178"/>
      <c r="AW149" s="178"/>
      <c r="AX149" s="178"/>
      <c r="AY149" s="178"/>
      <c r="AZ149" s="178"/>
      <c r="BA149" s="178"/>
      <c r="BB149" s="178"/>
      <c r="BC149" s="178"/>
      <c r="BD149" s="178"/>
      <c r="BE149" s="178"/>
      <c r="BF149" s="178"/>
      <c r="BG149" s="178"/>
      <c r="BH149" s="178"/>
      <c r="BI149" s="178"/>
      <c r="BJ149" s="178"/>
      <c r="BK149" s="178"/>
      <c r="BL149" s="178"/>
      <c r="BM149" s="27"/>
      <c r="BN149" s="27"/>
    </row>
    <row r="150" spans="1:66">
      <c r="A150" s="27"/>
      <c r="B150" s="27"/>
      <c r="C150" s="27"/>
      <c r="D150" s="27"/>
      <c r="E150" s="27"/>
      <c r="F150" s="27"/>
      <c r="G150" s="27"/>
      <c r="H150" s="27"/>
      <c r="I150" s="27"/>
      <c r="J150" s="27"/>
      <c r="K150" s="27"/>
      <c r="L150" s="27"/>
      <c r="M150" s="27"/>
      <c r="N150" s="27"/>
      <c r="O150" s="178"/>
      <c r="P150" s="178"/>
      <c r="Q150" s="178"/>
      <c r="R150" s="178"/>
      <c r="S150" s="178"/>
      <c r="T150" s="178"/>
      <c r="U150" s="178"/>
      <c r="V150" s="178"/>
      <c r="W150" s="178"/>
      <c r="X150" s="178"/>
      <c r="Y150" s="178"/>
      <c r="Z150" s="178"/>
      <c r="AA150" s="178"/>
      <c r="AB150" s="178"/>
      <c r="AC150" s="178"/>
      <c r="AD150" s="178"/>
      <c r="AE150" s="178"/>
      <c r="AF150" s="178"/>
      <c r="AG150" s="178"/>
      <c r="AH150" s="178"/>
      <c r="AI150" s="178"/>
      <c r="AJ150" s="178"/>
      <c r="AK150" s="178"/>
      <c r="AL150" s="178"/>
      <c r="AM150" s="178"/>
      <c r="AN150" s="178"/>
      <c r="AO150" s="178"/>
      <c r="AP150" s="178"/>
      <c r="AQ150" s="178"/>
      <c r="AR150" s="178"/>
      <c r="AS150" s="178"/>
      <c r="AT150" s="178"/>
      <c r="AU150" s="178"/>
      <c r="AV150" s="178"/>
      <c r="AW150" s="178"/>
      <c r="AX150" s="178"/>
      <c r="AY150" s="178"/>
      <c r="AZ150" s="178"/>
      <c r="BA150" s="178"/>
      <c r="BB150" s="178"/>
      <c r="BC150" s="178"/>
      <c r="BD150" s="178"/>
      <c r="BE150" s="178"/>
      <c r="BF150" s="178"/>
      <c r="BG150" s="178"/>
      <c r="BH150" s="178"/>
      <c r="BI150" s="178"/>
      <c r="BJ150" s="178"/>
      <c r="BK150" s="178"/>
      <c r="BL150" s="178"/>
      <c r="BM150" s="27"/>
      <c r="BN150" s="27"/>
    </row>
    <row r="151" spans="1:66">
      <c r="A151" s="27"/>
      <c r="B151" s="27"/>
      <c r="C151" s="27"/>
      <c r="D151" s="27"/>
      <c r="E151" s="27"/>
      <c r="F151" s="27"/>
      <c r="G151" s="27"/>
      <c r="H151" s="27"/>
      <c r="I151" s="27"/>
      <c r="J151" s="27"/>
      <c r="K151" s="27"/>
      <c r="L151" s="27"/>
      <c r="M151" s="27"/>
      <c r="N151" s="27"/>
      <c r="O151" s="178"/>
      <c r="P151" s="178"/>
      <c r="Q151" s="178"/>
      <c r="R151" s="178"/>
      <c r="S151" s="178"/>
      <c r="T151" s="178"/>
      <c r="U151" s="178"/>
      <c r="V151" s="178"/>
      <c r="W151" s="178"/>
      <c r="X151" s="178"/>
      <c r="Y151" s="178"/>
      <c r="Z151" s="178"/>
      <c r="AA151" s="178"/>
      <c r="AB151" s="178"/>
      <c r="AC151" s="178"/>
      <c r="AD151" s="178"/>
      <c r="AE151" s="178"/>
      <c r="AF151" s="178"/>
      <c r="AG151" s="178"/>
      <c r="AH151" s="178"/>
      <c r="AI151" s="178"/>
      <c r="AJ151" s="178"/>
      <c r="AK151" s="178"/>
      <c r="AL151" s="178"/>
      <c r="AM151" s="178"/>
      <c r="AN151" s="178"/>
      <c r="AO151" s="178"/>
      <c r="AP151" s="178"/>
      <c r="AQ151" s="178"/>
      <c r="AR151" s="178"/>
      <c r="AS151" s="178"/>
      <c r="AT151" s="178"/>
      <c r="AU151" s="178"/>
      <c r="AV151" s="178"/>
      <c r="AW151" s="178"/>
      <c r="AX151" s="178"/>
      <c r="AY151" s="178"/>
      <c r="AZ151" s="178"/>
      <c r="BA151" s="178"/>
      <c r="BB151" s="178"/>
      <c r="BC151" s="178"/>
      <c r="BD151" s="178"/>
      <c r="BE151" s="178"/>
      <c r="BF151" s="178"/>
      <c r="BG151" s="178"/>
      <c r="BH151" s="178"/>
      <c r="BI151" s="178"/>
      <c r="BJ151" s="178"/>
      <c r="BK151" s="178"/>
      <c r="BL151" s="178"/>
      <c r="BM151" s="27"/>
      <c r="BN151" s="27"/>
    </row>
    <row r="152" spans="1:66">
      <c r="A152" s="27"/>
      <c r="B152" s="27"/>
      <c r="C152" s="27"/>
      <c r="D152" s="27"/>
      <c r="E152" s="27"/>
      <c r="F152" s="27"/>
      <c r="G152" s="27"/>
      <c r="H152" s="27"/>
      <c r="I152" s="27"/>
      <c r="J152" s="27"/>
      <c r="K152" s="27"/>
      <c r="L152" s="27"/>
      <c r="M152" s="27"/>
      <c r="N152" s="27"/>
      <c r="O152" s="178"/>
      <c r="P152" s="178"/>
      <c r="Q152" s="178"/>
      <c r="R152" s="178"/>
      <c r="S152" s="178"/>
      <c r="T152" s="178"/>
      <c r="U152" s="178"/>
      <c r="V152" s="178"/>
      <c r="W152" s="178"/>
      <c r="X152" s="178"/>
      <c r="Y152" s="178"/>
      <c r="Z152" s="178"/>
      <c r="AA152" s="178"/>
      <c r="AB152" s="178"/>
      <c r="AC152" s="178"/>
      <c r="AD152" s="178"/>
      <c r="AE152" s="178"/>
      <c r="AF152" s="178"/>
      <c r="AG152" s="178"/>
      <c r="AH152" s="178"/>
      <c r="AI152" s="178"/>
      <c r="AJ152" s="178"/>
      <c r="AK152" s="178"/>
      <c r="AL152" s="178"/>
      <c r="AM152" s="178"/>
      <c r="AN152" s="178"/>
      <c r="AO152" s="178"/>
      <c r="AP152" s="178"/>
      <c r="AQ152" s="178"/>
      <c r="AR152" s="178"/>
      <c r="AS152" s="178"/>
      <c r="AT152" s="178"/>
      <c r="AU152" s="178"/>
      <c r="AV152" s="178"/>
      <c r="AW152" s="178"/>
      <c r="AX152" s="178"/>
      <c r="AY152" s="178"/>
      <c r="AZ152" s="178"/>
      <c r="BA152" s="178"/>
      <c r="BB152" s="178"/>
      <c r="BC152" s="178"/>
      <c r="BD152" s="178"/>
      <c r="BE152" s="178"/>
      <c r="BF152" s="178"/>
      <c r="BG152" s="178"/>
      <c r="BH152" s="178"/>
      <c r="BI152" s="178"/>
      <c r="BJ152" s="178"/>
      <c r="BK152" s="178"/>
      <c r="BL152" s="178"/>
      <c r="BM152" s="27"/>
      <c r="BN152" s="27"/>
    </row>
    <row r="153" spans="1:66">
      <c r="A153" s="27"/>
      <c r="B153" s="27"/>
      <c r="C153" s="27"/>
      <c r="D153" s="27"/>
      <c r="E153" s="27"/>
      <c r="F153" s="27"/>
      <c r="G153" s="27"/>
      <c r="H153" s="27"/>
      <c r="I153" s="27"/>
      <c r="J153" s="27"/>
      <c r="K153" s="27"/>
      <c r="L153" s="27"/>
      <c r="M153" s="27"/>
      <c r="N153" s="27"/>
      <c r="O153" s="178"/>
      <c r="P153" s="178"/>
      <c r="Q153" s="178"/>
      <c r="R153" s="178"/>
      <c r="S153" s="178"/>
      <c r="T153" s="178"/>
      <c r="U153" s="178"/>
      <c r="V153" s="178"/>
      <c r="W153" s="178"/>
      <c r="X153" s="178"/>
      <c r="Y153" s="178"/>
      <c r="Z153" s="178"/>
      <c r="AA153" s="178"/>
      <c r="AB153" s="178"/>
      <c r="AC153" s="178"/>
      <c r="AD153" s="178"/>
      <c r="AE153" s="178"/>
      <c r="AF153" s="178"/>
      <c r="AG153" s="178"/>
      <c r="AH153" s="178"/>
      <c r="AI153" s="178"/>
      <c r="AJ153" s="178"/>
      <c r="AK153" s="178"/>
      <c r="AL153" s="178"/>
      <c r="AM153" s="178"/>
      <c r="AN153" s="178"/>
      <c r="AO153" s="178"/>
      <c r="AP153" s="178"/>
      <c r="AQ153" s="178"/>
      <c r="AR153" s="178"/>
      <c r="AS153" s="178"/>
      <c r="AT153" s="178"/>
      <c r="AU153" s="178"/>
      <c r="AV153" s="178"/>
      <c r="AW153" s="178"/>
      <c r="AX153" s="178"/>
      <c r="AY153" s="178"/>
      <c r="AZ153" s="178"/>
      <c r="BA153" s="178"/>
      <c r="BB153" s="178"/>
      <c r="BC153" s="178"/>
      <c r="BD153" s="178"/>
      <c r="BE153" s="178"/>
      <c r="BF153" s="178"/>
      <c r="BG153" s="178"/>
      <c r="BH153" s="178"/>
      <c r="BI153" s="178"/>
      <c r="BJ153" s="178"/>
      <c r="BK153" s="178"/>
      <c r="BL153" s="178"/>
      <c r="BM153" s="27"/>
      <c r="BN153" s="27"/>
    </row>
    <row r="154" spans="1:66">
      <c r="A154" s="27"/>
      <c r="B154" s="27"/>
      <c r="C154" s="27"/>
      <c r="D154" s="27"/>
      <c r="E154" s="27"/>
      <c r="F154" s="27"/>
      <c r="G154" s="27"/>
      <c r="H154" s="27"/>
      <c r="I154" s="27"/>
      <c r="J154" s="27"/>
      <c r="K154" s="27"/>
      <c r="L154" s="27"/>
      <c r="M154" s="27"/>
      <c r="N154" s="27"/>
      <c r="O154" s="178"/>
      <c r="P154" s="178"/>
      <c r="Q154" s="178"/>
      <c r="R154" s="178"/>
      <c r="S154" s="178"/>
      <c r="T154" s="178"/>
      <c r="U154" s="178"/>
      <c r="V154" s="178"/>
      <c r="W154" s="178"/>
      <c r="X154" s="178"/>
      <c r="Y154" s="178"/>
      <c r="Z154" s="178"/>
      <c r="AA154" s="178"/>
      <c r="AB154" s="178"/>
      <c r="AC154" s="178"/>
      <c r="AD154" s="178"/>
      <c r="AE154" s="178"/>
      <c r="AF154" s="178"/>
      <c r="AG154" s="178"/>
      <c r="AH154" s="178"/>
      <c r="AI154" s="178"/>
      <c r="AJ154" s="178"/>
      <c r="AK154" s="178"/>
      <c r="AL154" s="178"/>
      <c r="AM154" s="178"/>
      <c r="AN154" s="178"/>
      <c r="AO154" s="178"/>
      <c r="AP154" s="178"/>
      <c r="AQ154" s="178"/>
      <c r="AR154" s="178"/>
      <c r="AS154" s="178"/>
      <c r="AT154" s="178"/>
      <c r="AU154" s="178"/>
      <c r="AV154" s="178"/>
      <c r="AW154" s="178"/>
      <c r="AX154" s="178"/>
      <c r="AY154" s="178"/>
      <c r="AZ154" s="178"/>
      <c r="BA154" s="178"/>
      <c r="BB154" s="178"/>
      <c r="BC154" s="178"/>
      <c r="BD154" s="178"/>
      <c r="BE154" s="178"/>
      <c r="BF154" s="178"/>
      <c r="BG154" s="178"/>
      <c r="BH154" s="178"/>
      <c r="BI154" s="178"/>
      <c r="BJ154" s="178"/>
      <c r="BK154" s="178"/>
      <c r="BL154" s="178"/>
      <c r="BM154" s="27"/>
      <c r="BN154" s="27"/>
    </row>
    <row r="155" spans="1:66">
      <c r="A155" s="27"/>
      <c r="B155" s="27"/>
      <c r="C155" s="27"/>
      <c r="D155" s="27"/>
      <c r="E155" s="27"/>
      <c r="F155" s="27"/>
      <c r="G155" s="27"/>
      <c r="H155" s="27"/>
      <c r="I155" s="27"/>
      <c r="J155" s="27"/>
      <c r="K155" s="27"/>
      <c r="L155" s="27"/>
      <c r="M155" s="27"/>
      <c r="N155" s="27"/>
      <c r="O155" s="178"/>
      <c r="P155" s="178"/>
      <c r="Q155" s="178"/>
      <c r="R155" s="178"/>
      <c r="S155" s="178"/>
      <c r="T155" s="178"/>
      <c r="U155" s="178"/>
      <c r="V155" s="178"/>
      <c r="W155" s="178"/>
      <c r="X155" s="178"/>
      <c r="Y155" s="178"/>
      <c r="Z155" s="178"/>
      <c r="AA155" s="178"/>
      <c r="AB155" s="178"/>
      <c r="AC155" s="178"/>
      <c r="AD155" s="178"/>
      <c r="AE155" s="178"/>
      <c r="AF155" s="178"/>
      <c r="AG155" s="178"/>
      <c r="AH155" s="178"/>
      <c r="AI155" s="178"/>
      <c r="AJ155" s="178"/>
      <c r="AK155" s="178"/>
      <c r="AL155" s="178"/>
      <c r="AM155" s="178"/>
      <c r="AN155" s="178"/>
      <c r="AO155" s="178"/>
      <c r="AP155" s="178"/>
      <c r="AQ155" s="178"/>
      <c r="AR155" s="178"/>
      <c r="AS155" s="178"/>
      <c r="AT155" s="178"/>
      <c r="AU155" s="178"/>
      <c r="AV155" s="178"/>
      <c r="AW155" s="178"/>
      <c r="AX155" s="178"/>
      <c r="AY155" s="178"/>
      <c r="AZ155" s="178"/>
      <c r="BA155" s="178"/>
      <c r="BB155" s="178"/>
      <c r="BC155" s="178"/>
      <c r="BD155" s="178"/>
      <c r="BE155" s="178"/>
      <c r="BF155" s="178"/>
      <c r="BG155" s="178"/>
      <c r="BH155" s="178"/>
      <c r="BI155" s="178"/>
      <c r="BJ155" s="178"/>
      <c r="BK155" s="178"/>
      <c r="BL155" s="178"/>
      <c r="BM155" s="27"/>
      <c r="BN155" s="27"/>
    </row>
    <row r="156" spans="1:66">
      <c r="A156" s="27"/>
      <c r="B156" s="27"/>
      <c r="C156" s="27"/>
      <c r="D156" s="27"/>
      <c r="E156" s="27"/>
      <c r="F156" s="27"/>
      <c r="G156" s="27"/>
      <c r="H156" s="27"/>
      <c r="I156" s="27"/>
      <c r="J156" s="27"/>
      <c r="K156" s="27"/>
      <c r="L156" s="27"/>
      <c r="M156" s="27"/>
      <c r="N156" s="27"/>
      <c r="O156" s="178"/>
      <c r="P156" s="178"/>
      <c r="Q156" s="178"/>
      <c r="R156" s="178"/>
      <c r="S156" s="178"/>
      <c r="T156" s="178"/>
      <c r="U156" s="178"/>
      <c r="V156" s="178"/>
      <c r="W156" s="178"/>
      <c r="X156" s="178"/>
      <c r="Y156" s="178"/>
      <c r="Z156" s="178"/>
      <c r="AA156" s="178"/>
      <c r="AB156" s="178"/>
      <c r="AC156" s="178"/>
      <c r="AD156" s="178"/>
      <c r="AE156" s="178"/>
      <c r="AF156" s="178"/>
      <c r="AG156" s="178"/>
      <c r="AH156" s="178"/>
      <c r="AI156" s="178"/>
      <c r="AJ156" s="178"/>
      <c r="AK156" s="178"/>
      <c r="AL156" s="178"/>
      <c r="AM156" s="178"/>
      <c r="AN156" s="178"/>
      <c r="AO156" s="178"/>
      <c r="AP156" s="178"/>
      <c r="AQ156" s="178"/>
      <c r="AR156" s="178"/>
      <c r="AS156" s="178"/>
      <c r="AT156" s="178"/>
      <c r="AU156" s="178"/>
      <c r="AV156" s="178"/>
      <c r="AW156" s="178"/>
      <c r="AX156" s="178"/>
      <c r="AY156" s="178"/>
      <c r="AZ156" s="178"/>
      <c r="BA156" s="178"/>
      <c r="BB156" s="178"/>
      <c r="BC156" s="178"/>
      <c r="BD156" s="178"/>
      <c r="BE156" s="178"/>
      <c r="BF156" s="178"/>
      <c r="BG156" s="178"/>
      <c r="BH156" s="178"/>
      <c r="BI156" s="178"/>
      <c r="BJ156" s="178"/>
      <c r="BK156" s="178"/>
      <c r="BL156" s="178"/>
      <c r="BM156" s="27"/>
      <c r="BN156" s="27"/>
    </row>
    <row r="157" spans="1:66">
      <c r="A157" s="27"/>
      <c r="B157" s="27"/>
      <c r="C157" s="27"/>
      <c r="D157" s="27"/>
      <c r="E157" s="27"/>
      <c r="F157" s="27"/>
      <c r="G157" s="27"/>
      <c r="H157" s="27"/>
      <c r="I157" s="27"/>
      <c r="J157" s="27"/>
      <c r="K157" s="27"/>
      <c r="L157" s="27"/>
      <c r="M157" s="27"/>
      <c r="N157" s="27"/>
      <c r="O157" s="178"/>
      <c r="P157" s="178"/>
      <c r="Q157" s="178"/>
      <c r="R157" s="178"/>
      <c r="S157" s="178"/>
      <c r="T157" s="178"/>
      <c r="U157" s="178"/>
      <c r="V157" s="178"/>
      <c r="W157" s="178"/>
      <c r="X157" s="178"/>
      <c r="Y157" s="178"/>
      <c r="Z157" s="178"/>
      <c r="AA157" s="178"/>
      <c r="AB157" s="178"/>
      <c r="AC157" s="178"/>
      <c r="AD157" s="178"/>
      <c r="AE157" s="178"/>
      <c r="AF157" s="178"/>
      <c r="AG157" s="178"/>
      <c r="AH157" s="178"/>
      <c r="AI157" s="178"/>
      <c r="AJ157" s="178"/>
      <c r="AK157" s="178"/>
      <c r="AL157" s="178"/>
      <c r="AM157" s="178"/>
      <c r="AN157" s="178"/>
      <c r="AO157" s="178"/>
      <c r="AP157" s="178"/>
      <c r="AQ157" s="178"/>
      <c r="AR157" s="178"/>
      <c r="AS157" s="178"/>
      <c r="AT157" s="178"/>
      <c r="AU157" s="178"/>
      <c r="AV157" s="178"/>
      <c r="AW157" s="178"/>
      <c r="AX157" s="178"/>
      <c r="AY157" s="178"/>
      <c r="AZ157" s="178"/>
      <c r="BA157" s="178"/>
      <c r="BB157" s="178"/>
      <c r="BC157" s="178"/>
      <c r="BD157" s="178"/>
      <c r="BE157" s="178"/>
      <c r="BF157" s="178"/>
      <c r="BG157" s="178"/>
      <c r="BH157" s="178"/>
      <c r="BI157" s="178"/>
      <c r="BJ157" s="178"/>
      <c r="BK157" s="178"/>
      <c r="BL157" s="178"/>
      <c r="BM157" s="27"/>
      <c r="BN157" s="27"/>
    </row>
    <row r="158" spans="1:66">
      <c r="A158" s="27"/>
      <c r="B158" s="27"/>
      <c r="C158" s="27"/>
      <c r="D158" s="27"/>
      <c r="E158" s="27"/>
      <c r="F158" s="27"/>
      <c r="G158" s="27"/>
      <c r="H158" s="27"/>
      <c r="I158" s="27"/>
      <c r="J158" s="27"/>
      <c r="K158" s="27"/>
      <c r="L158" s="27"/>
      <c r="M158" s="27"/>
      <c r="N158" s="27"/>
      <c r="O158" s="178"/>
      <c r="P158" s="178"/>
      <c r="Q158" s="178"/>
      <c r="R158" s="178"/>
      <c r="S158" s="178"/>
      <c r="T158" s="178"/>
      <c r="U158" s="178"/>
      <c r="V158" s="178"/>
      <c r="W158" s="178"/>
      <c r="X158" s="178"/>
      <c r="Y158" s="178"/>
      <c r="Z158" s="178"/>
      <c r="AA158" s="178"/>
      <c r="AB158" s="178"/>
      <c r="AC158" s="178"/>
      <c r="AD158" s="178"/>
      <c r="AE158" s="178"/>
      <c r="AF158" s="178"/>
      <c r="AG158" s="178"/>
      <c r="AH158" s="178"/>
      <c r="AI158" s="178"/>
      <c r="AJ158" s="178"/>
      <c r="AK158" s="178"/>
      <c r="AL158" s="178"/>
      <c r="AM158" s="178"/>
      <c r="AN158" s="178"/>
      <c r="AO158" s="178"/>
      <c r="AP158" s="178"/>
      <c r="AQ158" s="178"/>
      <c r="AR158" s="178"/>
      <c r="AS158" s="178"/>
      <c r="AT158" s="178"/>
      <c r="AU158" s="178"/>
      <c r="AV158" s="178"/>
      <c r="AW158" s="178"/>
      <c r="AX158" s="178"/>
      <c r="AY158" s="178"/>
      <c r="AZ158" s="178"/>
      <c r="BA158" s="178"/>
      <c r="BB158" s="178"/>
      <c r="BC158" s="178"/>
      <c r="BD158" s="178"/>
      <c r="BE158" s="178"/>
      <c r="BF158" s="178"/>
      <c r="BG158" s="178"/>
      <c r="BH158" s="178"/>
      <c r="BI158" s="178"/>
      <c r="BJ158" s="178"/>
      <c r="BK158" s="178"/>
      <c r="BL158" s="178"/>
      <c r="BM158" s="27"/>
      <c r="BN158" s="27"/>
    </row>
  </sheetData>
  <phoneticPr fontId="77" type="noConversion"/>
  <pageMargins left="0.511811024" right="0.511811024" top="0.78740157499999996" bottom="0.78740157499999996" header="0.31496062000000002" footer="0.31496062000000002"/>
  <pageSetup paperSize="9" orientation="portrait" horizontalDpi="200" verticalDpi="200" r:id="rId1"/>
  <drawing r:id="rId2"/>
  <legacyDrawing r:id="rId3"/>
  <mc:AlternateContent xmlns:mc="http://schemas.openxmlformats.org/markup-compatibility/2006">
    <mc:Choice Requires="x14">
      <controls>
        <mc:AlternateContent xmlns:mc="http://schemas.openxmlformats.org/markup-compatibility/2006">
          <mc:Choice Requires="x14">
            <control shapeId="1266689" r:id="rId4" name="Drop Down 1">
              <controlPr defaultSize="0" autoLine="0" autoPict="0">
                <anchor moveWithCells="1">
                  <from>
                    <xdr:col>10</xdr:col>
                    <xdr:colOff>38100</xdr:colOff>
                    <xdr:row>11</xdr:row>
                    <xdr:rowOff>9525</xdr:rowOff>
                  </from>
                  <to>
                    <xdr:col>11</xdr:col>
                    <xdr:colOff>933450</xdr:colOff>
                    <xdr:row>11</xdr:row>
                    <xdr:rowOff>276225</xdr:rowOff>
                  </to>
                </anchor>
              </controlPr>
            </control>
          </mc:Choice>
        </mc:AlternateContent>
        <mc:AlternateContent xmlns:mc="http://schemas.openxmlformats.org/markup-compatibility/2006">
          <mc:Choice Requires="x14">
            <control shapeId="1266690" r:id="rId5" name="Button 2">
              <controlPr defaultSize="0" print="0" autoFill="0" autoPict="0" macro="[0]!Distribui">
                <anchor moveWithCells="1" sizeWithCells="1">
                  <from>
                    <xdr:col>0</xdr:col>
                    <xdr:colOff>590550</xdr:colOff>
                    <xdr:row>1</xdr:row>
                    <xdr:rowOff>123825</xdr:rowOff>
                  </from>
                  <to>
                    <xdr:col>2</xdr:col>
                    <xdr:colOff>419100</xdr:colOff>
                    <xdr:row>3</xdr:row>
                    <xdr:rowOff>228600</xdr:rowOff>
                  </to>
                </anchor>
              </controlPr>
            </control>
          </mc:Choice>
        </mc:AlternateContent>
        <mc:AlternateContent xmlns:mc="http://schemas.openxmlformats.org/markup-compatibility/2006">
          <mc:Choice Requires="x14">
            <control shapeId="1266691" r:id="rId6" name="Drop Down 3">
              <controlPr defaultSize="0" autoLine="0" autoPict="0">
                <anchor moveWithCells="1">
                  <from>
                    <xdr:col>3</xdr:col>
                    <xdr:colOff>9525</xdr:colOff>
                    <xdr:row>1</xdr:row>
                    <xdr:rowOff>238125</xdr:rowOff>
                  </from>
                  <to>
                    <xdr:col>5</xdr:col>
                    <xdr:colOff>0</xdr:colOff>
                    <xdr:row>3</xdr:row>
                    <xdr:rowOff>38100</xdr:rowOff>
                  </to>
                </anchor>
              </controlPr>
            </control>
          </mc:Choice>
        </mc:AlternateContent>
        <mc:AlternateContent xmlns:mc="http://schemas.openxmlformats.org/markup-compatibility/2006">
          <mc:Choice Requires="x14">
            <control shapeId="5521108" r:id="rId7" name="Button 5844">
              <controlPr defaultSize="0" print="0" autoFill="0" autoPict="0" macro="[0]!Distribui">
                <anchor moveWithCells="1" sizeWithCells="1">
                  <from>
                    <xdr:col>11</xdr:col>
                    <xdr:colOff>1038225</xdr:colOff>
                    <xdr:row>11</xdr:row>
                    <xdr:rowOff>19050</xdr:rowOff>
                  </from>
                  <to>
                    <xdr:col>12</xdr:col>
                    <xdr:colOff>952500</xdr:colOff>
                    <xdr:row>11</xdr:row>
                    <xdr:rowOff>276225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10"/>
  <dimension ref="A1:W306"/>
  <sheetViews>
    <sheetView topLeftCell="C2" zoomScale="85" zoomScaleNormal="85" workbookViewId="0">
      <selection activeCell="O10" sqref="O10"/>
    </sheetView>
  </sheetViews>
  <sheetFormatPr defaultRowHeight="12.75"/>
  <cols>
    <col min="1" max="2" width="9.7109375" style="1" customWidth="1"/>
    <col min="3" max="3" width="10.7109375" style="3" customWidth="1"/>
    <col min="4" max="6" width="9.7109375" style="3" customWidth="1"/>
    <col min="7" max="7" width="11.5703125" customWidth="1"/>
    <col min="8" max="9" width="7.28515625" customWidth="1"/>
    <col min="10" max="10" width="13.28515625" customWidth="1"/>
    <col min="11" max="11" width="9.5703125" bestFit="1" customWidth="1"/>
    <col min="12" max="13" width="10" customWidth="1"/>
    <col min="14" max="14" width="12" customWidth="1"/>
    <col min="15" max="15" width="10.28515625" customWidth="1"/>
    <col min="16" max="16" width="15.140625" customWidth="1"/>
    <col min="17" max="17" width="11.7109375" customWidth="1"/>
    <col min="18" max="18" width="12.28515625" customWidth="1"/>
    <col min="19" max="19" width="10" customWidth="1"/>
    <col min="20" max="20" width="11.85546875" customWidth="1"/>
  </cols>
  <sheetData>
    <row r="1" spans="1:23" ht="24" customHeight="1">
      <c r="A1" s="430"/>
      <c r="B1" s="430"/>
      <c r="C1" s="431" t="s">
        <v>651</v>
      </c>
      <c r="D1" s="432"/>
      <c r="E1" s="432"/>
      <c r="F1" s="432"/>
      <c r="G1" s="432"/>
      <c r="H1" s="432"/>
      <c r="I1" s="432"/>
      <c r="J1" s="432"/>
      <c r="K1" s="432"/>
      <c r="L1" s="432"/>
      <c r="M1" s="432"/>
      <c r="N1" s="432"/>
      <c r="O1" s="432"/>
      <c r="P1" s="432"/>
      <c r="Q1" s="432"/>
      <c r="R1" s="432"/>
      <c r="S1" s="637"/>
      <c r="T1" s="1169"/>
      <c r="U1" s="1170" t="s">
        <v>601</v>
      </c>
      <c r="V1" s="1170"/>
      <c r="W1" s="1171"/>
    </row>
    <row r="2" spans="1:23" ht="24.95" customHeight="1" thickBot="1">
      <c r="A2" s="416" t="s">
        <v>650</v>
      </c>
      <c r="B2" s="164"/>
      <c r="C2" s="165"/>
      <c r="D2" s="165"/>
      <c r="E2" s="165"/>
      <c r="F2" s="166"/>
      <c r="G2" s="403"/>
      <c r="H2" s="404" t="s">
        <v>660</v>
      </c>
      <c r="I2" s="405"/>
      <c r="J2" s="406" t="s">
        <v>661</v>
      </c>
      <c r="K2" s="407"/>
      <c r="L2" s="638"/>
      <c r="M2" s="639" t="s">
        <v>809</v>
      </c>
      <c r="N2" s="407"/>
      <c r="O2" s="640"/>
      <c r="P2" s="641"/>
      <c r="Q2" s="404" t="s">
        <v>810</v>
      </c>
      <c r="R2" s="641"/>
      <c r="S2" s="405"/>
      <c r="T2" s="642"/>
      <c r="U2" s="635" t="s">
        <v>811</v>
      </c>
      <c r="V2" s="635"/>
      <c r="W2" s="636"/>
    </row>
    <row r="3" spans="1:23" ht="24.95" customHeight="1" thickTop="1">
      <c r="A3" s="153"/>
      <c r="B3" s="153"/>
      <c r="C3" s="153"/>
      <c r="D3" s="151"/>
      <c r="E3" s="154"/>
      <c r="F3" s="155"/>
      <c r="G3" s="400"/>
      <c r="H3" s="401" t="s">
        <v>655</v>
      </c>
      <c r="I3" s="193">
        <v>90</v>
      </c>
      <c r="J3" s="402" t="s">
        <v>657</v>
      </c>
      <c r="K3" s="194">
        <v>2.4</v>
      </c>
      <c r="L3" s="643"/>
      <c r="M3" s="644" t="s">
        <v>812</v>
      </c>
      <c r="N3" s="645">
        <v>6.998273254354298E-2</v>
      </c>
      <c r="O3" s="646"/>
      <c r="P3" s="647" t="s">
        <v>813</v>
      </c>
      <c r="Q3" s="649">
        <v>0.58904814596995347</v>
      </c>
      <c r="R3" s="648" t="s">
        <v>814</v>
      </c>
      <c r="S3">
        <v>0.58904814596995347</v>
      </c>
      <c r="T3" s="650" t="s">
        <v>815</v>
      </c>
      <c r="U3" s="651" t="s">
        <v>816</v>
      </c>
      <c r="V3" s="651" t="s">
        <v>817</v>
      </c>
      <c r="W3" s="652"/>
    </row>
    <row r="4" spans="1:23" ht="24.95" customHeight="1" thickBot="1">
      <c r="A4" s="151"/>
      <c r="B4" s="155"/>
      <c r="C4" s="156"/>
      <c r="D4" s="156"/>
      <c r="E4" s="154"/>
      <c r="F4" s="154"/>
      <c r="G4" s="157"/>
      <c r="H4" s="158" t="s">
        <v>656</v>
      </c>
      <c r="I4" s="190">
        <v>300</v>
      </c>
      <c r="J4" s="191" t="s">
        <v>658</v>
      </c>
      <c r="K4" s="192">
        <v>31.3</v>
      </c>
      <c r="L4" s="653"/>
      <c r="M4" s="654" t="s">
        <v>818</v>
      </c>
      <c r="N4" s="655">
        <v>0.99968202304015885</v>
      </c>
      <c r="O4" s="656"/>
      <c r="P4" s="657"/>
      <c r="Q4" s="658" t="s">
        <v>819</v>
      </c>
      <c r="R4" s="657"/>
      <c r="S4" s="659"/>
      <c r="T4" s="660" t="s">
        <v>820</v>
      </c>
      <c r="U4" s="658"/>
      <c r="V4" s="657"/>
      <c r="W4" s="659"/>
    </row>
    <row r="5" spans="1:23" ht="20.100000000000001" customHeight="1" thickTop="1">
      <c r="A5" s="159" t="s">
        <v>327</v>
      </c>
      <c r="B5" s="160" t="s">
        <v>334</v>
      </c>
      <c r="C5" s="161" t="s">
        <v>653</v>
      </c>
      <c r="D5" s="161" t="s">
        <v>315</v>
      </c>
      <c r="E5" s="27"/>
      <c r="F5" s="27"/>
      <c r="G5" s="27"/>
      <c r="H5" s="27"/>
      <c r="I5" s="27"/>
      <c r="J5" s="27"/>
      <c r="K5" s="27"/>
      <c r="L5" s="27"/>
      <c r="M5" s="152"/>
      <c r="N5" s="152"/>
      <c r="O5" s="705" t="s">
        <v>821</v>
      </c>
      <c r="P5" s="661" t="s">
        <v>327</v>
      </c>
      <c r="Q5" s="662" t="s">
        <v>334</v>
      </c>
      <c r="R5" s="663" t="s">
        <v>315</v>
      </c>
      <c r="S5" s="664" t="s">
        <v>808</v>
      </c>
      <c r="T5" s="665" t="s">
        <v>652</v>
      </c>
      <c r="U5" s="161" t="s">
        <v>653</v>
      </c>
      <c r="V5" s="161" t="s">
        <v>315</v>
      </c>
      <c r="W5" s="162" t="s">
        <v>654</v>
      </c>
    </row>
    <row r="6" spans="1:23" ht="15" customHeight="1">
      <c r="A6" s="6">
        <v>2.4</v>
      </c>
      <c r="B6" s="6">
        <v>3.13</v>
      </c>
      <c r="C6" s="136">
        <v>3.0815898108373632</v>
      </c>
      <c r="D6" s="136">
        <v>0.25708840966947472</v>
      </c>
      <c r="E6" s="27"/>
      <c r="F6" s="27"/>
      <c r="G6" s="27"/>
      <c r="H6" s="27"/>
      <c r="I6" s="27"/>
      <c r="J6" s="27"/>
      <c r="K6" s="27"/>
      <c r="L6" s="27"/>
      <c r="M6" s="27"/>
      <c r="N6" s="27"/>
      <c r="O6" s="305">
        <v>1</v>
      </c>
      <c r="P6" s="666">
        <v>5.0808435466419164</v>
      </c>
      <c r="Q6" s="667">
        <v>5.0252070310389252</v>
      </c>
      <c r="R6" s="668">
        <v>1.3817806176679981</v>
      </c>
      <c r="S6" s="669">
        <v>8.9008194125426995E-5</v>
      </c>
      <c r="T6" s="136">
        <v>2.4</v>
      </c>
      <c r="U6" s="136">
        <v>3.0815898108373632</v>
      </c>
      <c r="V6" s="136">
        <v>0.25702774581357529</v>
      </c>
      <c r="W6" s="136">
        <v>0</v>
      </c>
    </row>
    <row r="7" spans="1:23" ht="15" customHeight="1" thickBot="1">
      <c r="A7" s="6">
        <v>3.74</v>
      </c>
      <c r="B7" s="964">
        <v>3.57</v>
      </c>
      <c r="C7" s="136">
        <v>3.6007716199817827</v>
      </c>
      <c r="D7" s="136">
        <v>0.65675240419324532</v>
      </c>
      <c r="E7" s="27"/>
      <c r="F7" s="27"/>
      <c r="G7" s="27"/>
      <c r="H7" s="27"/>
      <c r="I7" s="27"/>
      <c r="J7" s="27"/>
      <c r="K7" s="27"/>
      <c r="L7" s="27"/>
      <c r="M7" s="27"/>
      <c r="N7" s="27"/>
      <c r="O7" s="1362">
        <v>2</v>
      </c>
      <c r="P7" s="666">
        <v>11.395125006165665</v>
      </c>
      <c r="Q7" s="667">
        <v>9.0681442074213177</v>
      </c>
      <c r="R7" s="668">
        <v>0.94527865350702045</v>
      </c>
      <c r="S7" s="669">
        <v>-9.6339406579145465E-4</v>
      </c>
      <c r="T7" s="136">
        <v>2.4963333333333333</v>
      </c>
      <c r="U7" s="136">
        <v>3.10641508380079</v>
      </c>
      <c r="V7" s="136">
        <v>0.25905191895179142</v>
      </c>
      <c r="W7" s="136">
        <v>2.0991194797941138E-2</v>
      </c>
    </row>
    <row r="8" spans="1:23" ht="15" customHeight="1" thickBot="1">
      <c r="A8" s="6">
        <v>4.54</v>
      </c>
      <c r="B8" s="6">
        <v>4.18</v>
      </c>
      <c r="C8" s="136">
        <v>4.3198273874131567</v>
      </c>
      <c r="D8" s="136">
        <v>1.1764058582472128</v>
      </c>
      <c r="E8" s="27"/>
      <c r="F8" s="27"/>
      <c r="G8" s="27"/>
      <c r="H8" s="27"/>
      <c r="I8" s="27"/>
      <c r="J8" s="27"/>
      <c r="K8" s="27"/>
      <c r="L8" s="27"/>
      <c r="M8" s="27"/>
      <c r="N8" s="27"/>
      <c r="O8" s="1363">
        <v>3</v>
      </c>
      <c r="P8" s="1364">
        <f>P7-A6</f>
        <v>8.9951250061656651</v>
      </c>
      <c r="Q8" s="1365"/>
      <c r="R8" s="1366"/>
      <c r="S8" s="1367"/>
      <c r="T8" s="136">
        <v>2.5926666666666667</v>
      </c>
      <c r="U8" s="136">
        <v>3.1316299578538938</v>
      </c>
      <c r="V8" s="136">
        <v>0.26512039405368881</v>
      </c>
      <c r="W8" s="136">
        <v>4.1982365668655292E-2</v>
      </c>
    </row>
    <row r="9" spans="1:23" ht="15" customHeight="1">
      <c r="A9" s="965">
        <v>4.9400000000000004</v>
      </c>
      <c r="B9" s="6">
        <v>4.74</v>
      </c>
      <c r="C9" s="136">
        <v>4.8314887498470167</v>
      </c>
      <c r="D9" s="136">
        <v>1.3663374458688329</v>
      </c>
      <c r="E9" s="27"/>
      <c r="F9" s="27"/>
      <c r="G9" s="27"/>
      <c r="H9" s="27"/>
      <c r="I9" s="27"/>
      <c r="J9" s="27"/>
      <c r="K9" s="27"/>
      <c r="L9" s="27"/>
      <c r="M9" s="27"/>
      <c r="N9" s="27"/>
      <c r="O9" s="305">
        <v>4</v>
      </c>
      <c r="P9" s="666"/>
      <c r="Q9" s="667"/>
      <c r="R9" s="668"/>
      <c r="S9" s="669"/>
      <c r="T9" s="136">
        <v>2.6890000000000001</v>
      </c>
      <c r="U9" s="136">
        <v>3.1576240340863508</v>
      </c>
      <c r="V9" s="136">
        <v>0.27523317112848744</v>
      </c>
      <c r="W9" s="136">
        <v>6.2973584393535287E-2</v>
      </c>
    </row>
    <row r="10" spans="1:23" ht="15" customHeight="1">
      <c r="A10" s="6">
        <v>5.0999999999999996</v>
      </c>
      <c r="B10" s="6">
        <v>5.1100000000000003</v>
      </c>
      <c r="C10" s="136">
        <v>5.0516748095240507</v>
      </c>
      <c r="D10" s="136">
        <v>1.3807035062015587</v>
      </c>
      <c r="E10" s="27"/>
      <c r="F10" s="27"/>
      <c r="G10" s="27"/>
      <c r="H10" s="27"/>
      <c r="I10" s="27"/>
      <c r="J10" s="27"/>
      <c r="K10" s="27"/>
      <c r="L10" s="27"/>
      <c r="M10" s="27"/>
      <c r="N10" s="27"/>
      <c r="O10" s="305">
        <v>5</v>
      </c>
      <c r="P10" s="666"/>
      <c r="Q10" s="667"/>
      <c r="R10" s="668"/>
      <c r="S10" s="669"/>
      <c r="T10" s="136">
        <v>2.7853333333333334</v>
      </c>
      <c r="U10" s="136">
        <v>3.1847869135878386</v>
      </c>
      <c r="V10" s="136">
        <v>0.2893902501669674</v>
      </c>
      <c r="W10" s="136">
        <v>8.3964731337598714E-2</v>
      </c>
    </row>
    <row r="11" spans="1:23" ht="15" customHeight="1">
      <c r="A11" s="6">
        <v>5.5</v>
      </c>
      <c r="B11" s="6">
        <v>5.65</v>
      </c>
      <c r="C11" s="136">
        <v>5.586388091679944</v>
      </c>
      <c r="D11" s="136">
        <v>1.2461132827971286</v>
      </c>
      <c r="E11" s="27"/>
      <c r="F11" s="27"/>
      <c r="G11" s="27"/>
      <c r="H11" s="27"/>
      <c r="I11" s="27"/>
      <c r="J11" s="27"/>
      <c r="K11" s="27"/>
      <c r="L11" s="27"/>
      <c r="M11" s="27"/>
      <c r="N11" s="27"/>
      <c r="O11" s="305">
        <v>6</v>
      </c>
      <c r="P11" s="666"/>
      <c r="Q11" s="667"/>
      <c r="R11" s="668"/>
      <c r="S11" s="669"/>
      <c r="T11" s="136">
        <v>2.8816666666666668</v>
      </c>
      <c r="U11" s="136">
        <v>3.2135081974480331</v>
      </c>
      <c r="V11" s="136">
        <v>0.30759163118295846</v>
      </c>
      <c r="W11" s="136">
        <v>0.10495595006247871</v>
      </c>
    </row>
    <row r="12" spans="1:23" ht="15" customHeight="1">
      <c r="A12" s="6">
        <v>5.74</v>
      </c>
      <c r="B12" s="6">
        <v>6.01</v>
      </c>
      <c r="C12" s="136">
        <v>5.8684778263133746</v>
      </c>
      <c r="D12" s="136">
        <v>1.0765600161831235</v>
      </c>
      <c r="E12" s="27"/>
      <c r="F12" s="27"/>
      <c r="G12" s="27"/>
      <c r="H12" s="27"/>
      <c r="I12" s="27"/>
      <c r="J12" s="27"/>
      <c r="K12" s="27"/>
      <c r="L12" s="27"/>
      <c r="M12" s="27"/>
      <c r="N12" s="27"/>
      <c r="O12" s="305">
        <v>7</v>
      </c>
      <c r="P12" s="666"/>
      <c r="Q12" s="667"/>
      <c r="R12" s="668"/>
      <c r="S12" s="669"/>
      <c r="T12" s="136">
        <v>2.9779999999999998</v>
      </c>
      <c r="U12" s="136">
        <v>3.2441774867566116</v>
      </c>
      <c r="V12" s="136">
        <v>0.32983731416263079</v>
      </c>
      <c r="W12" s="136">
        <v>0.12594714486013173</v>
      </c>
    </row>
    <row r="13" spans="1:23" ht="15" customHeight="1">
      <c r="A13" s="6">
        <v>6.52</v>
      </c>
      <c r="B13" s="6">
        <v>6.51</v>
      </c>
      <c r="C13" s="136">
        <v>6.5108935199556912</v>
      </c>
      <c r="D13" s="136">
        <v>0.59831922306635521</v>
      </c>
      <c r="E13" s="27"/>
      <c r="F13" s="27"/>
      <c r="G13" s="27"/>
      <c r="H13" s="27"/>
      <c r="I13" s="27"/>
      <c r="J13" s="27"/>
      <c r="K13" s="27"/>
      <c r="L13" s="27"/>
      <c r="M13" s="27"/>
      <c r="N13" s="27"/>
      <c r="O13" s="305">
        <v>8</v>
      </c>
      <c r="P13" s="666"/>
      <c r="Q13" s="667"/>
      <c r="R13" s="668"/>
      <c r="S13" s="669"/>
      <c r="T13" s="136">
        <v>3.0743333333333331</v>
      </c>
      <c r="U13" s="136">
        <v>3.277184382603251</v>
      </c>
      <c r="V13" s="136">
        <v>0.35612729911059443</v>
      </c>
      <c r="W13" s="136">
        <v>0.146938315731134</v>
      </c>
    </row>
    <row r="14" spans="1:23" ht="15" customHeight="1">
      <c r="A14" s="6">
        <v>7.52</v>
      </c>
      <c r="B14" s="6">
        <v>6.92</v>
      </c>
      <c r="C14" s="136">
        <v>6.9665177111803835</v>
      </c>
      <c r="D14" s="136">
        <v>0.37984852471343933</v>
      </c>
      <c r="E14" s="27"/>
      <c r="F14" s="27"/>
      <c r="G14" s="27"/>
      <c r="H14" s="27"/>
      <c r="I14" s="27"/>
      <c r="J14" s="27"/>
      <c r="K14" s="27"/>
      <c r="L14" s="27"/>
      <c r="M14" s="27"/>
      <c r="N14" s="27"/>
      <c r="O14" s="305">
        <v>9</v>
      </c>
      <c r="P14" s="666"/>
      <c r="Q14" s="667"/>
      <c r="R14" s="668"/>
      <c r="S14" s="669"/>
      <c r="T14" s="136">
        <v>3.1706666666666665</v>
      </c>
      <c r="U14" s="136">
        <v>3.3129184860776277</v>
      </c>
      <c r="V14" s="136">
        <v>0.38646158603145925</v>
      </c>
      <c r="W14" s="136">
        <v>0.16792951052907515</v>
      </c>
    </row>
    <row r="15" spans="1:23" ht="15" customHeight="1">
      <c r="A15" s="6">
        <v>9</v>
      </c>
      <c r="B15" s="6">
        <v>7.56</v>
      </c>
      <c r="C15" s="136">
        <v>7.5351518183009087</v>
      </c>
      <c r="D15" s="136">
        <v>0.39672344069842025</v>
      </c>
      <c r="E15" s="27"/>
      <c r="F15" s="27"/>
      <c r="G15" s="27"/>
      <c r="H15" s="27"/>
      <c r="I15" s="27"/>
      <c r="J15" s="27"/>
      <c r="K15" s="27"/>
      <c r="L15" s="27"/>
      <c r="M15" s="27"/>
      <c r="N15" s="27"/>
      <c r="O15" s="305">
        <v>10</v>
      </c>
      <c r="P15" s="666"/>
      <c r="Q15" s="667"/>
      <c r="R15" s="668"/>
      <c r="S15" s="669"/>
      <c r="T15" s="136">
        <v>3.2669999999999999</v>
      </c>
      <c r="U15" s="136">
        <v>3.3517693982694188</v>
      </c>
      <c r="V15" s="136">
        <v>0.42084017491600534</v>
      </c>
      <c r="W15" s="136">
        <v>0.18892068140007742</v>
      </c>
    </row>
    <row r="16" spans="1:23" ht="15" customHeight="1">
      <c r="A16" s="6">
        <v>10.62</v>
      </c>
      <c r="B16" s="6">
        <v>8.31</v>
      </c>
      <c r="C16" s="136">
        <v>8.3860362958538346</v>
      </c>
      <c r="D16" s="136">
        <v>0.7674128193556421</v>
      </c>
      <c r="E16" s="27"/>
      <c r="F16" s="27"/>
      <c r="G16" s="27"/>
      <c r="H16" s="27"/>
      <c r="I16" s="27"/>
      <c r="J16" s="27"/>
      <c r="K16" s="27"/>
      <c r="L16" s="27"/>
      <c r="M16" s="27"/>
      <c r="N16" s="27"/>
      <c r="O16" s="305">
        <v>11</v>
      </c>
      <c r="P16" s="666"/>
      <c r="Q16" s="667"/>
      <c r="R16" s="668"/>
      <c r="S16" s="669"/>
      <c r="T16" s="136">
        <v>3.3633333333333333</v>
      </c>
      <c r="U16" s="136">
        <v>3.394126720268301</v>
      </c>
      <c r="V16" s="136">
        <v>0.45926306576884274</v>
      </c>
      <c r="W16" s="136">
        <v>0.2099118522710797</v>
      </c>
    </row>
    <row r="17" spans="1:23" ht="15" customHeight="1">
      <c r="A17" s="6">
        <v>11.1</v>
      </c>
      <c r="B17" s="6">
        <v>8.76</v>
      </c>
      <c r="C17" s="136">
        <v>8.7922072245315661</v>
      </c>
      <c r="D17" s="136">
        <v>0.9171276841228847</v>
      </c>
      <c r="E17" s="27"/>
      <c r="F17" s="27"/>
      <c r="G17" s="27"/>
      <c r="H17" s="27"/>
      <c r="I17" s="27"/>
      <c r="J17" s="27"/>
      <c r="K17" s="27"/>
      <c r="L17" s="27"/>
      <c r="M17" s="27"/>
      <c r="N17" s="27"/>
      <c r="O17" s="305">
        <v>12</v>
      </c>
      <c r="P17" s="666"/>
      <c r="Q17" s="667"/>
      <c r="R17" s="668"/>
      <c r="S17" s="669"/>
      <c r="T17" s="136">
        <v>3.4596666666666667</v>
      </c>
      <c r="U17" s="136">
        <v>3.4403800531639508</v>
      </c>
      <c r="V17" s="136">
        <v>0.50173025859919118</v>
      </c>
      <c r="W17" s="136">
        <v>0.23090307099567156</v>
      </c>
    </row>
    <row r="18" spans="1:23" ht="15" customHeight="1">
      <c r="A18" s="6">
        <v>11.3</v>
      </c>
      <c r="B18" s="6">
        <v>8.98</v>
      </c>
      <c r="C18" s="136">
        <v>8.9783226811500079</v>
      </c>
      <c r="D18" s="136">
        <v>0.94300704755365239</v>
      </c>
      <c r="E18" s="27"/>
      <c r="F18" s="27"/>
      <c r="G18" s="27"/>
      <c r="H18" s="27"/>
      <c r="I18" s="27"/>
      <c r="J18" s="27"/>
      <c r="K18" s="27"/>
      <c r="L18" s="27"/>
      <c r="M18" s="27"/>
      <c r="N18" s="27"/>
      <c r="O18" s="305">
        <v>13</v>
      </c>
      <c r="P18" s="666"/>
      <c r="Q18" s="667"/>
      <c r="R18" s="668"/>
      <c r="S18" s="669"/>
      <c r="T18" s="136">
        <v>3.556</v>
      </c>
      <c r="U18" s="136">
        <v>3.4909189980460451</v>
      </c>
      <c r="V18" s="136">
        <v>0.54824175339322101</v>
      </c>
      <c r="W18" s="136">
        <v>0.25189426579361274</v>
      </c>
    </row>
    <row r="19" spans="1:23" ht="15" customHeight="1">
      <c r="A19" s="6">
        <v>12.06</v>
      </c>
      <c r="B19" s="6">
        <v>9.76</v>
      </c>
      <c r="C19" s="136">
        <v>9.6614324431058574</v>
      </c>
      <c r="D19" s="136">
        <v>0.77990188229563706</v>
      </c>
      <c r="E19" s="27"/>
      <c r="F19" s="27"/>
      <c r="G19" s="27"/>
      <c r="H19" s="27"/>
      <c r="I19" s="27"/>
      <c r="J19" s="27"/>
      <c r="K19" s="27"/>
      <c r="L19" s="27"/>
      <c r="M19" s="27"/>
      <c r="N19" s="27"/>
      <c r="O19" s="305">
        <v>14</v>
      </c>
      <c r="P19" s="666"/>
      <c r="Q19" s="667"/>
      <c r="R19" s="668"/>
      <c r="S19" s="669"/>
      <c r="T19" s="136">
        <v>3.6523333333333334</v>
      </c>
      <c r="U19" s="136">
        <v>3.5461331560042613</v>
      </c>
      <c r="V19" s="136">
        <v>0.59879755015554204</v>
      </c>
      <c r="W19" s="136">
        <v>0.27288543666432685</v>
      </c>
    </row>
    <row r="20" spans="1:23" ht="15" customHeight="1" thickBot="1">
      <c r="A20" s="6">
        <v>12.6</v>
      </c>
      <c r="B20" s="6">
        <v>10.02</v>
      </c>
      <c r="C20" s="136">
        <v>10.021435796379702</v>
      </c>
      <c r="D20" s="136">
        <v>0.54949608922571558</v>
      </c>
      <c r="E20" s="27"/>
      <c r="F20" s="27"/>
      <c r="G20" s="27"/>
      <c r="H20" s="27"/>
      <c r="I20" s="27"/>
      <c r="J20" s="27"/>
      <c r="K20" s="27"/>
      <c r="L20" s="27"/>
      <c r="M20" s="27"/>
      <c r="N20" s="27"/>
      <c r="O20" s="670">
        <v>15</v>
      </c>
      <c r="P20" s="671"/>
      <c r="Q20" s="672"/>
      <c r="R20" s="673"/>
      <c r="S20" s="674"/>
      <c r="T20" s="136">
        <v>3.7486666666666668</v>
      </c>
      <c r="U20" s="136">
        <v>3.6064120980738092</v>
      </c>
      <c r="V20" s="136">
        <v>0.65338712935166054</v>
      </c>
      <c r="W20" s="136">
        <v>0.29267624111689727</v>
      </c>
    </row>
    <row r="21" spans="1:23" ht="15" customHeight="1" thickTop="1">
      <c r="A21" s="6">
        <v>15.08</v>
      </c>
      <c r="B21" s="6">
        <v>10.61</v>
      </c>
      <c r="C21" s="136">
        <v>10.628700519075279</v>
      </c>
      <c r="D21" s="136">
        <v>9.9050965019042939E-2</v>
      </c>
      <c r="E21" s="27"/>
      <c r="F21" s="27"/>
      <c r="G21" s="27"/>
      <c r="H21" s="27"/>
      <c r="I21" s="27"/>
      <c r="J21" s="27"/>
      <c r="K21" s="27"/>
      <c r="L21" s="27"/>
      <c r="M21" s="27"/>
      <c r="N21" s="27"/>
      <c r="O21" s="307"/>
      <c r="P21" s="453"/>
      <c r="Q21" s="675" t="s">
        <v>822</v>
      </c>
      <c r="R21" s="676"/>
      <c r="S21" s="677"/>
      <c r="T21" s="136">
        <v>3.8449999999999998</v>
      </c>
      <c r="U21" s="136">
        <v>3.6720920688408714</v>
      </c>
      <c r="V21" s="136">
        <v>0.71051360052685075</v>
      </c>
      <c r="W21" s="136">
        <v>0.30032448553070024</v>
      </c>
    </row>
    <row r="22" spans="1:23" ht="15" customHeight="1">
      <c r="A22" s="6">
        <v>18.420000000000002</v>
      </c>
      <c r="B22" s="6">
        <v>10.99</v>
      </c>
      <c r="C22" s="136">
        <v>10.988971890774923</v>
      </c>
      <c r="D22" s="136">
        <v>0.10136602876187338</v>
      </c>
      <c r="E22" s="27"/>
      <c r="F22" s="27"/>
      <c r="G22" s="27"/>
      <c r="H22" s="27"/>
      <c r="I22" s="27"/>
      <c r="J22" s="27"/>
      <c r="K22" s="27"/>
      <c r="L22" s="27"/>
      <c r="M22" s="27"/>
      <c r="N22" s="27"/>
      <c r="O22" s="123"/>
      <c r="P22" s="678"/>
      <c r="Q22" s="679" t="s">
        <v>823</v>
      </c>
      <c r="R22" s="680"/>
      <c r="S22" s="681"/>
      <c r="T22" s="136">
        <v>3.9413333333333336</v>
      </c>
      <c r="U22" s="136">
        <v>3.7433461288742933</v>
      </c>
      <c r="V22" s="136">
        <v>0.76911363959028201</v>
      </c>
      <c r="W22" s="136">
        <v>0.30797277779838095</v>
      </c>
    </row>
    <row r="23" spans="1:23" ht="15" customHeight="1">
      <c r="A23" s="6">
        <v>31.3</v>
      </c>
      <c r="B23" s="6">
        <v>11.58</v>
      </c>
      <c r="C23" s="136">
        <v>11.580111804095148</v>
      </c>
      <c r="D23" s="136">
        <v>1.8067467433392187E-2</v>
      </c>
      <c r="E23" s="27"/>
      <c r="F23" s="27"/>
      <c r="G23" s="27"/>
      <c r="H23" s="27"/>
      <c r="I23" s="27"/>
      <c r="J23" s="27"/>
      <c r="K23" s="27"/>
      <c r="L23" s="27"/>
      <c r="M23" s="27"/>
      <c r="N23" s="27"/>
      <c r="O23" s="408"/>
      <c r="P23" s="144"/>
      <c r="Q23" s="144"/>
      <c r="R23" s="144"/>
      <c r="S23" s="682"/>
      <c r="T23" s="136">
        <v>4.0376666666666665</v>
      </c>
      <c r="U23" s="136">
        <v>3.8203162318803505</v>
      </c>
      <c r="V23" s="136">
        <v>0.82918724654195419</v>
      </c>
      <c r="W23" s="136">
        <v>0.3156210700654854</v>
      </c>
    </row>
    <row r="24" spans="1:23" ht="15" customHeight="1">
      <c r="A24" s="6"/>
      <c r="B24" s="6"/>
      <c r="C24" s="136"/>
      <c r="D24" s="136"/>
      <c r="E24" s="27"/>
      <c r="F24" s="27"/>
      <c r="G24" s="27"/>
      <c r="H24" s="27"/>
      <c r="I24" s="27"/>
      <c r="J24" s="27"/>
      <c r="K24" s="27"/>
      <c r="L24" s="27"/>
      <c r="M24" s="27"/>
      <c r="N24" s="27"/>
      <c r="O24" s="683"/>
      <c r="P24" s="684"/>
      <c r="Q24" s="685" t="s">
        <v>1131</v>
      </c>
      <c r="R24" s="686">
        <v>20</v>
      </c>
      <c r="S24" s="687" t="s">
        <v>824</v>
      </c>
      <c r="T24" s="136">
        <v>4.1340000000000003</v>
      </c>
      <c r="U24" s="136">
        <v>3.903144331565322</v>
      </c>
      <c r="V24" s="136">
        <v>0.89073442137264769</v>
      </c>
      <c r="W24" s="136">
        <v>0.32326931447928836</v>
      </c>
    </row>
    <row r="25" spans="1:23" ht="15" customHeight="1">
      <c r="A25" s="6"/>
      <c r="B25" s="6"/>
      <c r="C25" s="136"/>
      <c r="D25" s="136"/>
      <c r="E25" s="27"/>
      <c r="F25" s="27"/>
      <c r="G25" s="27"/>
      <c r="H25" s="27"/>
      <c r="I25" s="27"/>
      <c r="J25" s="27"/>
      <c r="K25" s="27"/>
      <c r="L25" s="27"/>
      <c r="M25" s="27"/>
      <c r="N25" s="27"/>
      <c r="O25" s="683"/>
      <c r="P25" s="684"/>
      <c r="Q25" s="688" t="s">
        <v>825</v>
      </c>
      <c r="R25" s="689">
        <v>0.1</v>
      </c>
      <c r="S25" s="687" t="s">
        <v>826</v>
      </c>
      <c r="T25" s="136">
        <v>4.2303333333333333</v>
      </c>
      <c r="U25" s="136">
        <v>3.9919723816354824</v>
      </c>
      <c r="V25" s="136">
        <v>0.95375516409158234</v>
      </c>
      <c r="W25" s="136">
        <v>0.33091760674696907</v>
      </c>
    </row>
    <row r="26" spans="1:23" ht="15" customHeight="1">
      <c r="A26" s="6"/>
      <c r="B26" s="6"/>
      <c r="C26" s="136"/>
      <c r="D26" s="136"/>
      <c r="E26" s="27"/>
      <c r="F26" s="27"/>
      <c r="G26" s="27"/>
      <c r="H26" s="27"/>
      <c r="I26" s="27"/>
      <c r="J26" s="27"/>
      <c r="K26" s="27"/>
      <c r="L26" s="27"/>
      <c r="M26" s="27"/>
      <c r="N26" s="27"/>
      <c r="O26" s="690"/>
      <c r="P26" s="691"/>
      <c r="Q26" s="692" t="s">
        <v>827</v>
      </c>
      <c r="R26" s="693"/>
      <c r="S26" s="694" t="s">
        <v>828</v>
      </c>
      <c r="T26" s="136">
        <v>4.3266666666666662</v>
      </c>
      <c r="U26" s="136">
        <v>4.0869423357971097</v>
      </c>
      <c r="V26" s="136">
        <v>1.0182494746987578</v>
      </c>
      <c r="W26" s="136">
        <v>0.33856592294072424</v>
      </c>
    </row>
    <row r="27" spans="1:23" ht="19.5" customHeight="1">
      <c r="A27" s="6"/>
      <c r="B27" s="6"/>
      <c r="C27" s="136"/>
      <c r="D27" s="136"/>
      <c r="E27" s="27"/>
      <c r="F27" s="27"/>
      <c r="G27" s="27"/>
      <c r="H27" s="27"/>
      <c r="I27" s="27"/>
      <c r="J27" s="27"/>
      <c r="K27" s="27"/>
      <c r="L27" s="27"/>
      <c r="M27" s="27"/>
      <c r="N27" s="27"/>
      <c r="O27" s="705" t="s">
        <v>821</v>
      </c>
      <c r="P27" s="706" t="s">
        <v>662</v>
      </c>
      <c r="Q27" s="707" t="s">
        <v>829</v>
      </c>
      <c r="R27" s="708" t="s">
        <v>830</v>
      </c>
      <c r="S27" s="709" t="s">
        <v>663</v>
      </c>
      <c r="T27" s="136">
        <v>4.423</v>
      </c>
      <c r="U27" s="136">
        <v>4.1881961477564822</v>
      </c>
      <c r="V27" s="136">
        <v>1.0842173531757349</v>
      </c>
      <c r="W27" s="136">
        <v>0.34621407164792423</v>
      </c>
    </row>
    <row r="28" spans="1:23" ht="15" customHeight="1">
      <c r="A28" s="6"/>
      <c r="B28" s="6"/>
      <c r="C28" s="136"/>
      <c r="D28" s="136"/>
      <c r="E28" s="27"/>
      <c r="F28" s="27"/>
      <c r="G28" s="27"/>
      <c r="H28" s="27"/>
      <c r="I28" s="27"/>
      <c r="J28" s="27"/>
      <c r="K28" s="27"/>
      <c r="L28" s="27"/>
      <c r="M28" s="27"/>
      <c r="N28" s="27"/>
      <c r="O28" s="695">
        <v>1</v>
      </c>
      <c r="P28" s="696">
        <v>10.015833332490743</v>
      </c>
      <c r="Q28" s="697">
        <f>IF(P28&lt;&gt;"",P28*0.001*$R$25,"")</f>
        <v>1.0015833332490743E-3</v>
      </c>
      <c r="R28" s="697">
        <f>IF(P28&lt;&gt;"",Q28,"")</f>
        <v>1.0015833332490743E-3</v>
      </c>
      <c r="S28" s="698">
        <f>IF(P28&lt;&gt;"",R28/$R$24/0.001,"")</f>
        <v>5.0079166662453711E-2</v>
      </c>
      <c r="T28" s="136">
        <v>4.5193333333333339</v>
      </c>
      <c r="U28" s="136">
        <v>4.2958757712198743</v>
      </c>
      <c r="V28" s="136">
        <v>1.1516587995593925</v>
      </c>
      <c r="W28" s="136">
        <v>0.35386245962278412</v>
      </c>
    </row>
    <row r="29" spans="1:23" ht="15" customHeight="1">
      <c r="A29" s="6"/>
      <c r="B29" s="6"/>
      <c r="C29" s="136"/>
      <c r="D29" s="136"/>
      <c r="E29" s="27"/>
      <c r="F29" s="27"/>
      <c r="G29" s="27"/>
      <c r="H29" s="27"/>
      <c r="I29" s="27"/>
      <c r="J29" s="27"/>
      <c r="K29" s="27"/>
      <c r="L29" s="27"/>
      <c r="M29" s="27"/>
      <c r="N29" s="27"/>
      <c r="O29" s="305">
        <v>2</v>
      </c>
      <c r="P29" s="699">
        <v>30.02916666411647</v>
      </c>
      <c r="Q29" s="700">
        <f t="shared" ref="Q29:Q37" si="0">IF(P29&lt;&gt;"",P29*0.001*$R$25,"")</f>
        <v>3.0029166664116472E-3</v>
      </c>
      <c r="R29" s="700">
        <f>IF(P29&lt;&gt;"",(Q29-Q28),"")</f>
        <v>2.0013333331625732E-3</v>
      </c>
      <c r="S29" s="701">
        <f t="shared" ref="S29:S37" si="1">IF(P29&lt;&gt;"",R29/$R$24/0.001,"")</f>
        <v>0.10006666665812866</v>
      </c>
      <c r="T29" s="136">
        <v>4.6156666666666668</v>
      </c>
      <c r="U29" s="136">
        <v>4.4100322715016818</v>
      </c>
      <c r="V29" s="136">
        <v>1.2169657196157331</v>
      </c>
      <c r="W29" s="136">
        <v>0.3138872526557725</v>
      </c>
    </row>
    <row r="30" spans="1:23" ht="15" customHeight="1">
      <c r="A30" s="6"/>
      <c r="B30" s="6"/>
      <c r="C30" s="136"/>
      <c r="D30" s="136"/>
      <c r="E30" s="27"/>
      <c r="F30" s="27"/>
      <c r="G30" s="27"/>
      <c r="H30" s="27"/>
      <c r="I30" s="27"/>
      <c r="J30" s="27"/>
      <c r="K30" s="27"/>
      <c r="L30" s="27"/>
      <c r="M30" s="27"/>
      <c r="N30" s="27"/>
      <c r="O30" s="305">
        <v>3</v>
      </c>
      <c r="P30" s="699"/>
      <c r="Q30" s="700" t="str">
        <f t="shared" si="0"/>
        <v/>
      </c>
      <c r="R30" s="700" t="str">
        <f t="shared" ref="R30:R37" si="2">IF(P30&lt;&gt;"",(Q30-Q29),"")</f>
        <v/>
      </c>
      <c r="S30" s="701" t="str">
        <f t="shared" si="1"/>
        <v/>
      </c>
      <c r="T30" s="136">
        <v>4.7119999999999997</v>
      </c>
      <c r="U30" s="136">
        <v>4.5300127378177457</v>
      </c>
      <c r="V30" s="136">
        <v>1.2723322620530011</v>
      </c>
      <c r="W30" s="136">
        <v>0.26090483804100345</v>
      </c>
    </row>
    <row r="31" spans="1:23" ht="15" customHeight="1">
      <c r="A31" s="6"/>
      <c r="B31" s="6"/>
      <c r="C31" s="136"/>
      <c r="D31" s="136"/>
      <c r="E31" s="27"/>
      <c r="F31" s="27"/>
      <c r="G31" s="27"/>
      <c r="H31" s="27"/>
      <c r="I31" s="27"/>
      <c r="J31" s="27"/>
      <c r="K31" s="27"/>
      <c r="L31" s="27"/>
      <c r="M31" s="27"/>
      <c r="N31" s="27"/>
      <c r="O31" s="305">
        <v>4</v>
      </c>
      <c r="P31" s="699"/>
      <c r="Q31" s="700" t="str">
        <f t="shared" si="0"/>
        <v/>
      </c>
      <c r="R31" s="700" t="str">
        <f t="shared" si="2"/>
        <v/>
      </c>
      <c r="S31" s="701" t="str">
        <f t="shared" si="1"/>
        <v/>
      </c>
      <c r="T31" s="136">
        <v>4.8083333333333336</v>
      </c>
      <c r="U31" s="136">
        <v>4.6548356567899978</v>
      </c>
      <c r="V31" s="136">
        <v>1.3174908609433054</v>
      </c>
      <c r="W31" s="136">
        <v>0.20792247128068839</v>
      </c>
    </row>
    <row r="32" spans="1:23" ht="15" customHeight="1">
      <c r="A32" s="6"/>
      <c r="B32" s="6"/>
      <c r="C32" s="136"/>
      <c r="D32" s="136"/>
      <c r="E32" s="27"/>
      <c r="F32" s="27"/>
      <c r="G32" s="27"/>
      <c r="H32" s="27"/>
      <c r="I32" s="27"/>
      <c r="J32" s="27"/>
      <c r="K32" s="27"/>
      <c r="L32" s="27"/>
      <c r="M32" s="27"/>
      <c r="N32" s="27"/>
      <c r="O32" s="305">
        <v>5</v>
      </c>
      <c r="P32" s="699"/>
      <c r="Q32" s="700" t="str">
        <f t="shared" si="0"/>
        <v/>
      </c>
      <c r="R32" s="700" t="str">
        <f t="shared" si="2"/>
        <v/>
      </c>
      <c r="S32" s="701" t="str">
        <f t="shared" si="1"/>
        <v/>
      </c>
      <c r="T32" s="136">
        <v>4.9046666666666674</v>
      </c>
      <c r="U32" s="136">
        <v>4.7835176631898966</v>
      </c>
      <c r="V32" s="136">
        <v>1.3524415162774261</v>
      </c>
      <c r="W32" s="136">
        <v>0.15494005666591934</v>
      </c>
    </row>
    <row r="33" spans="1:23" ht="15" customHeight="1">
      <c r="A33" s="6"/>
      <c r="B33" s="6"/>
      <c r="C33" s="136"/>
      <c r="D33" s="136"/>
      <c r="E33" s="27"/>
      <c r="F33" s="27"/>
      <c r="G33" s="27"/>
      <c r="H33" s="27"/>
      <c r="I33" s="27"/>
      <c r="J33" s="27"/>
      <c r="K33" s="27"/>
      <c r="L33" s="27"/>
      <c r="M33" s="27"/>
      <c r="N33" s="27"/>
      <c r="O33" s="305">
        <v>6</v>
      </c>
      <c r="P33" s="699"/>
      <c r="Q33" s="700" t="str">
        <f t="shared" si="0"/>
        <v/>
      </c>
      <c r="R33" s="700" t="str">
        <f t="shared" si="2"/>
        <v/>
      </c>
      <c r="S33" s="701" t="str">
        <f t="shared" si="1"/>
        <v/>
      </c>
      <c r="T33" s="136">
        <v>5.0009999999999994</v>
      </c>
      <c r="U33" s="136">
        <v>4.9150442345067606</v>
      </c>
      <c r="V33" s="136">
        <v>1.3756494815340283</v>
      </c>
      <c r="W33" s="136">
        <v>7.6837519835824444E-2</v>
      </c>
    </row>
    <row r="34" spans="1:23" ht="15" customHeight="1">
      <c r="A34" s="6"/>
      <c r="B34" s="6"/>
      <c r="C34" s="136"/>
      <c r="D34" s="136"/>
      <c r="E34" s="27"/>
      <c r="F34" s="27"/>
      <c r="G34" s="27"/>
      <c r="H34" s="27"/>
      <c r="I34" s="27"/>
      <c r="J34" s="27"/>
      <c r="K34" s="27"/>
      <c r="L34" s="27"/>
      <c r="M34" s="27"/>
      <c r="N34" s="27"/>
      <c r="O34" s="305">
        <v>7</v>
      </c>
      <c r="P34" s="699"/>
      <c r="Q34" s="700" t="str">
        <f t="shared" si="0"/>
        <v/>
      </c>
      <c r="R34" s="700" t="str">
        <f t="shared" si="2"/>
        <v/>
      </c>
      <c r="S34" s="701" t="str">
        <f t="shared" si="1"/>
        <v/>
      </c>
      <c r="T34" s="136">
        <v>5.0973333333333333</v>
      </c>
      <c r="U34" s="136">
        <v>5.0479908732479455</v>
      </c>
      <c r="V34" s="136">
        <v>1.3815190310863059</v>
      </c>
      <c r="W34" s="136">
        <v>-1.581536831600145E-2</v>
      </c>
    </row>
    <row r="35" spans="1:23" ht="15" customHeight="1">
      <c r="A35" s="6"/>
      <c r="B35" s="6"/>
      <c r="C35" s="136"/>
      <c r="D35" s="136"/>
      <c r="E35" s="27"/>
      <c r="F35" s="27"/>
      <c r="G35" s="27"/>
      <c r="H35" s="27"/>
      <c r="I35" s="27"/>
      <c r="J35" s="27"/>
      <c r="K35" s="27"/>
      <c r="L35" s="27"/>
      <c r="M35" s="27"/>
      <c r="N35" s="27"/>
      <c r="O35" s="305">
        <v>8</v>
      </c>
      <c r="P35" s="699"/>
      <c r="Q35" s="700" t="str">
        <f t="shared" si="0"/>
        <v/>
      </c>
      <c r="R35" s="700" t="str">
        <f t="shared" si="2"/>
        <v/>
      </c>
      <c r="S35" s="701" t="str">
        <f t="shared" si="1"/>
        <v/>
      </c>
      <c r="T35" s="136">
        <v>5.1936666666666671</v>
      </c>
      <c r="U35" s="136">
        <v>5.1807158896815588</v>
      </c>
      <c r="V35" s="136">
        <v>1.3718431166037448</v>
      </c>
      <c r="W35" s="136">
        <v>-8.3877876567106463E-2</v>
      </c>
    </row>
    <row r="36" spans="1:23" ht="15" customHeight="1">
      <c r="A36" s="6"/>
      <c r="B36" s="6"/>
      <c r="C36" s="136"/>
      <c r="D36" s="136"/>
      <c r="E36" s="27"/>
      <c r="F36" s="27"/>
      <c r="G36" s="27"/>
      <c r="H36" s="27"/>
      <c r="I36" s="27"/>
      <c r="J36" s="27"/>
      <c r="K36" s="27"/>
      <c r="L36" s="27"/>
      <c r="M36" s="27"/>
      <c r="N36" s="27"/>
      <c r="O36" s="305">
        <v>9</v>
      </c>
      <c r="P36" s="699"/>
      <c r="Q36" s="700" t="str">
        <f t="shared" si="0"/>
        <v/>
      </c>
      <c r="R36" s="700" t="str">
        <f t="shared" si="2"/>
        <v/>
      </c>
      <c r="S36" s="701" t="str">
        <f t="shared" si="1"/>
        <v/>
      </c>
      <c r="T36" s="136">
        <v>5.29</v>
      </c>
      <c r="U36" s="136">
        <v>5.3118841150172109</v>
      </c>
      <c r="V36" s="136">
        <v>1.3491868959440967</v>
      </c>
      <c r="W36" s="136">
        <v>-0.15124037844124183</v>
      </c>
    </row>
    <row r="37" spans="1:23" ht="15" customHeight="1" thickBot="1">
      <c r="A37" s="6"/>
      <c r="B37" s="6"/>
      <c r="C37" s="136"/>
      <c r="D37" s="136"/>
      <c r="E37" s="27"/>
      <c r="F37" s="27"/>
      <c r="G37" s="27"/>
      <c r="H37" s="27"/>
      <c r="I37" s="27"/>
      <c r="J37" s="27"/>
      <c r="K37" s="27"/>
      <c r="L37" s="27"/>
      <c r="M37" s="27"/>
      <c r="N37" s="27"/>
      <c r="O37" s="670">
        <v>10</v>
      </c>
      <c r="P37" s="702"/>
      <c r="Q37" s="703" t="str">
        <f t="shared" si="0"/>
        <v/>
      </c>
      <c r="R37" s="703" t="str">
        <f t="shared" si="2"/>
        <v/>
      </c>
      <c r="S37" s="704" t="str">
        <f t="shared" si="1"/>
        <v/>
      </c>
      <c r="T37" s="136">
        <v>5.386333333333333</v>
      </c>
      <c r="U37" s="136">
        <v>5.4402452848585128</v>
      </c>
      <c r="V37" s="136">
        <v>1.3135521693558929</v>
      </c>
      <c r="W37" s="136">
        <v>-0.21860288031768213</v>
      </c>
    </row>
    <row r="38" spans="1:23" ht="15" customHeight="1" thickTop="1">
      <c r="A38" s="6"/>
      <c r="B38" s="6"/>
      <c r="C38" s="136"/>
      <c r="D38" s="136"/>
      <c r="E38" s="27"/>
      <c r="F38" s="27"/>
      <c r="G38" s="27"/>
      <c r="H38" s="27"/>
      <c r="I38" s="27"/>
      <c r="J38" s="27"/>
      <c r="K38" s="27"/>
      <c r="L38" s="27"/>
      <c r="M38" s="27"/>
      <c r="N38" s="27"/>
      <c r="O38" s="373" t="s">
        <v>664</v>
      </c>
      <c r="P38" s="373"/>
      <c r="Q38" s="373"/>
      <c r="R38" s="373"/>
      <c r="S38" s="373"/>
      <c r="T38" s="136">
        <v>5.4826666666666668</v>
      </c>
      <c r="U38" s="136">
        <v>5.5645491364685276</v>
      </c>
      <c r="V38" s="136">
        <v>1.2649389368483539</v>
      </c>
      <c r="W38" s="136">
        <v>-0.28596543004511898</v>
      </c>
    </row>
    <row r="39" spans="1:23" ht="15" customHeight="1">
      <c r="A39" s="6"/>
      <c r="B39" s="6"/>
      <c r="C39" s="136"/>
      <c r="D39" s="136"/>
      <c r="E39" s="27"/>
      <c r="F39" s="27"/>
      <c r="G39" s="27"/>
      <c r="H39" s="27"/>
      <c r="I39" s="27"/>
      <c r="J39" s="27"/>
      <c r="K39" s="27"/>
      <c r="L39" s="27"/>
      <c r="M39" s="27"/>
      <c r="N39" s="27"/>
      <c r="O39" s="711" t="s">
        <v>831</v>
      </c>
      <c r="P39" s="373"/>
      <c r="Q39" s="373"/>
      <c r="R39" s="373"/>
      <c r="S39" s="373"/>
      <c r="T39" s="136">
        <v>5.5790000000000006</v>
      </c>
      <c r="U39" s="136">
        <v>5.6835924638752546</v>
      </c>
      <c r="V39" s="136">
        <v>1.2051363441204319</v>
      </c>
      <c r="W39" s="136">
        <v>-0.33070798287853254</v>
      </c>
    </row>
    <row r="40" spans="1:23" ht="15" customHeight="1">
      <c r="A40" s="6"/>
      <c r="B40" s="6"/>
      <c r="C40" s="136"/>
      <c r="D40" s="136"/>
      <c r="E40" s="27"/>
      <c r="F40" s="27"/>
      <c r="G40" s="27"/>
      <c r="H40" s="27"/>
      <c r="I40" s="27"/>
      <c r="J40" s="27"/>
      <c r="K40" s="27"/>
      <c r="L40" s="27"/>
      <c r="M40" s="27"/>
      <c r="N40" s="27"/>
      <c r="O40" s="711" t="s">
        <v>955</v>
      </c>
      <c r="P40" s="373"/>
      <c r="Q40" s="373"/>
      <c r="R40" s="373"/>
      <c r="S40" s="373"/>
      <c r="T40" s="136">
        <v>5.6753333333333336</v>
      </c>
      <c r="U40" s="136">
        <v>5.7964982734923867</v>
      </c>
      <c r="V40" s="136">
        <v>1.1375839869913651</v>
      </c>
      <c r="W40" s="136">
        <v>-0.370487754650412</v>
      </c>
    </row>
    <row r="41" spans="1:23" ht="15" customHeight="1">
      <c r="A41" s="6"/>
      <c r="B41" s="6"/>
      <c r="C41" s="136"/>
      <c r="D41" s="136"/>
      <c r="E41" s="27"/>
      <c r="F41" s="27"/>
      <c r="G41" s="27"/>
      <c r="H41" s="27"/>
      <c r="I41" s="27"/>
      <c r="J41" s="27"/>
      <c r="K41" s="27"/>
      <c r="L41" s="27"/>
      <c r="M41" s="27"/>
      <c r="N41" s="27"/>
      <c r="O41" s="711" t="s">
        <v>956</v>
      </c>
      <c r="P41" s="373"/>
      <c r="Q41" s="373"/>
      <c r="R41" s="373"/>
      <c r="S41" s="373"/>
      <c r="T41" s="136">
        <v>5.7716666666666665</v>
      </c>
      <c r="U41" s="136">
        <v>5.9025344914830162</v>
      </c>
      <c r="V41" s="136">
        <v>1.0630081410083534</v>
      </c>
      <c r="W41" s="136">
        <v>-0.39009530271540899</v>
      </c>
    </row>
    <row r="42" spans="1:23" ht="15" customHeight="1">
      <c r="A42" s="6"/>
      <c r="B42" s="6"/>
      <c r="C42" s="136"/>
      <c r="D42" s="136"/>
      <c r="E42" s="27"/>
      <c r="F42" s="27"/>
      <c r="G42" s="27"/>
      <c r="H42" s="27"/>
      <c r="I42" s="27"/>
      <c r="J42" s="27"/>
      <c r="K42" s="27"/>
      <c r="L42" s="27"/>
      <c r="M42" s="27"/>
      <c r="N42" s="27"/>
      <c r="O42" s="27"/>
      <c r="P42" s="27"/>
      <c r="Q42" s="27"/>
      <c r="R42" s="27"/>
      <c r="S42" s="27"/>
      <c r="T42" s="136">
        <v>5.8680000000000003</v>
      </c>
      <c r="U42" s="136">
        <v>6.0013878744169853</v>
      </c>
      <c r="V42" s="136">
        <v>0.98993129725794815</v>
      </c>
      <c r="W42" s="136">
        <v>-0.36850947575734755</v>
      </c>
    </row>
    <row r="43" spans="1:23" ht="15" customHeight="1">
      <c r="A43" s="6"/>
      <c r="B43" s="6"/>
      <c r="C43" s="136"/>
      <c r="D43" s="136"/>
      <c r="E43" s="27"/>
      <c r="F43" s="27"/>
      <c r="G43" s="27"/>
      <c r="H43" s="27"/>
      <c r="I43" s="27"/>
      <c r="J43" s="27"/>
      <c r="K43" s="27"/>
      <c r="L43" s="27"/>
      <c r="M43" s="27"/>
      <c r="N43" s="27"/>
      <c r="O43" s="27"/>
      <c r="P43" s="373" t="s">
        <v>2</v>
      </c>
      <c r="Q43" s="373"/>
      <c r="R43" s="373"/>
      <c r="S43" s="27"/>
      <c r="T43" s="136">
        <v>5.9643333333333342</v>
      </c>
      <c r="U43" s="136">
        <v>6.0934016405482545</v>
      </c>
      <c r="V43" s="136">
        <v>0.92101333512494776</v>
      </c>
      <c r="W43" s="136">
        <v>-0.34692355309037815</v>
      </c>
    </row>
    <row r="44" spans="1:23" ht="15" customHeight="1">
      <c r="A44" s="6"/>
      <c r="B44" s="6"/>
      <c r="C44" s="136"/>
      <c r="D44" s="136"/>
      <c r="E44" s="27"/>
      <c r="F44" s="27"/>
      <c r="G44" s="27"/>
      <c r="H44" s="27"/>
      <c r="I44" s="27"/>
      <c r="J44" s="27"/>
      <c r="K44" s="27"/>
      <c r="L44" s="27"/>
      <c r="M44" s="27"/>
      <c r="N44" s="27"/>
      <c r="O44" s="27"/>
      <c r="P44" s="373" t="s">
        <v>4</v>
      </c>
      <c r="Q44" s="373"/>
      <c r="R44" s="373"/>
      <c r="S44" s="27"/>
      <c r="T44" s="136">
        <v>6.0606666666666662</v>
      </c>
      <c r="U44" s="136">
        <v>6.1789764288046385</v>
      </c>
      <c r="V44" s="136">
        <v>0.85625425459091231</v>
      </c>
      <c r="W44" s="136">
        <v>-0.32533763042456121</v>
      </c>
    </row>
    <row r="45" spans="1:23" ht="15" customHeight="1">
      <c r="A45" s="6"/>
      <c r="B45" s="6"/>
      <c r="C45" s="136"/>
      <c r="D45" s="136"/>
      <c r="E45" s="27"/>
      <c r="F45" s="27"/>
      <c r="G45" s="27"/>
      <c r="H45" s="27"/>
      <c r="I45" s="27"/>
      <c r="J45" s="27"/>
      <c r="K45" s="27"/>
      <c r="L45" s="27"/>
      <c r="M45" s="27"/>
      <c r="N45" s="27"/>
      <c r="O45" s="27"/>
      <c r="P45" s="373" t="s">
        <v>3</v>
      </c>
      <c r="Q45" s="373"/>
      <c r="R45" s="373"/>
      <c r="S45" s="27"/>
      <c r="T45" s="136">
        <v>6.157</v>
      </c>
      <c r="U45" s="136">
        <v>6.2585128781139572</v>
      </c>
      <c r="V45" s="136">
        <v>0.79565405565584202</v>
      </c>
      <c r="W45" s="136">
        <v>-0.30375180346592345</v>
      </c>
    </row>
    <row r="46" spans="1:23">
      <c r="A46" s="6"/>
      <c r="B46" s="6"/>
      <c r="C46" s="136"/>
      <c r="D46" s="136"/>
      <c r="E46" s="27"/>
      <c r="F46" s="27"/>
      <c r="G46" s="27"/>
      <c r="H46" s="27"/>
      <c r="I46" s="27"/>
      <c r="J46" s="27"/>
      <c r="K46" s="27"/>
      <c r="L46" s="27"/>
      <c r="M46" s="27"/>
      <c r="N46" s="27"/>
      <c r="O46" s="27"/>
      <c r="P46" s="27"/>
      <c r="Q46" s="27"/>
      <c r="R46" s="27"/>
      <c r="S46" s="27"/>
      <c r="T46" s="136">
        <v>6.2533333333333339</v>
      </c>
      <c r="U46" s="136">
        <v>6.3324116274040243</v>
      </c>
      <c r="V46" s="136">
        <v>0.73921273832895662</v>
      </c>
      <c r="W46" s="136">
        <v>-0.28216588079953031</v>
      </c>
    </row>
    <row r="47" spans="1:23">
      <c r="A47" s="6"/>
      <c r="B47" s="6"/>
      <c r="C47" s="136"/>
      <c r="D47" s="136"/>
      <c r="E47" s="27"/>
      <c r="F47" s="27"/>
      <c r="G47" s="27"/>
      <c r="H47" s="27"/>
      <c r="I47" s="27"/>
      <c r="J47" s="27"/>
      <c r="K47" s="27"/>
      <c r="L47" s="27"/>
      <c r="M47" s="27"/>
      <c r="N47" s="27"/>
      <c r="O47" s="27"/>
      <c r="P47" s="27"/>
      <c r="Q47" s="27"/>
      <c r="R47" s="27"/>
      <c r="S47" s="27"/>
      <c r="T47" s="136">
        <v>6.3496666666666668</v>
      </c>
      <c r="U47" s="136">
        <v>6.4010733156026554</v>
      </c>
      <c r="V47" s="136">
        <v>0.68693030261025623</v>
      </c>
      <c r="W47" s="136">
        <v>-0.26057995813313717</v>
      </c>
    </row>
    <row r="48" spans="1:23">
      <c r="A48" s="6"/>
      <c r="B48" s="6"/>
      <c r="C48" s="136"/>
      <c r="D48" s="136"/>
      <c r="E48" s="27"/>
      <c r="F48" s="27"/>
      <c r="G48" s="27"/>
      <c r="H48" s="163"/>
      <c r="I48" s="163"/>
      <c r="J48" s="163"/>
      <c r="K48" s="27"/>
      <c r="L48" s="27"/>
      <c r="M48" s="27"/>
      <c r="N48" s="27"/>
      <c r="O48" s="27"/>
      <c r="P48" s="27"/>
      <c r="Q48" s="27"/>
      <c r="R48" s="27"/>
      <c r="S48" s="27"/>
      <c r="T48" s="136">
        <v>6.4459999999999997</v>
      </c>
      <c r="U48" s="136">
        <v>6.4648985816376676</v>
      </c>
      <c r="V48" s="136">
        <v>0.63880674849052088</v>
      </c>
      <c r="W48" s="136">
        <v>-0.23899408332062169</v>
      </c>
    </row>
    <row r="49" spans="1:23">
      <c r="A49" s="6"/>
      <c r="B49" s="6"/>
      <c r="C49" s="136"/>
      <c r="D49" s="136"/>
      <c r="E49" s="27"/>
      <c r="F49" s="27"/>
      <c r="G49" s="27"/>
      <c r="H49" s="27"/>
      <c r="I49" s="27"/>
      <c r="J49" s="27"/>
      <c r="K49" s="27"/>
      <c r="L49" s="27"/>
      <c r="M49" s="27"/>
      <c r="N49" s="27"/>
      <c r="O49" s="27"/>
      <c r="P49" s="27"/>
      <c r="Q49" s="27"/>
      <c r="R49" s="27"/>
      <c r="S49" s="27"/>
      <c r="T49" s="136">
        <v>6.5423333333333336</v>
      </c>
      <c r="U49" s="136">
        <v>6.5242880495031823</v>
      </c>
      <c r="V49" s="136">
        <v>0.59484006129527944</v>
      </c>
      <c r="W49" s="136">
        <v>-0.21749793451039753</v>
      </c>
    </row>
    <row r="50" spans="1:23">
      <c r="A50" s="6"/>
      <c r="B50" s="6"/>
      <c r="C50" s="136"/>
      <c r="D50" s="136"/>
      <c r="E50" s="27"/>
      <c r="F50" s="27"/>
      <c r="G50" s="27"/>
      <c r="H50" s="27"/>
      <c r="I50" s="27"/>
      <c r="J50" s="27"/>
      <c r="K50" s="27"/>
      <c r="L50" s="27"/>
      <c r="M50" s="27"/>
      <c r="N50" s="27"/>
      <c r="O50" s="27"/>
      <c r="P50" s="27"/>
      <c r="Q50" s="27"/>
      <c r="R50" s="27"/>
      <c r="S50" s="27"/>
      <c r="T50" s="136">
        <v>6.6386666666666674</v>
      </c>
      <c r="U50" s="136">
        <v>6.5796401626968315</v>
      </c>
      <c r="V50" s="136">
        <v>0.5549796040028514</v>
      </c>
      <c r="W50" s="136">
        <v>-0.19629962817288849</v>
      </c>
    </row>
    <row r="51" spans="1:23">
      <c r="A51" s="6"/>
      <c r="B51" s="6"/>
      <c r="C51" s="136"/>
      <c r="D51" s="136"/>
      <c r="E51" s="27"/>
      <c r="F51" s="27"/>
      <c r="G51" s="27"/>
      <c r="H51" s="27"/>
      <c r="I51" s="27"/>
      <c r="J51" s="27"/>
      <c r="K51" s="27"/>
      <c r="L51" s="27"/>
      <c r="M51" s="27"/>
      <c r="N51" s="27"/>
      <c r="O51" s="27"/>
      <c r="P51" s="27"/>
      <c r="Q51" s="27"/>
      <c r="R51" s="27"/>
      <c r="S51" s="27"/>
      <c r="T51" s="136">
        <v>6.7349999999999994</v>
      </c>
      <c r="U51" s="136">
        <v>6.6313489124262972</v>
      </c>
      <c r="V51" s="136">
        <v>0.51920338155694135</v>
      </c>
      <c r="W51" s="136">
        <v>-0.17510113041986855</v>
      </c>
    </row>
    <row r="52" spans="1:23">
      <c r="A52" s="6"/>
      <c r="B52" s="6"/>
      <c r="C52" s="136"/>
      <c r="D52" s="136"/>
      <c r="E52" s="27"/>
      <c r="F52" s="27"/>
      <c r="G52" s="27"/>
      <c r="H52" s="27"/>
      <c r="I52" s="27"/>
      <c r="J52" s="27"/>
      <c r="K52" s="27"/>
      <c r="L52" s="27"/>
      <c r="M52" s="27"/>
      <c r="N52" s="27"/>
      <c r="O52" s="27"/>
      <c r="P52" s="27"/>
      <c r="Q52" s="27"/>
      <c r="R52" s="27"/>
      <c r="S52" s="27"/>
      <c r="T52" s="136">
        <v>6.8313333333333333</v>
      </c>
      <c r="U52" s="136">
        <v>6.6798077466467047</v>
      </c>
      <c r="V52" s="136">
        <v>0.48751139393910958</v>
      </c>
      <c r="W52" s="136">
        <v>-0.15390263266684862</v>
      </c>
    </row>
    <row r="53" spans="1:23">
      <c r="A53" s="6"/>
      <c r="B53" s="6"/>
      <c r="C53" s="136"/>
      <c r="D53" s="136"/>
      <c r="E53" s="27"/>
      <c r="F53" s="27"/>
      <c r="G53" s="27"/>
      <c r="H53" s="27"/>
      <c r="I53" s="27"/>
      <c r="J53" s="27"/>
      <c r="K53" s="27"/>
      <c r="L53" s="27"/>
      <c r="M53" s="27"/>
      <c r="N53" s="27"/>
      <c r="O53" s="27"/>
      <c r="P53" s="27"/>
      <c r="Q53" s="27"/>
      <c r="R53" s="27"/>
      <c r="S53" s="27"/>
      <c r="T53" s="136">
        <v>6.9276666666666671</v>
      </c>
      <c r="U53" s="136">
        <v>6.7254101133131758</v>
      </c>
      <c r="V53" s="136">
        <v>0.45990364114013621</v>
      </c>
      <c r="W53" s="136">
        <v>-0.13270427847574998</v>
      </c>
    </row>
    <row r="54" spans="1:23">
      <c r="A54" s="6"/>
      <c r="B54" s="6"/>
      <c r="C54" s="136"/>
      <c r="D54" s="136"/>
      <c r="E54" s="27"/>
      <c r="F54" s="27"/>
      <c r="G54" s="27"/>
      <c r="H54" s="27"/>
      <c r="I54" s="27"/>
      <c r="J54" s="27"/>
      <c r="K54" s="27"/>
      <c r="L54" s="27"/>
      <c r="M54" s="27"/>
      <c r="N54" s="27"/>
      <c r="O54" s="27"/>
      <c r="P54" s="27"/>
      <c r="Q54" s="27"/>
      <c r="R54" s="27"/>
      <c r="S54" s="27"/>
      <c r="T54" s="136">
        <v>7.0240000000000009</v>
      </c>
      <c r="U54" s="136">
        <v>6.7685494603808305</v>
      </c>
      <c r="V54" s="136">
        <v>0.43638012318768088</v>
      </c>
      <c r="W54" s="136">
        <v>-0.1115056850149746</v>
      </c>
    </row>
    <row r="55" spans="1:23">
      <c r="A55" s="6"/>
      <c r="B55" s="6"/>
      <c r="C55" s="136"/>
      <c r="D55" s="136"/>
      <c r="E55" s="27"/>
      <c r="F55" s="27"/>
      <c r="G55" s="27"/>
      <c r="H55" s="27"/>
      <c r="I55" s="27"/>
      <c r="J55" s="27"/>
      <c r="K55" s="27"/>
      <c r="L55" s="27"/>
      <c r="M55" s="27"/>
      <c r="N55" s="27"/>
      <c r="O55" s="27"/>
      <c r="P55" s="27"/>
      <c r="Q55" s="27"/>
      <c r="R55" s="27"/>
      <c r="S55" s="27"/>
      <c r="T55" s="136">
        <v>7.120333333333333</v>
      </c>
      <c r="U55" s="136">
        <v>6.8096192358047922</v>
      </c>
      <c r="V55" s="136">
        <v>0.41694084004486415</v>
      </c>
      <c r="W55" s="136">
        <v>-9.0307330823299711E-2</v>
      </c>
    </row>
    <row r="56" spans="1:23">
      <c r="A56" s="6"/>
      <c r="B56" s="6"/>
      <c r="C56" s="136"/>
      <c r="D56" s="136"/>
      <c r="E56" s="27"/>
      <c r="F56" s="27"/>
      <c r="G56" s="27"/>
      <c r="H56" s="27"/>
      <c r="I56" s="27"/>
      <c r="J56" s="27"/>
      <c r="K56" s="27"/>
      <c r="L56" s="27"/>
      <c r="M56" s="27"/>
      <c r="N56" s="27"/>
      <c r="O56" s="27"/>
      <c r="P56" s="27"/>
      <c r="Q56" s="27"/>
      <c r="R56" s="27"/>
      <c r="S56" s="27"/>
      <c r="T56" s="136">
        <v>7.2166666666666668</v>
      </c>
      <c r="U56" s="136">
        <v>6.8490128875401828</v>
      </c>
      <c r="V56" s="136">
        <v>0.4015857917393455</v>
      </c>
      <c r="W56" s="136">
        <v>-6.9108833070567893E-2</v>
      </c>
    </row>
    <row r="57" spans="1:23">
      <c r="A57" s="6"/>
      <c r="B57" s="6"/>
      <c r="C57" s="136"/>
      <c r="D57" s="136"/>
      <c r="E57" s="27"/>
      <c r="F57" s="27"/>
      <c r="G57" s="27"/>
      <c r="H57" s="27"/>
      <c r="I57" s="27"/>
      <c r="J57" s="27"/>
      <c r="K57" s="27"/>
      <c r="L57" s="27"/>
      <c r="M57" s="27"/>
      <c r="N57" s="27"/>
      <c r="O57" s="27"/>
      <c r="P57" s="27"/>
      <c r="Q57" s="27"/>
      <c r="R57" s="27"/>
      <c r="S57" s="27"/>
      <c r="T57" s="136">
        <v>7.3130000000000006</v>
      </c>
      <c r="U57" s="136">
        <v>6.8871238635421248</v>
      </c>
      <c r="V57" s="136">
        <v>0.39031497825268535</v>
      </c>
      <c r="W57" s="136">
        <v>-4.7910431025303402E-2</v>
      </c>
    </row>
    <row r="58" spans="1:23">
      <c r="A58" s="6"/>
      <c r="B58" s="6"/>
      <c r="C58" s="136"/>
      <c r="D58" s="136"/>
      <c r="E58" s="27"/>
      <c r="F58" s="27"/>
      <c r="G58" s="27"/>
      <c r="H58" s="27"/>
      <c r="I58" s="27"/>
      <c r="J58" s="27"/>
      <c r="K58" s="27"/>
      <c r="L58" s="27"/>
      <c r="M58" s="27"/>
      <c r="N58" s="27"/>
      <c r="O58" s="27"/>
      <c r="P58" s="27"/>
      <c r="Q58" s="27"/>
      <c r="R58" s="27"/>
      <c r="S58" s="27"/>
      <c r="T58" s="136">
        <v>7.4093333333333344</v>
      </c>
      <c r="U58" s="136">
        <v>6.9243456117657392</v>
      </c>
      <c r="V58" s="136">
        <v>0.38312839960332329</v>
      </c>
      <c r="W58" s="136">
        <v>-2.6711933272283467E-2</v>
      </c>
    </row>
    <row r="59" spans="1:23">
      <c r="A59" s="6"/>
      <c r="B59" s="6"/>
      <c r="C59" s="136"/>
      <c r="D59" s="136"/>
      <c r="E59" s="27"/>
      <c r="F59" s="27"/>
      <c r="G59" s="27"/>
      <c r="H59" s="27"/>
      <c r="I59" s="27"/>
      <c r="J59" s="27"/>
      <c r="K59" s="27"/>
      <c r="L59" s="27"/>
      <c r="M59" s="27"/>
      <c r="N59" s="27"/>
      <c r="O59" s="27"/>
      <c r="P59" s="27"/>
      <c r="Q59" s="27"/>
      <c r="R59" s="27"/>
      <c r="S59" s="27"/>
      <c r="T59" s="136">
        <v>7.5056666666666665</v>
      </c>
      <c r="U59" s="136">
        <v>6.9610715801661485</v>
      </c>
      <c r="V59" s="136">
        <v>0.38002605578203957</v>
      </c>
      <c r="W59" s="136">
        <v>-5.5135312270189795E-3</v>
      </c>
    </row>
    <row r="60" spans="1:23">
      <c r="A60" s="6"/>
      <c r="B60" s="6"/>
      <c r="C60" s="136"/>
      <c r="D60" s="136"/>
      <c r="E60" s="27"/>
      <c r="F60" s="27"/>
      <c r="G60" s="27"/>
      <c r="H60" s="27"/>
      <c r="I60" s="27"/>
      <c r="J60" s="27"/>
      <c r="K60" s="27"/>
      <c r="L60" s="27"/>
      <c r="M60" s="27"/>
      <c r="N60" s="27"/>
      <c r="O60" s="27"/>
      <c r="P60" s="27"/>
      <c r="Q60" s="27"/>
      <c r="R60" s="27"/>
      <c r="S60" s="27"/>
      <c r="T60" s="136">
        <v>7.6020000000000003</v>
      </c>
      <c r="U60" s="136">
        <v>6.9976567342883458</v>
      </c>
      <c r="V60" s="136">
        <v>0.3795983990899735</v>
      </c>
      <c r="W60" s="136">
        <v>-1.4845226855755987E-3</v>
      </c>
    </row>
    <row r="61" spans="1:23">
      <c r="A61" s="6"/>
      <c r="B61" s="6"/>
      <c r="C61" s="136"/>
      <c r="D61" s="136"/>
      <c r="E61" s="27"/>
      <c r="F61" s="27"/>
      <c r="G61" s="27"/>
      <c r="H61" s="27"/>
      <c r="I61" s="27"/>
      <c r="J61" s="27"/>
      <c r="K61" s="27"/>
      <c r="L61" s="27"/>
      <c r="M61" s="27"/>
      <c r="N61" s="27"/>
      <c r="O61" s="27"/>
      <c r="P61" s="27"/>
      <c r="Q61" s="27"/>
      <c r="R61" s="27"/>
      <c r="S61" s="27"/>
      <c r="T61" s="136">
        <v>7.6983333333333341</v>
      </c>
      <c r="U61" s="136">
        <v>7.0342141305842043</v>
      </c>
      <c r="V61" s="136">
        <v>0.37941150552591157</v>
      </c>
      <c r="W61" s="136">
        <v>-4.5666946003266641E-4</v>
      </c>
    </row>
    <row r="62" spans="1:23">
      <c r="A62" s="6"/>
      <c r="B62" s="6"/>
      <c r="C62" s="136"/>
      <c r="D62" s="136"/>
      <c r="E62" s="27"/>
      <c r="F62" s="27"/>
      <c r="G62" s="27"/>
      <c r="H62" s="27"/>
      <c r="I62" s="27"/>
      <c r="J62" s="27"/>
      <c r="K62" s="27"/>
      <c r="L62" s="27"/>
      <c r="M62" s="27"/>
      <c r="N62" s="27"/>
      <c r="O62" s="27"/>
      <c r="P62" s="27"/>
      <c r="Q62" s="27"/>
      <c r="R62" s="27"/>
      <c r="S62" s="27"/>
      <c r="T62" s="136">
        <v>7.7946666666666662</v>
      </c>
      <c r="U62" s="136">
        <v>7.0707630519450824</v>
      </c>
      <c r="V62" s="136">
        <v>0.37942264691591365</v>
      </c>
      <c r="W62" s="136">
        <v>5.7118376551026603E-4</v>
      </c>
    </row>
    <row r="63" spans="1:23">
      <c r="A63" s="6"/>
      <c r="B63" s="6"/>
      <c r="C63" s="136"/>
      <c r="D63" s="136"/>
      <c r="E63" s="27"/>
      <c r="F63" s="27"/>
      <c r="G63" s="27"/>
      <c r="H63" s="27"/>
      <c r="I63" s="27"/>
      <c r="J63" s="27"/>
      <c r="K63" s="27"/>
      <c r="L63" s="27"/>
      <c r="M63" s="27"/>
      <c r="N63" s="27"/>
      <c r="O63" s="27"/>
      <c r="P63" s="27"/>
      <c r="Q63" s="27"/>
      <c r="R63" s="27"/>
      <c r="S63" s="27"/>
      <c r="T63" s="136">
        <v>7.891</v>
      </c>
      <c r="U63" s="136">
        <v>7.1073225757384515</v>
      </c>
      <c r="V63" s="136">
        <v>0.37963182326919948</v>
      </c>
      <c r="W63" s="136">
        <v>1.5990848449309216E-3</v>
      </c>
    </row>
    <row r="64" spans="1:23">
      <c r="A64" s="6"/>
      <c r="B64" s="6"/>
      <c r="C64" s="136"/>
      <c r="D64" s="136"/>
      <c r="E64" s="27"/>
      <c r="F64" s="27"/>
      <c r="G64" s="27"/>
      <c r="H64" s="27"/>
      <c r="I64" s="27"/>
      <c r="J64" s="27"/>
      <c r="K64" s="27"/>
      <c r="L64" s="27"/>
      <c r="M64" s="27"/>
      <c r="N64" s="27"/>
      <c r="O64" s="27"/>
      <c r="P64" s="27"/>
      <c r="Q64" s="27"/>
      <c r="R64" s="27"/>
      <c r="S64" s="27"/>
      <c r="T64" s="136">
        <v>7.9873333333333338</v>
      </c>
      <c r="U64" s="136">
        <v>7.1439117793317815</v>
      </c>
      <c r="V64" s="136">
        <v>0.38003903457654925</v>
      </c>
      <c r="W64" s="136">
        <v>2.6269380701857336E-3</v>
      </c>
    </row>
    <row r="65" spans="1:23">
      <c r="A65" s="6"/>
      <c r="B65" s="6"/>
      <c r="C65" s="136"/>
      <c r="D65" s="136"/>
      <c r="E65" s="27"/>
      <c r="F65" s="27"/>
      <c r="G65" s="27"/>
      <c r="H65" s="27"/>
      <c r="I65" s="27"/>
      <c r="J65" s="27"/>
      <c r="K65" s="27"/>
      <c r="L65" s="27"/>
      <c r="M65" s="27"/>
      <c r="N65" s="27"/>
      <c r="O65" s="27"/>
      <c r="P65" s="27"/>
      <c r="Q65" s="27"/>
      <c r="R65" s="27"/>
      <c r="S65" s="27"/>
      <c r="T65" s="136">
        <v>8.0836666666666677</v>
      </c>
      <c r="U65" s="136">
        <v>7.180549740092542</v>
      </c>
      <c r="V65" s="136">
        <v>0.38064428083796298</v>
      </c>
      <c r="W65" s="136">
        <v>3.6548391496063893E-3</v>
      </c>
    </row>
    <row r="66" spans="1:23">
      <c r="A66" s="6"/>
      <c r="B66" s="6"/>
      <c r="C66" s="136"/>
      <c r="D66" s="136"/>
      <c r="E66" s="27"/>
      <c r="F66" s="27"/>
      <c r="G66" s="27"/>
      <c r="H66" s="27"/>
      <c r="I66" s="27"/>
      <c r="J66" s="27"/>
      <c r="K66" s="27"/>
      <c r="L66" s="27"/>
      <c r="M66" s="27"/>
      <c r="N66" s="27"/>
      <c r="O66" s="27"/>
      <c r="P66" s="27"/>
      <c r="Q66" s="27"/>
      <c r="R66" s="27"/>
      <c r="S66" s="27"/>
      <c r="T66" s="136">
        <v>8.18</v>
      </c>
      <c r="U66" s="136">
        <v>7.2172555353882037</v>
      </c>
      <c r="V66" s="136">
        <v>0.38144756206266051</v>
      </c>
      <c r="W66" s="136">
        <v>4.6827402290270451E-3</v>
      </c>
    </row>
    <row r="67" spans="1:23">
      <c r="A67" s="6"/>
      <c r="B67" s="6"/>
      <c r="C67" s="136"/>
      <c r="D67" s="136"/>
      <c r="E67" s="27"/>
      <c r="F67" s="27"/>
      <c r="G67" s="27"/>
      <c r="H67" s="27"/>
      <c r="I67" s="27"/>
      <c r="J67" s="27"/>
      <c r="K67" s="27"/>
      <c r="L67" s="27"/>
      <c r="M67" s="27"/>
      <c r="N67" s="27"/>
      <c r="O67" s="27"/>
      <c r="P67" s="27"/>
      <c r="Q67" s="27"/>
      <c r="R67" s="27"/>
      <c r="S67" s="27"/>
      <c r="T67" s="136">
        <v>8.2763333333333335</v>
      </c>
      <c r="U67" s="136">
        <v>7.2540482425862383</v>
      </c>
      <c r="V67" s="136">
        <v>0.38244887823220214</v>
      </c>
      <c r="W67" s="136">
        <v>5.7105934545699771E-3</v>
      </c>
    </row>
    <row r="68" spans="1:23">
      <c r="A68" s="6"/>
      <c r="B68" s="6"/>
      <c r="C68" s="136"/>
      <c r="D68" s="136"/>
      <c r="E68" s="27"/>
      <c r="F68" s="27"/>
      <c r="G68" s="27"/>
      <c r="H68" s="27"/>
      <c r="I68" s="27"/>
      <c r="J68" s="27"/>
      <c r="K68" s="27"/>
      <c r="L68" s="27"/>
      <c r="M68" s="27"/>
      <c r="N68" s="27"/>
      <c r="O68" s="27"/>
      <c r="P68" s="27"/>
      <c r="Q68" s="27"/>
      <c r="R68" s="27"/>
      <c r="S68" s="27"/>
      <c r="T68" s="136">
        <v>8.3726666666666674</v>
      </c>
      <c r="U68" s="136">
        <v>7.2909469390541144</v>
      </c>
      <c r="V68" s="136">
        <v>0.38364822936502752</v>
      </c>
      <c r="W68" s="136">
        <v>6.7384466798247897E-3</v>
      </c>
    </row>
    <row r="69" spans="1:23">
      <c r="A69" s="6"/>
      <c r="B69" s="6"/>
      <c r="C69" s="136"/>
      <c r="D69" s="136"/>
      <c r="E69" s="27"/>
      <c r="F69" s="27"/>
      <c r="G69" s="27"/>
      <c r="H69" s="27"/>
      <c r="I69" s="27"/>
      <c r="J69" s="27"/>
      <c r="K69" s="27"/>
      <c r="L69" s="27"/>
      <c r="M69" s="27"/>
      <c r="N69" s="27"/>
      <c r="O69" s="27"/>
      <c r="P69" s="27"/>
      <c r="Q69" s="27"/>
      <c r="R69" s="27"/>
      <c r="S69" s="27"/>
      <c r="T69" s="136">
        <v>8.4690000000000012</v>
      </c>
      <c r="U69" s="136">
        <v>7.3279707021593037</v>
      </c>
      <c r="V69" s="136">
        <v>0.38504561544269705</v>
      </c>
      <c r="W69" s="136">
        <v>7.7662520517781186E-3</v>
      </c>
    </row>
    <row r="70" spans="1:23">
      <c r="A70" s="6"/>
      <c r="B70" s="6"/>
      <c r="C70" s="136"/>
      <c r="D70" s="136"/>
      <c r="E70" s="27"/>
      <c r="F70" s="27"/>
      <c r="G70" s="27"/>
      <c r="H70" s="27"/>
      <c r="I70" s="27"/>
      <c r="J70" s="27"/>
      <c r="K70" s="27"/>
      <c r="L70" s="27"/>
      <c r="M70" s="27"/>
      <c r="N70" s="27"/>
      <c r="O70" s="27"/>
      <c r="P70" s="27"/>
      <c r="Q70" s="27"/>
      <c r="R70" s="27"/>
      <c r="S70" s="27"/>
      <c r="T70" s="136">
        <v>8.5653333333333332</v>
      </c>
      <c r="U70" s="136">
        <v>7.3651386092692741</v>
      </c>
      <c r="V70" s="136">
        <v>0.38664103649287018</v>
      </c>
      <c r="W70" s="136">
        <v>8.7941531309106546E-3</v>
      </c>
    </row>
    <row r="71" spans="1:23">
      <c r="A71" s="6"/>
      <c r="B71" s="6"/>
      <c r="C71" s="136"/>
      <c r="D71" s="136"/>
      <c r="E71" s="27"/>
      <c r="F71" s="27"/>
      <c r="G71" s="27"/>
      <c r="H71" s="27"/>
      <c r="I71" s="27"/>
      <c r="J71" s="27"/>
      <c r="K71" s="27"/>
      <c r="L71" s="27"/>
      <c r="M71" s="27"/>
      <c r="N71" s="27"/>
      <c r="O71" s="27"/>
      <c r="P71" s="27"/>
      <c r="Q71" s="27"/>
      <c r="R71" s="27"/>
      <c r="S71" s="27"/>
      <c r="T71" s="136">
        <v>8.6616666666666671</v>
      </c>
      <c r="U71" s="136">
        <v>7.4024697377514981</v>
      </c>
      <c r="V71" s="136">
        <v>0.38843449249710726</v>
      </c>
      <c r="W71" s="136">
        <v>9.8220542103313099E-3</v>
      </c>
    </row>
    <row r="72" spans="1:23">
      <c r="A72" s="6"/>
      <c r="B72" s="6"/>
      <c r="C72" s="136"/>
      <c r="D72" s="136"/>
      <c r="E72" s="27"/>
      <c r="F72" s="27"/>
      <c r="G72" s="27"/>
      <c r="H72" s="27"/>
      <c r="I72" s="27"/>
      <c r="J72" s="27"/>
      <c r="K72" s="27"/>
      <c r="L72" s="27"/>
      <c r="M72" s="27"/>
      <c r="N72" s="27"/>
      <c r="O72" s="27"/>
      <c r="P72" s="27"/>
      <c r="Q72" s="27"/>
      <c r="R72" s="27"/>
      <c r="S72" s="27"/>
      <c r="T72" s="136">
        <v>8.7580000000000009</v>
      </c>
      <c r="U72" s="136">
        <v>7.4399831649734463</v>
      </c>
      <c r="V72" s="136">
        <v>0.39042598344618845</v>
      </c>
      <c r="W72" s="136">
        <v>1.0849859581708398E-2</v>
      </c>
    </row>
    <row r="73" spans="1:23">
      <c r="A73" s="6"/>
      <c r="B73" s="6"/>
      <c r="C73" s="136"/>
      <c r="D73" s="136"/>
      <c r="E73" s="27"/>
      <c r="F73" s="27"/>
      <c r="G73" s="27"/>
      <c r="H73" s="27"/>
      <c r="I73" s="27"/>
      <c r="J73" s="27"/>
      <c r="K73" s="27"/>
      <c r="L73" s="27"/>
      <c r="M73" s="27"/>
      <c r="N73" s="27"/>
      <c r="O73" s="27"/>
      <c r="P73" s="27"/>
      <c r="Q73" s="27"/>
      <c r="R73" s="27"/>
      <c r="S73" s="27"/>
      <c r="T73" s="136">
        <v>8.8543333333333329</v>
      </c>
      <c r="U73" s="136">
        <v>7.4776979683025866</v>
      </c>
      <c r="V73" s="136">
        <v>0.39261550935855344</v>
      </c>
      <c r="W73" s="136">
        <v>1.1877712807251332E-2</v>
      </c>
    </row>
    <row r="74" spans="1:23">
      <c r="A74" s="6"/>
      <c r="B74" s="6"/>
      <c r="C74" s="136"/>
      <c r="D74" s="136"/>
      <c r="E74" s="27"/>
      <c r="F74" s="27"/>
      <c r="G74" s="27"/>
      <c r="H74" s="27"/>
      <c r="I74" s="27"/>
      <c r="J74" s="27"/>
      <c r="K74" s="27"/>
      <c r="L74" s="27"/>
      <c r="M74" s="27"/>
      <c r="N74" s="27"/>
      <c r="O74" s="27"/>
      <c r="P74" s="27"/>
      <c r="Q74" s="27"/>
      <c r="R74" s="27"/>
      <c r="S74" s="27"/>
      <c r="T74" s="136">
        <v>8.9506666666666668</v>
      </c>
      <c r="U74" s="136">
        <v>7.5156332251063915</v>
      </c>
      <c r="V74" s="136">
        <v>0.39500307022498238</v>
      </c>
      <c r="W74" s="136">
        <v>1.2905566032794264E-2</v>
      </c>
    </row>
    <row r="75" spans="1:23">
      <c r="A75" s="6"/>
      <c r="B75" s="6"/>
      <c r="C75" s="136"/>
      <c r="D75" s="136"/>
      <c r="E75" s="27"/>
      <c r="F75" s="27"/>
      <c r="G75" s="27"/>
      <c r="H75" s="27"/>
      <c r="I75" s="27"/>
      <c r="J75" s="27"/>
      <c r="K75" s="27"/>
      <c r="L75" s="27"/>
      <c r="M75" s="27"/>
      <c r="N75" s="27"/>
      <c r="O75" s="27"/>
      <c r="P75" s="27"/>
      <c r="Q75" s="27"/>
      <c r="R75" s="27"/>
      <c r="S75" s="27"/>
      <c r="T75" s="136">
        <v>9.0470000000000006</v>
      </c>
      <c r="U75" s="136">
        <v>7.5538118834616377</v>
      </c>
      <c r="V75" s="136">
        <v>0.39783623934758799</v>
      </c>
      <c r="W75" s="136">
        <v>1.9190166631083933E-2</v>
      </c>
    </row>
    <row r="76" spans="1:23">
      <c r="A76" s="6"/>
      <c r="B76" s="6"/>
      <c r="C76" s="136"/>
      <c r="D76" s="136"/>
      <c r="E76" s="27"/>
      <c r="F76" s="27"/>
      <c r="G76" s="27"/>
      <c r="H76" s="27"/>
      <c r="I76" s="27"/>
      <c r="J76" s="27"/>
      <c r="K76" s="27"/>
      <c r="L76" s="27"/>
      <c r="M76" s="27"/>
      <c r="N76" s="27"/>
      <c r="O76" s="27"/>
      <c r="P76" s="27"/>
      <c r="Q76" s="27"/>
      <c r="R76" s="27"/>
      <c r="S76" s="27"/>
      <c r="T76" s="136">
        <v>9.1433333333333344</v>
      </c>
      <c r="U76" s="136">
        <v>7.5923511924903568</v>
      </c>
      <c r="V76" s="136">
        <v>0.40267164371054465</v>
      </c>
      <c r="W76" s="136">
        <v>3.0992461742890141E-2</v>
      </c>
    </row>
    <row r="77" spans="1:23">
      <c r="A77" s="6"/>
      <c r="B77" s="6"/>
      <c r="C77" s="136"/>
      <c r="D77" s="136"/>
      <c r="E77" s="27"/>
      <c r="F77" s="27"/>
      <c r="G77" s="27"/>
      <c r="H77" s="27"/>
      <c r="I77" s="27"/>
      <c r="J77" s="27"/>
      <c r="K77" s="27"/>
      <c r="L77" s="27"/>
      <c r="M77" s="27"/>
      <c r="N77" s="27"/>
      <c r="O77" s="27"/>
      <c r="P77" s="27"/>
      <c r="Q77" s="27"/>
      <c r="R77" s="27"/>
      <c r="S77" s="27"/>
      <c r="T77" s="136">
        <v>9.2396666666666665</v>
      </c>
      <c r="U77" s="136">
        <v>7.6314657293238017</v>
      </c>
      <c r="V77" s="136">
        <v>0.40978095903383516</v>
      </c>
      <c r="W77" s="136">
        <v>4.2794756854696345E-2</v>
      </c>
    </row>
    <row r="78" spans="1:23">
      <c r="A78" s="6"/>
      <c r="B78" s="6"/>
      <c r="C78" s="136"/>
      <c r="D78" s="136"/>
      <c r="E78" s="27"/>
      <c r="F78" s="27"/>
      <c r="G78" s="27"/>
      <c r="H78" s="27"/>
      <c r="I78" s="27"/>
      <c r="J78" s="27"/>
      <c r="K78" s="27"/>
      <c r="L78" s="27"/>
      <c r="M78" s="27"/>
      <c r="N78" s="27"/>
      <c r="O78" s="27"/>
      <c r="P78" s="27"/>
      <c r="Q78" s="27"/>
      <c r="R78" s="27"/>
      <c r="S78" s="27"/>
      <c r="T78" s="136">
        <v>9.3360000000000003</v>
      </c>
      <c r="U78" s="136">
        <v>7.6713745473847723</v>
      </c>
      <c r="V78" s="136">
        <v>0.41916418531745953</v>
      </c>
      <c r="W78" s="136">
        <v>5.4597051966790676E-2</v>
      </c>
    </row>
    <row r="79" spans="1:23">
      <c r="A79" s="6"/>
      <c r="B79" s="6"/>
      <c r="C79" s="136"/>
      <c r="D79" s="136"/>
      <c r="E79" s="27"/>
      <c r="F79" s="27"/>
      <c r="G79" s="27"/>
      <c r="H79" s="27"/>
      <c r="I79" s="27"/>
      <c r="J79" s="27"/>
      <c r="K79" s="27"/>
      <c r="L79" s="27"/>
      <c r="M79" s="27"/>
      <c r="N79" s="27"/>
      <c r="O79" s="27"/>
      <c r="P79" s="27"/>
      <c r="Q79" s="27"/>
      <c r="R79" s="27"/>
      <c r="S79" s="27"/>
      <c r="T79" s="136">
        <v>9.4323333333333341</v>
      </c>
      <c r="U79" s="136">
        <v>7.7122967000960667</v>
      </c>
      <c r="V79" s="136">
        <v>0.43082132257063754</v>
      </c>
      <c r="W79" s="136">
        <v>6.6399394932186481E-2</v>
      </c>
    </row>
    <row r="80" spans="1:23">
      <c r="A80" s="6"/>
      <c r="B80" s="6"/>
      <c r="C80" s="136"/>
      <c r="D80" s="136"/>
      <c r="E80" s="27"/>
      <c r="F80" s="27"/>
      <c r="G80" s="27"/>
      <c r="H80" s="27"/>
      <c r="I80" s="27"/>
      <c r="J80" s="27"/>
      <c r="K80" s="27"/>
      <c r="L80" s="27"/>
      <c r="M80" s="27"/>
      <c r="N80" s="27"/>
      <c r="O80" s="27"/>
      <c r="P80" s="27"/>
      <c r="Q80" s="27"/>
      <c r="R80" s="27"/>
      <c r="S80" s="27"/>
      <c r="T80" s="136">
        <v>9.528666666666668</v>
      </c>
      <c r="U80" s="136">
        <v>7.754451240880484</v>
      </c>
      <c r="V80" s="136">
        <v>0.44475237078414942</v>
      </c>
      <c r="W80" s="136">
        <v>7.8201690043992689E-2</v>
      </c>
    </row>
    <row r="81" spans="1:23">
      <c r="A81" s="6"/>
      <c r="B81" s="6"/>
      <c r="C81" s="136"/>
      <c r="D81" s="136"/>
      <c r="E81" s="27"/>
      <c r="F81" s="27"/>
      <c r="G81" s="27"/>
      <c r="H81" s="27"/>
      <c r="I81" s="27"/>
      <c r="J81" s="27"/>
      <c r="K81" s="27"/>
      <c r="L81" s="27"/>
      <c r="M81" s="27"/>
      <c r="N81" s="27"/>
      <c r="O81" s="27"/>
      <c r="P81" s="27"/>
      <c r="Q81" s="27"/>
      <c r="R81" s="27"/>
      <c r="S81" s="27"/>
      <c r="T81" s="136">
        <v>9.625</v>
      </c>
      <c r="U81" s="136">
        <v>7.7980572231608214</v>
      </c>
      <c r="V81" s="136">
        <v>0.46095732996721506</v>
      </c>
      <c r="W81" s="136">
        <v>9.0004080863554339E-2</v>
      </c>
    </row>
    <row r="82" spans="1:23">
      <c r="A82" s="6"/>
      <c r="B82" s="6"/>
      <c r="C82" s="136"/>
      <c r="D82" s="136"/>
      <c r="E82" s="27"/>
      <c r="F82" s="27"/>
      <c r="G82" s="27"/>
      <c r="H82" s="27"/>
      <c r="I82" s="27"/>
      <c r="J82" s="27"/>
      <c r="K82" s="27"/>
      <c r="L82" s="27"/>
      <c r="M82" s="27"/>
      <c r="N82" s="27"/>
      <c r="O82" s="27"/>
      <c r="P82" s="27"/>
      <c r="Q82" s="27"/>
      <c r="R82" s="27"/>
      <c r="S82" s="27"/>
      <c r="T82" s="136">
        <v>9.7213333333333338</v>
      </c>
      <c r="U82" s="136">
        <v>7.8433337003598806</v>
      </c>
      <c r="V82" s="136">
        <v>0.47943620010139465</v>
      </c>
      <c r="W82" s="136">
        <v>0.10180632812148283</v>
      </c>
    </row>
    <row r="83" spans="1:23">
      <c r="A83" s="6"/>
      <c r="B83" s="6"/>
      <c r="C83" s="136"/>
      <c r="D83" s="136"/>
      <c r="E83" s="27"/>
      <c r="F83" s="27"/>
      <c r="G83" s="27"/>
      <c r="H83" s="27"/>
      <c r="I83" s="27"/>
      <c r="J83" s="27"/>
      <c r="K83" s="27"/>
      <c r="L83" s="27"/>
      <c r="M83" s="27"/>
      <c r="N83" s="27"/>
      <c r="O83" s="27"/>
      <c r="P83" s="27"/>
      <c r="Q83" s="27"/>
      <c r="R83" s="27"/>
      <c r="S83" s="27"/>
      <c r="T83" s="136">
        <v>9.8176666666666677</v>
      </c>
      <c r="U83" s="136">
        <v>7.890499725900459</v>
      </c>
      <c r="V83" s="136">
        <v>0.50018898120512789</v>
      </c>
      <c r="W83" s="136">
        <v>0.11360862323328903</v>
      </c>
    </row>
    <row r="84" spans="1:23">
      <c r="A84" s="6"/>
      <c r="B84" s="6"/>
      <c r="C84" s="136"/>
      <c r="D84" s="136"/>
      <c r="E84" s="27"/>
      <c r="F84" s="27"/>
      <c r="G84" s="27"/>
      <c r="H84" s="27"/>
      <c r="I84" s="27"/>
      <c r="J84" s="27"/>
      <c r="K84" s="27"/>
      <c r="L84" s="27"/>
      <c r="M84" s="27"/>
      <c r="N84" s="27"/>
      <c r="O84" s="27"/>
      <c r="P84" s="27"/>
      <c r="Q84" s="27"/>
      <c r="R84" s="27"/>
      <c r="S84" s="27"/>
      <c r="T84" s="136">
        <v>9.9139999999999997</v>
      </c>
      <c r="U84" s="136">
        <v>7.9397743532053537</v>
      </c>
      <c r="V84" s="136">
        <v>0.52321567327841489</v>
      </c>
      <c r="W84" s="136">
        <v>0.12541101405285068</v>
      </c>
    </row>
    <row r="85" spans="1:23">
      <c r="A85" s="6"/>
      <c r="B85" s="6"/>
      <c r="C85" s="136"/>
      <c r="D85" s="136"/>
      <c r="E85" s="27"/>
      <c r="F85" s="27"/>
      <c r="G85" s="27"/>
      <c r="H85" s="27"/>
      <c r="I85" s="27"/>
      <c r="J85" s="27"/>
      <c r="K85" s="27"/>
      <c r="L85" s="27"/>
      <c r="M85" s="27"/>
      <c r="N85" s="27"/>
      <c r="O85" s="27"/>
      <c r="P85" s="27"/>
      <c r="Q85" s="27"/>
      <c r="R85" s="27"/>
      <c r="S85" s="27"/>
      <c r="T85" s="136">
        <v>10.010333333333334</v>
      </c>
      <c r="U85" s="136">
        <v>7.9913766356973674</v>
      </c>
      <c r="V85" s="136">
        <v>0.54851627630281596</v>
      </c>
      <c r="W85" s="136">
        <v>0.13721321345690143</v>
      </c>
    </row>
    <row r="86" spans="1:23">
      <c r="A86" s="6"/>
      <c r="B86" s="6"/>
      <c r="C86" s="136"/>
      <c r="D86" s="136"/>
      <c r="E86" s="27"/>
      <c r="F86" s="27"/>
      <c r="G86" s="27"/>
      <c r="H86" s="27"/>
      <c r="I86" s="27"/>
      <c r="J86" s="27"/>
      <c r="K86" s="27"/>
      <c r="L86" s="27"/>
      <c r="M86" s="27"/>
      <c r="N86" s="27"/>
      <c r="O86" s="27"/>
      <c r="P86" s="27"/>
      <c r="Q86" s="27"/>
      <c r="R86" s="27"/>
      <c r="S86" s="27"/>
      <c r="T86" s="136">
        <v>10.106666666666667</v>
      </c>
      <c r="U86" s="136">
        <v>8.0455256267992965</v>
      </c>
      <c r="V86" s="136">
        <v>0.57609079029677057</v>
      </c>
      <c r="W86" s="136">
        <v>0.14901550856870766</v>
      </c>
    </row>
    <row r="87" spans="1:23">
      <c r="A87" s="6"/>
      <c r="B87" s="6"/>
      <c r="C87" s="136"/>
      <c r="D87" s="136"/>
      <c r="E87" s="27"/>
      <c r="F87" s="27"/>
      <c r="G87" s="27"/>
      <c r="H87" s="27"/>
      <c r="I87" s="27"/>
      <c r="J87" s="27"/>
      <c r="K87" s="27"/>
      <c r="L87" s="27"/>
      <c r="M87" s="27"/>
      <c r="N87" s="27"/>
      <c r="O87" s="27"/>
      <c r="P87" s="27"/>
      <c r="Q87" s="27"/>
      <c r="R87" s="27"/>
      <c r="S87" s="27"/>
      <c r="T87" s="136">
        <v>10.203000000000001</v>
      </c>
      <c r="U87" s="136">
        <v>8.1024403799339382</v>
      </c>
      <c r="V87" s="136">
        <v>0.60593921526027905</v>
      </c>
      <c r="W87" s="136">
        <v>0.16081799509602476</v>
      </c>
    </row>
    <row r="88" spans="1:23">
      <c r="A88" s="6"/>
      <c r="B88" s="6"/>
      <c r="C88" s="136"/>
      <c r="D88" s="136"/>
      <c r="E88" s="27"/>
      <c r="F88" s="27"/>
      <c r="G88" s="27"/>
      <c r="H88" s="27"/>
      <c r="I88" s="27"/>
      <c r="J88" s="27"/>
      <c r="K88" s="27"/>
      <c r="L88" s="27"/>
      <c r="M88" s="27"/>
      <c r="N88" s="27"/>
      <c r="O88" s="27"/>
      <c r="P88" s="27"/>
      <c r="Q88" s="27"/>
      <c r="R88" s="27"/>
      <c r="S88" s="27"/>
      <c r="T88" s="136">
        <v>10.299333333333333</v>
      </c>
      <c r="U88" s="136">
        <v>8.1623399485240942</v>
      </c>
      <c r="V88" s="136">
        <v>0.63806155118412122</v>
      </c>
      <c r="W88" s="136">
        <v>0.17262029020783096</v>
      </c>
    </row>
    <row r="89" spans="1:23">
      <c r="A89" s="6"/>
      <c r="B89" s="6"/>
      <c r="C89" s="136"/>
      <c r="D89" s="136"/>
      <c r="E89" s="27"/>
      <c r="F89" s="27"/>
      <c r="G89" s="27"/>
      <c r="H89" s="27"/>
      <c r="I89" s="27"/>
      <c r="J89" s="27"/>
      <c r="K89" s="27"/>
      <c r="L89" s="27"/>
      <c r="M89" s="27"/>
      <c r="N89" s="27"/>
      <c r="O89" s="27"/>
      <c r="P89" s="27"/>
      <c r="Q89" s="27"/>
      <c r="R89" s="27"/>
      <c r="S89" s="27"/>
      <c r="T89" s="136">
        <v>10.395666666666667</v>
      </c>
      <c r="U89" s="136">
        <v>8.2254433859925626</v>
      </c>
      <c r="V89" s="136">
        <v>0.67245779806829731</v>
      </c>
      <c r="W89" s="136">
        <v>0.18442258531963718</v>
      </c>
    </row>
    <row r="90" spans="1:23">
      <c r="A90" s="6"/>
      <c r="B90" s="6"/>
      <c r="C90" s="136"/>
      <c r="D90" s="136"/>
      <c r="E90" s="27"/>
      <c r="F90" s="27"/>
      <c r="G90" s="27"/>
      <c r="H90" s="27"/>
      <c r="I90" s="27"/>
      <c r="J90" s="27"/>
      <c r="K90" s="27"/>
      <c r="L90" s="27"/>
      <c r="M90" s="27"/>
      <c r="N90" s="27"/>
      <c r="O90" s="27"/>
      <c r="P90" s="27"/>
      <c r="Q90" s="27"/>
      <c r="R90" s="27"/>
      <c r="S90" s="27"/>
      <c r="T90" s="136">
        <v>10.492000000000001</v>
      </c>
      <c r="U90" s="136">
        <v>8.2919697457621435</v>
      </c>
      <c r="V90" s="136">
        <v>0.70912795589436761</v>
      </c>
      <c r="W90" s="136">
        <v>0.19622468901593249</v>
      </c>
    </row>
    <row r="91" spans="1:23">
      <c r="A91" s="6"/>
      <c r="B91" s="6"/>
      <c r="C91" s="136"/>
      <c r="D91" s="136"/>
      <c r="E91" s="27"/>
      <c r="F91" s="27"/>
      <c r="G91" s="27"/>
      <c r="H91" s="27"/>
      <c r="I91" s="27"/>
      <c r="J91" s="27"/>
      <c r="K91" s="27"/>
      <c r="L91" s="27"/>
      <c r="M91" s="27"/>
      <c r="N91" s="27"/>
      <c r="O91" s="27"/>
      <c r="P91" s="27"/>
      <c r="Q91" s="27"/>
      <c r="R91" s="27"/>
      <c r="S91" s="27"/>
      <c r="T91" s="136">
        <v>10.588333333333335</v>
      </c>
      <c r="U91" s="136">
        <v>8.3621380812556332</v>
      </c>
      <c r="V91" s="136">
        <v>0.74807202469921141</v>
      </c>
      <c r="W91" s="136">
        <v>0.20802698412773868</v>
      </c>
    </row>
    <row r="92" spans="1:23">
      <c r="A92" s="6"/>
      <c r="B92" s="6"/>
      <c r="C92" s="136"/>
      <c r="D92" s="136"/>
      <c r="E92" s="27"/>
      <c r="F92" s="27"/>
      <c r="G92" s="27"/>
      <c r="H92" s="27"/>
      <c r="I92" s="27"/>
      <c r="J92" s="27"/>
      <c r="K92" s="27"/>
      <c r="L92" s="27"/>
      <c r="M92" s="27"/>
      <c r="N92" s="27"/>
      <c r="O92" s="27"/>
      <c r="P92" s="27"/>
      <c r="Q92" s="27"/>
      <c r="R92" s="27"/>
      <c r="S92" s="27"/>
      <c r="T92" s="136">
        <v>10.684666666666667</v>
      </c>
      <c r="U92" s="136">
        <v>8.4361365952154621</v>
      </c>
      <c r="V92" s="136">
        <v>0.78785665423234297</v>
      </c>
      <c r="W92" s="136">
        <v>0.19769724823467036</v>
      </c>
    </row>
    <row r="93" spans="1:23">
      <c r="A93" s="6"/>
      <c r="B93" s="6"/>
      <c r="C93" s="136"/>
      <c r="D93" s="136"/>
      <c r="E93" s="27"/>
      <c r="F93" s="27"/>
      <c r="G93" s="27"/>
      <c r="H93" s="27"/>
      <c r="I93" s="27"/>
      <c r="J93" s="27"/>
      <c r="K93" s="27"/>
      <c r="L93" s="27"/>
      <c r="M93" s="27"/>
      <c r="N93" s="27"/>
      <c r="O93" s="27"/>
      <c r="P93" s="27"/>
      <c r="Q93" s="27"/>
      <c r="R93" s="27"/>
      <c r="S93" s="27"/>
      <c r="T93" s="136">
        <v>10.781000000000001</v>
      </c>
      <c r="U93" s="136">
        <v>8.5138007900719508</v>
      </c>
      <c r="V93" s="136">
        <v>0.82390510085916646</v>
      </c>
      <c r="W93" s="136">
        <v>0.17652918554154373</v>
      </c>
    </row>
    <row r="94" spans="1:23">
      <c r="A94" s="6"/>
      <c r="B94" s="6"/>
      <c r="C94" s="136"/>
      <c r="D94" s="136"/>
      <c r="E94" s="27"/>
      <c r="F94" s="27"/>
      <c r="G94" s="27"/>
      <c r="H94" s="27"/>
      <c r="I94" s="27"/>
      <c r="J94" s="27"/>
      <c r="K94" s="27"/>
      <c r="L94" s="27"/>
      <c r="M94" s="27"/>
      <c r="N94" s="27"/>
      <c r="O94" s="27"/>
      <c r="P94" s="27"/>
      <c r="Q94" s="27"/>
      <c r="R94" s="27"/>
      <c r="S94" s="27"/>
      <c r="T94" s="136">
        <v>10.877333333333334</v>
      </c>
      <c r="U94" s="136">
        <v>8.5947414082818785</v>
      </c>
      <c r="V94" s="136">
        <v>0.85587520605671419</v>
      </c>
      <c r="W94" s="136">
        <v>0.15536140997168343</v>
      </c>
    </row>
    <row r="95" spans="1:23">
      <c r="A95" s="6"/>
      <c r="B95" s="6"/>
      <c r="C95" s="136"/>
      <c r="D95" s="136"/>
      <c r="E95" s="27"/>
      <c r="F95" s="27"/>
      <c r="G95" s="27"/>
      <c r="H95" s="27"/>
      <c r="I95" s="27"/>
      <c r="J95" s="27"/>
      <c r="K95" s="27"/>
      <c r="L95" s="27"/>
      <c r="M95" s="27"/>
      <c r="N95" s="27"/>
      <c r="O95" s="27"/>
      <c r="P95" s="27"/>
      <c r="Q95" s="27"/>
      <c r="R95" s="27"/>
      <c r="S95" s="27"/>
      <c r="T95" s="136">
        <v>10.973666666666668</v>
      </c>
      <c r="U95" s="136">
        <v>8.6785655696187032</v>
      </c>
      <c r="V95" s="136">
        <v>0.88376696980654623</v>
      </c>
      <c r="W95" s="136">
        <v>0.13419363440182314</v>
      </c>
    </row>
    <row r="96" spans="1:23">
      <c r="A96" s="6"/>
      <c r="B96" s="6"/>
      <c r="C96" s="136"/>
      <c r="D96" s="136"/>
      <c r="E96" s="27"/>
      <c r="F96" s="27"/>
      <c r="G96" s="27"/>
      <c r="H96" s="27"/>
      <c r="I96" s="27"/>
      <c r="J96" s="27"/>
      <c r="K96" s="27"/>
      <c r="L96" s="27"/>
      <c r="M96" s="27"/>
      <c r="N96" s="27"/>
      <c r="O96" s="27"/>
      <c r="P96" s="27"/>
      <c r="Q96" s="27"/>
      <c r="R96" s="27"/>
      <c r="S96" s="27"/>
      <c r="T96" s="136">
        <v>11.07</v>
      </c>
      <c r="U96" s="136">
        <v>8.7648803938558792</v>
      </c>
      <c r="V96" s="136">
        <v>0.90758039209022312</v>
      </c>
      <c r="W96" s="136">
        <v>0.1130257631242074</v>
      </c>
    </row>
    <row r="97" spans="1:23">
      <c r="A97" s="6"/>
      <c r="B97" s="6"/>
      <c r="C97" s="136"/>
      <c r="D97" s="136"/>
      <c r="E97" s="27"/>
      <c r="F97" s="27"/>
      <c r="G97" s="27"/>
      <c r="H97" s="27"/>
      <c r="I97" s="27"/>
      <c r="J97" s="27"/>
      <c r="K97" s="27"/>
      <c r="L97" s="27"/>
      <c r="M97" s="27"/>
      <c r="N97" s="27"/>
      <c r="O97" s="27"/>
      <c r="P97" s="27"/>
      <c r="Q97" s="27"/>
      <c r="R97" s="27"/>
      <c r="S97" s="27"/>
      <c r="T97" s="136">
        <v>11.166333333333334</v>
      </c>
      <c r="U97" s="136">
        <v>8.8532788964799263</v>
      </c>
      <c r="V97" s="136">
        <v>0.92667666376375402</v>
      </c>
      <c r="W97" s="136">
        <v>8.2241465705618827E-2</v>
      </c>
    </row>
    <row r="98" spans="1:23">
      <c r="A98" s="6"/>
      <c r="B98" s="6"/>
      <c r="C98" s="136"/>
      <c r="D98" s="136"/>
      <c r="E98" s="27"/>
      <c r="F98" s="27"/>
      <c r="G98" s="27"/>
      <c r="H98" s="27"/>
      <c r="I98" s="27"/>
      <c r="J98" s="27"/>
      <c r="K98" s="27"/>
      <c r="L98" s="27"/>
      <c r="M98" s="27"/>
      <c r="N98" s="27"/>
      <c r="O98" s="27"/>
      <c r="P98" s="27"/>
      <c r="Q98" s="27"/>
      <c r="R98" s="27"/>
      <c r="S98" s="27"/>
      <c r="T98" s="136">
        <v>11.262666666666668</v>
      </c>
      <c r="U98" s="136">
        <v>8.9432025158547699</v>
      </c>
      <c r="V98" s="136">
        <v>0.93913398025237593</v>
      </c>
      <c r="W98" s="136">
        <v>4.7108304494305253E-2</v>
      </c>
    </row>
    <row r="99" spans="1:23">
      <c r="A99" s="6"/>
      <c r="B99" s="6"/>
      <c r="C99" s="136"/>
      <c r="D99" s="136"/>
      <c r="E99" s="27"/>
      <c r="F99" s="27"/>
      <c r="G99" s="27"/>
      <c r="H99" s="27"/>
      <c r="I99" s="27"/>
      <c r="J99" s="27"/>
      <c r="K99" s="27"/>
      <c r="L99" s="27"/>
      <c r="M99" s="27"/>
      <c r="N99" s="27"/>
      <c r="O99" s="27"/>
      <c r="P99" s="27"/>
      <c r="Q99" s="27"/>
      <c r="R99" s="27"/>
      <c r="S99" s="27"/>
      <c r="T99" s="136">
        <v>11.359000000000002</v>
      </c>
      <c r="U99" s="136">
        <v>9.0340009923346845</v>
      </c>
      <c r="V99" s="136">
        <v>0.94484861140128851</v>
      </c>
      <c r="W99" s="136">
        <v>1.2420567082911877E-2</v>
      </c>
    </row>
    <row r="100" spans="1:23">
      <c r="A100" s="6"/>
      <c r="B100" s="6"/>
      <c r="C100" s="136"/>
      <c r="D100" s="136"/>
      <c r="E100" s="27"/>
      <c r="F100" s="27"/>
      <c r="G100" s="27"/>
      <c r="H100" s="27"/>
      <c r="I100" s="27"/>
      <c r="J100" s="27"/>
      <c r="K100" s="27"/>
      <c r="L100" s="27"/>
      <c r="M100" s="27"/>
      <c r="N100" s="27"/>
      <c r="O100" s="27"/>
      <c r="P100" s="27"/>
      <c r="Q100" s="27"/>
      <c r="R100" s="27"/>
      <c r="S100" s="27"/>
      <c r="T100" s="136">
        <v>11.455333333333334</v>
      </c>
      <c r="U100" s="136">
        <v>9.1250301262801905</v>
      </c>
      <c r="V100" s="136">
        <v>0.94392386467226963</v>
      </c>
      <c r="W100" s="136">
        <v>-2.1985502462403123E-2</v>
      </c>
    </row>
    <row r="101" spans="1:23">
      <c r="A101" s="6"/>
      <c r="B101" s="6"/>
      <c r="C101" s="136"/>
      <c r="D101" s="136"/>
      <c r="E101" s="27"/>
      <c r="F101" s="27"/>
      <c r="G101" s="27"/>
      <c r="H101" s="27"/>
      <c r="I101" s="27"/>
      <c r="J101" s="27"/>
      <c r="K101" s="27"/>
      <c r="L101" s="27"/>
      <c r="M101" s="27"/>
      <c r="N101" s="27"/>
      <c r="O101" s="27"/>
      <c r="P101" s="27"/>
      <c r="Q101" s="27"/>
      <c r="R101" s="27"/>
      <c r="S101" s="27"/>
      <c r="T101" s="136">
        <v>11.551666666666668</v>
      </c>
      <c r="U101" s="136">
        <v>9.2156512044266581</v>
      </c>
      <c r="V101" s="136">
        <v>0.9363702358080026</v>
      </c>
      <c r="W101" s="136">
        <v>-5.6391572007141885E-2</v>
      </c>
    </row>
    <row r="102" spans="1:23">
      <c r="A102" s="6"/>
      <c r="B102" s="6"/>
      <c r="C102" s="136"/>
      <c r="D102" s="136"/>
      <c r="E102" s="27"/>
      <c r="F102" s="27"/>
      <c r="G102" s="27"/>
      <c r="H102" s="27"/>
      <c r="I102" s="27"/>
      <c r="J102" s="27"/>
      <c r="K102" s="27"/>
      <c r="L102" s="27"/>
      <c r="M102" s="27"/>
      <c r="N102" s="27"/>
      <c r="O102" s="27"/>
      <c r="P102" s="27"/>
      <c r="Q102" s="27"/>
      <c r="R102" s="27"/>
      <c r="S102" s="27"/>
      <c r="T102" s="136">
        <v>11.648000000000001</v>
      </c>
      <c r="U102" s="136">
        <v>9.3052256444602932</v>
      </c>
      <c r="V102" s="136">
        <v>0.92218772480848721</v>
      </c>
      <c r="W102" s="136">
        <v>-9.0797354429766788E-2</v>
      </c>
    </row>
    <row r="103" spans="1:23">
      <c r="A103" s="6"/>
      <c r="B103" s="6"/>
      <c r="C103" s="136"/>
      <c r="D103" s="136"/>
      <c r="E103" s="27"/>
      <c r="F103" s="27"/>
      <c r="G103" s="27"/>
      <c r="H103" s="27"/>
      <c r="I103" s="27"/>
      <c r="J103" s="27"/>
      <c r="K103" s="27"/>
      <c r="L103" s="27"/>
      <c r="M103" s="27"/>
      <c r="N103" s="27"/>
      <c r="O103" s="27"/>
      <c r="P103" s="27"/>
      <c r="Q103" s="27"/>
      <c r="R103" s="27"/>
      <c r="S103" s="27"/>
      <c r="T103" s="136">
        <v>11.744333333333334</v>
      </c>
      <c r="U103" s="136">
        <v>9.3931148640673072</v>
      </c>
      <c r="V103" s="136">
        <v>0.90137633165528397</v>
      </c>
      <c r="W103" s="136">
        <v>-0.12520332826732633</v>
      </c>
    </row>
    <row r="104" spans="1:23">
      <c r="A104" s="6"/>
      <c r="B104" s="6"/>
      <c r="C104" s="136"/>
      <c r="D104" s="136"/>
      <c r="E104" s="27"/>
      <c r="F104" s="27"/>
      <c r="G104" s="27"/>
      <c r="H104" s="27"/>
      <c r="I104" s="27"/>
      <c r="J104" s="27"/>
      <c r="K104" s="27"/>
      <c r="L104" s="27"/>
      <c r="M104" s="27"/>
      <c r="N104" s="27"/>
      <c r="O104" s="27"/>
      <c r="P104" s="27"/>
      <c r="Q104" s="27"/>
      <c r="R104" s="27"/>
      <c r="S104" s="27"/>
      <c r="T104" s="136">
        <v>11.840666666666667</v>
      </c>
      <c r="U104" s="136">
        <v>9.4786802809339132</v>
      </c>
      <c r="V104" s="136">
        <v>0.87393605632995319</v>
      </c>
      <c r="W104" s="136">
        <v>-0.1596093978120651</v>
      </c>
    </row>
    <row r="105" spans="1:23">
      <c r="A105" s="6"/>
      <c r="B105" s="6"/>
      <c r="C105" s="136"/>
      <c r="D105" s="136"/>
      <c r="E105" s="27"/>
      <c r="F105" s="27"/>
      <c r="G105" s="27"/>
      <c r="H105" s="27"/>
      <c r="I105" s="27"/>
      <c r="J105" s="27"/>
      <c r="K105" s="27"/>
      <c r="L105" s="27"/>
      <c r="M105" s="27"/>
      <c r="N105" s="27"/>
      <c r="O105" s="27"/>
      <c r="P105" s="27"/>
      <c r="Q105" s="27"/>
      <c r="R105" s="27"/>
      <c r="S105" s="27"/>
      <c r="T105" s="136">
        <v>11.937000000000001</v>
      </c>
      <c r="U105" s="136">
        <v>9.5612833127463173</v>
      </c>
      <c r="V105" s="136">
        <v>0.83986689886937416</v>
      </c>
      <c r="W105" s="136">
        <v>-0.19401527594129298</v>
      </c>
    </row>
    <row r="106" spans="1:23">
      <c r="A106" s="6"/>
      <c r="B106" s="6"/>
      <c r="C106" s="136"/>
      <c r="D106" s="136"/>
      <c r="E106" s="27"/>
      <c r="F106" s="27"/>
      <c r="G106" s="27"/>
      <c r="H106" s="27"/>
      <c r="I106" s="27"/>
      <c r="J106" s="27"/>
      <c r="K106" s="27"/>
      <c r="L106" s="27"/>
      <c r="M106" s="27"/>
      <c r="N106" s="27"/>
      <c r="O106" s="27"/>
      <c r="P106" s="27"/>
      <c r="Q106" s="27"/>
      <c r="R106" s="27"/>
      <c r="S106" s="27"/>
      <c r="T106" s="136">
        <v>12.033333333333335</v>
      </c>
      <c r="U106" s="136">
        <v>9.6402853771907306</v>
      </c>
      <c r="V106" s="136">
        <v>0.79916885925510717</v>
      </c>
      <c r="W106" s="136">
        <v>-0.22842124977885253</v>
      </c>
    </row>
    <row r="107" spans="1:23">
      <c r="A107" s="6"/>
      <c r="B107" s="6"/>
      <c r="C107" s="136"/>
      <c r="D107" s="136"/>
      <c r="E107" s="27"/>
      <c r="F107" s="27"/>
      <c r="G107" s="27"/>
      <c r="H107" s="27"/>
      <c r="I107" s="27"/>
      <c r="J107" s="27"/>
      <c r="K107" s="27"/>
      <c r="L107" s="27"/>
      <c r="M107" s="27"/>
      <c r="N107" s="27"/>
      <c r="O107" s="27"/>
      <c r="P107" s="27"/>
      <c r="Q107" s="27"/>
      <c r="R107" s="27"/>
      <c r="S107" s="27"/>
      <c r="T107" s="136">
        <v>12.129666666666667</v>
      </c>
      <c r="U107" s="136">
        <v>9.7150978967257888</v>
      </c>
      <c r="V107" s="136">
        <v>0.75399823197037474</v>
      </c>
      <c r="W107" s="136">
        <v>-0.23191850614225029</v>
      </c>
    </row>
    <row r="108" spans="1:23">
      <c r="A108" s="6"/>
      <c r="B108" s="6"/>
      <c r="C108" s="136"/>
      <c r="D108" s="136"/>
      <c r="E108" s="27"/>
      <c r="F108" s="27"/>
      <c r="G108" s="27"/>
      <c r="H108" s="27"/>
      <c r="I108" s="27"/>
      <c r="J108" s="27"/>
      <c r="K108" s="27"/>
      <c r="L108" s="27"/>
      <c r="M108" s="27"/>
      <c r="N108" s="27"/>
      <c r="O108" s="27"/>
      <c r="P108" s="27"/>
      <c r="Q108" s="27"/>
      <c r="R108" s="27"/>
      <c r="S108" s="27"/>
      <c r="T108" s="136">
        <v>12.226000000000001</v>
      </c>
      <c r="U108" s="136">
        <v>9.7856087635427027</v>
      </c>
      <c r="V108" s="136">
        <v>0.71011893138980209</v>
      </c>
      <c r="W108" s="136">
        <v>-0.22358437224252481</v>
      </c>
    </row>
    <row r="109" spans="1:23">
      <c r="A109" s="6"/>
      <c r="B109" s="6"/>
      <c r="C109" s="136"/>
      <c r="D109" s="136"/>
      <c r="E109" s="27"/>
      <c r="F109" s="27"/>
      <c r="G109" s="27"/>
      <c r="H109" s="27"/>
      <c r="I109" s="27"/>
      <c r="J109" s="27"/>
      <c r="K109" s="27"/>
      <c r="L109" s="27"/>
      <c r="M109" s="27"/>
      <c r="N109" s="27"/>
      <c r="O109" s="27"/>
      <c r="P109" s="27"/>
      <c r="Q109" s="27"/>
      <c r="R109" s="27"/>
      <c r="S109" s="27"/>
      <c r="T109" s="136">
        <v>12.322333333333335</v>
      </c>
      <c r="U109" s="136">
        <v>9.8519698542349392</v>
      </c>
      <c r="V109" s="136">
        <v>0.6678453160456741</v>
      </c>
      <c r="W109" s="136">
        <v>-0.21525033404997854</v>
      </c>
    </row>
    <row r="110" spans="1:23">
      <c r="A110" s="6"/>
      <c r="B110" s="6"/>
      <c r="C110" s="136"/>
      <c r="D110" s="136"/>
      <c r="E110" s="27"/>
      <c r="F110" s="27"/>
      <c r="G110" s="27"/>
      <c r="H110" s="27"/>
      <c r="I110" s="27"/>
      <c r="J110" s="27"/>
      <c r="K110" s="27"/>
      <c r="L110" s="27"/>
      <c r="M110" s="27"/>
      <c r="N110" s="27"/>
      <c r="O110" s="27"/>
      <c r="P110" s="27"/>
      <c r="Q110" s="27"/>
      <c r="R110" s="27"/>
      <c r="S110" s="27"/>
      <c r="T110" s="136">
        <v>12.418666666666669</v>
      </c>
      <c r="U110" s="136">
        <v>9.914335849812753</v>
      </c>
      <c r="V110" s="136">
        <v>0.62717738591955097</v>
      </c>
      <c r="W110" s="136">
        <v>-0.206916295856856</v>
      </c>
    </row>
    <row r="111" spans="1:23">
      <c r="A111" s="6"/>
      <c r="B111" s="6"/>
      <c r="C111" s="136"/>
      <c r="D111" s="136"/>
      <c r="E111" s="27"/>
      <c r="F111" s="27"/>
      <c r="G111" s="27"/>
      <c r="H111" s="27"/>
      <c r="I111" s="27"/>
      <c r="J111" s="27"/>
      <c r="K111" s="27"/>
      <c r="L111" s="27"/>
      <c r="M111" s="27"/>
      <c r="N111" s="27"/>
      <c r="O111" s="27"/>
      <c r="P111" s="27"/>
      <c r="Q111" s="27"/>
      <c r="R111" s="27"/>
      <c r="S111" s="27"/>
      <c r="T111" s="136">
        <v>12.515000000000001</v>
      </c>
      <c r="U111" s="136">
        <v>9.972861431286395</v>
      </c>
      <c r="V111" s="136">
        <v>0.58811514101143259</v>
      </c>
      <c r="W111" s="136">
        <v>-0.19858235337264143</v>
      </c>
    </row>
    <row r="112" spans="1:23">
      <c r="A112" s="6"/>
      <c r="B112" s="6"/>
      <c r="C112" s="136"/>
      <c r="D112" s="136"/>
      <c r="E112" s="27"/>
      <c r="F112" s="27"/>
      <c r="G112" s="27"/>
      <c r="H112" s="27"/>
      <c r="I112" s="27"/>
      <c r="J112" s="27"/>
      <c r="K112" s="27"/>
      <c r="L112" s="27"/>
      <c r="M112" s="27"/>
      <c r="N112" s="27"/>
      <c r="O112" s="27"/>
      <c r="P112" s="27"/>
      <c r="Q112" s="27"/>
      <c r="R112" s="27"/>
      <c r="S112" s="27"/>
      <c r="T112" s="136">
        <v>12.611333333333334</v>
      </c>
      <c r="U112" s="136">
        <v>10.027701276530179</v>
      </c>
      <c r="V112" s="136">
        <v>0.55065774415937618</v>
      </c>
      <c r="W112" s="136">
        <v>-0.19032162730520857</v>
      </c>
    </row>
    <row r="113" spans="1:23">
      <c r="A113" s="6"/>
      <c r="B113" s="6"/>
      <c r="C113" s="136"/>
      <c r="D113" s="136"/>
      <c r="E113" s="27"/>
      <c r="F113" s="27"/>
      <c r="G113" s="27"/>
      <c r="H113" s="27"/>
      <c r="I113" s="27"/>
      <c r="J113" s="27"/>
      <c r="K113" s="27"/>
      <c r="L113" s="27"/>
      <c r="M113" s="27"/>
      <c r="N113" s="27"/>
      <c r="O113" s="27"/>
      <c r="P113" s="27"/>
      <c r="Q113" s="27"/>
      <c r="R113" s="27"/>
      <c r="S113" s="27"/>
      <c r="T113" s="136">
        <v>12.707666666666668</v>
      </c>
      <c r="U113" s="136">
        <v>10.079007387282749</v>
      </c>
      <c r="V113" s="136">
        <v>0.51473272308376228</v>
      </c>
      <c r="W113" s="136">
        <v>-0.18261016793218682</v>
      </c>
    </row>
    <row r="114" spans="1:23">
      <c r="A114" s="6"/>
      <c r="B114" s="6"/>
      <c r="C114" s="136"/>
      <c r="D114" s="136"/>
      <c r="E114" s="27"/>
      <c r="F114" s="27"/>
      <c r="G114" s="27"/>
      <c r="H114" s="27"/>
      <c r="I114" s="27"/>
      <c r="J114" s="27"/>
      <c r="K114" s="27"/>
      <c r="L114" s="27"/>
      <c r="M114" s="27"/>
      <c r="N114" s="27"/>
      <c r="O114" s="27"/>
      <c r="P114" s="27"/>
      <c r="Q114" s="27"/>
      <c r="R114" s="27"/>
      <c r="S114" s="27"/>
      <c r="T114" s="136">
        <v>12.804</v>
      </c>
      <c r="U114" s="136">
        <v>10.126924212363178</v>
      </c>
      <c r="V114" s="136">
        <v>0.48029343739062191</v>
      </c>
      <c r="W114" s="136">
        <v>-0.17489880426720861</v>
      </c>
    </row>
    <row r="115" spans="1:23">
      <c r="A115" s="6"/>
      <c r="B115" s="6"/>
      <c r="C115" s="136"/>
      <c r="D115" s="136"/>
      <c r="E115" s="27"/>
      <c r="F115" s="27"/>
      <c r="G115" s="27"/>
      <c r="H115" s="27"/>
      <c r="I115" s="27"/>
      <c r="J115" s="27"/>
      <c r="K115" s="27"/>
      <c r="L115" s="27"/>
      <c r="M115" s="27"/>
      <c r="N115" s="27"/>
      <c r="O115" s="27"/>
      <c r="P115" s="27"/>
      <c r="Q115" s="27"/>
      <c r="R115" s="27"/>
      <c r="S115" s="27"/>
      <c r="T115" s="136">
        <v>12.900333333333334</v>
      </c>
      <c r="U115" s="136">
        <v>10.171594877614437</v>
      </c>
      <c r="V115" s="136">
        <v>0.44733988709839484</v>
      </c>
      <c r="W115" s="136">
        <v>-0.16718744060165416</v>
      </c>
    </row>
    <row r="116" spans="1:23">
      <c r="A116" s="6"/>
      <c r="B116" s="6"/>
      <c r="C116" s="136"/>
      <c r="D116" s="136"/>
      <c r="E116" s="27"/>
      <c r="F116" s="27"/>
      <c r="G116" s="27"/>
      <c r="H116" s="27"/>
      <c r="I116" s="27"/>
      <c r="J116" s="27"/>
      <c r="K116" s="27"/>
      <c r="L116" s="27"/>
      <c r="M116" s="27"/>
      <c r="N116" s="27"/>
      <c r="O116" s="27"/>
      <c r="P116" s="27"/>
      <c r="Q116" s="27"/>
      <c r="R116" s="27"/>
      <c r="S116" s="27"/>
      <c r="T116" s="136">
        <v>12.996666666666668</v>
      </c>
      <c r="U116" s="136">
        <v>10.21316250887949</v>
      </c>
      <c r="V116" s="136">
        <v>0.41587207220708089</v>
      </c>
      <c r="W116" s="136">
        <v>-0.15947588552116509</v>
      </c>
    </row>
    <row r="117" spans="1:23">
      <c r="A117" s="6"/>
      <c r="B117" s="6"/>
      <c r="C117" s="136"/>
      <c r="D117" s="136"/>
      <c r="E117" s="27"/>
      <c r="F117" s="27"/>
      <c r="G117" s="27"/>
      <c r="H117" s="27"/>
      <c r="I117" s="27"/>
      <c r="J117" s="27"/>
      <c r="K117" s="27"/>
      <c r="L117" s="27"/>
      <c r="M117" s="27"/>
      <c r="N117" s="27"/>
      <c r="O117" s="27"/>
      <c r="P117" s="27"/>
      <c r="Q117" s="27"/>
      <c r="R117" s="27"/>
      <c r="S117" s="27"/>
      <c r="T117" s="136">
        <v>13.093000000000002</v>
      </c>
      <c r="U117" s="136">
        <v>10.251770232001308</v>
      </c>
      <c r="V117" s="136">
        <v>0.38588999271668017</v>
      </c>
      <c r="W117" s="136">
        <v>-0.15176433044038787</v>
      </c>
    </row>
    <row r="118" spans="1:23">
      <c r="A118" s="6"/>
      <c r="B118" s="6"/>
      <c r="C118" s="136"/>
      <c r="D118" s="136"/>
      <c r="E118" s="27"/>
      <c r="F118" s="27"/>
      <c r="G118" s="27"/>
      <c r="H118" s="27"/>
      <c r="I118" s="27"/>
      <c r="J118" s="27"/>
      <c r="K118" s="27"/>
      <c r="L118" s="27"/>
      <c r="M118" s="27"/>
      <c r="N118" s="27"/>
      <c r="O118" s="27"/>
      <c r="P118" s="27"/>
      <c r="Q118" s="27"/>
      <c r="R118" s="27"/>
      <c r="S118" s="27"/>
      <c r="T118" s="136">
        <v>13.189333333333334</v>
      </c>
      <c r="U118" s="136">
        <v>10.287561172822858</v>
      </c>
      <c r="V118" s="136">
        <v>0.35739364859031331</v>
      </c>
      <c r="W118" s="136">
        <v>-0.1440530624825889</v>
      </c>
    </row>
    <row r="119" spans="1:23">
      <c r="A119" s="6"/>
      <c r="B119" s="6"/>
      <c r="C119" s="136"/>
      <c r="D119" s="136"/>
      <c r="E119" s="27"/>
      <c r="F119" s="27"/>
      <c r="G119" s="27"/>
      <c r="H119" s="27"/>
      <c r="I119" s="27"/>
      <c r="J119" s="27"/>
      <c r="K119" s="27"/>
      <c r="L119" s="27"/>
      <c r="M119" s="27"/>
      <c r="N119" s="27"/>
      <c r="O119" s="27"/>
      <c r="P119" s="27"/>
      <c r="Q119" s="27"/>
      <c r="R119" s="27"/>
      <c r="S119" s="27"/>
      <c r="T119" s="136">
        <v>13.285666666666668</v>
      </c>
      <c r="U119" s="136">
        <v>10.32067845718711</v>
      </c>
      <c r="V119" s="136">
        <v>0.33038303986485962</v>
      </c>
      <c r="W119" s="136">
        <v>-0.13634169881732258</v>
      </c>
    </row>
    <row r="120" spans="1:23">
      <c r="A120" s="6"/>
      <c r="B120" s="6"/>
      <c r="C120" s="136"/>
      <c r="D120" s="136"/>
      <c r="E120" s="27"/>
      <c r="F120" s="27"/>
      <c r="G120" s="27"/>
      <c r="H120" s="27"/>
      <c r="I120" s="27"/>
      <c r="J120" s="27"/>
      <c r="K120" s="27"/>
      <c r="L120" s="27"/>
      <c r="M120" s="27"/>
      <c r="N120" s="27"/>
      <c r="O120" s="27"/>
      <c r="P120" s="27"/>
      <c r="Q120" s="27"/>
      <c r="R120" s="27"/>
      <c r="S120" s="27"/>
      <c r="T120" s="136">
        <v>13.382000000000001</v>
      </c>
      <c r="U120" s="136">
        <v>10.351265210937029</v>
      </c>
      <c r="V120" s="136">
        <v>0.3048581665587588</v>
      </c>
      <c r="W120" s="136">
        <v>-0.12863014373683349</v>
      </c>
    </row>
    <row r="121" spans="1:23">
      <c r="A121" s="6"/>
      <c r="B121" s="6"/>
      <c r="C121" s="136"/>
      <c r="D121" s="136"/>
      <c r="E121" s="27"/>
      <c r="F121" s="27"/>
      <c r="G121" s="27"/>
      <c r="H121" s="27"/>
      <c r="I121" s="27"/>
      <c r="J121" s="27"/>
      <c r="K121" s="27"/>
      <c r="L121" s="27"/>
      <c r="M121" s="27"/>
      <c r="N121" s="27"/>
      <c r="O121" s="27"/>
      <c r="P121" s="27"/>
      <c r="Q121" s="27"/>
      <c r="R121" s="27"/>
      <c r="S121" s="27"/>
      <c r="T121" s="136">
        <v>13.478333333333335</v>
      </c>
      <c r="U121" s="136">
        <v>10.379464559915586</v>
      </c>
      <c r="V121" s="136">
        <v>0.28081902863513158</v>
      </c>
      <c r="W121" s="136">
        <v>-0.1209186843635236</v>
      </c>
    </row>
    <row r="122" spans="1:23">
      <c r="A122" s="6"/>
      <c r="B122" s="6"/>
      <c r="C122" s="136"/>
      <c r="D122" s="136"/>
      <c r="E122" s="27"/>
      <c r="F122" s="27"/>
      <c r="G122" s="27"/>
      <c r="H122" s="27"/>
      <c r="I122" s="27"/>
      <c r="J122" s="27"/>
      <c r="K122" s="27"/>
      <c r="L122" s="27"/>
      <c r="M122" s="27"/>
      <c r="N122" s="27"/>
      <c r="O122" s="27"/>
      <c r="P122" s="27"/>
      <c r="Q122" s="27"/>
      <c r="R122" s="27"/>
      <c r="S122" s="27"/>
      <c r="T122" s="136">
        <v>13.574666666666667</v>
      </c>
      <c r="U122" s="136">
        <v>10.405419629965749</v>
      </c>
      <c r="V122" s="136">
        <v>0.2582656260939778</v>
      </c>
      <c r="W122" s="136">
        <v>-0.1132073206985454</v>
      </c>
    </row>
    <row r="123" spans="1:23">
      <c r="A123" s="6"/>
      <c r="B123" s="6"/>
      <c r="C123" s="136"/>
      <c r="D123" s="136"/>
      <c r="E123" s="27"/>
      <c r="F123" s="27"/>
      <c r="G123" s="27"/>
      <c r="H123" s="27"/>
      <c r="I123" s="27"/>
      <c r="J123" s="27"/>
      <c r="K123" s="27"/>
      <c r="L123" s="27"/>
      <c r="M123" s="27"/>
      <c r="N123" s="27"/>
      <c r="O123" s="27"/>
      <c r="P123" s="27"/>
      <c r="Q123" s="27"/>
      <c r="R123" s="27"/>
      <c r="S123" s="27"/>
      <c r="T123" s="136">
        <v>13.671000000000001</v>
      </c>
      <c r="U123" s="136">
        <v>10.429273546930485</v>
      </c>
      <c r="V123" s="136">
        <v>0.23719795897217696</v>
      </c>
      <c r="W123" s="136">
        <v>-0.10549576561762414</v>
      </c>
    </row>
    <row r="124" spans="1:23">
      <c r="A124" s="6"/>
      <c r="B124" s="6"/>
      <c r="C124" s="136"/>
      <c r="D124" s="136"/>
      <c r="E124" s="27"/>
      <c r="F124" s="27"/>
      <c r="G124" s="27"/>
      <c r="H124" s="27"/>
      <c r="I124" s="27"/>
      <c r="J124" s="27"/>
      <c r="K124" s="27"/>
      <c r="L124" s="27"/>
      <c r="M124" s="27"/>
      <c r="N124" s="27"/>
      <c r="O124" s="27"/>
      <c r="P124" s="27"/>
      <c r="Q124" s="27"/>
      <c r="R124" s="27"/>
      <c r="S124" s="27"/>
      <c r="T124" s="136">
        <v>13.767333333333335</v>
      </c>
      <c r="U124" s="136">
        <v>10.451169436652764</v>
      </c>
      <c r="V124" s="136">
        <v>0.21761602721440995</v>
      </c>
      <c r="W124" s="136">
        <v>-9.7784497659969202E-2</v>
      </c>
    </row>
    <row r="125" spans="1:23">
      <c r="A125" s="6"/>
      <c r="B125" s="6"/>
      <c r="C125" s="136"/>
      <c r="D125" s="136"/>
      <c r="E125" s="27"/>
      <c r="F125" s="27"/>
      <c r="G125" s="27"/>
      <c r="H125" s="27"/>
      <c r="I125" s="27"/>
      <c r="J125" s="27"/>
      <c r="K125" s="27"/>
      <c r="L125" s="27"/>
      <c r="M125" s="27"/>
      <c r="N125" s="27"/>
      <c r="O125" s="27"/>
      <c r="P125" s="27"/>
      <c r="Q125" s="27"/>
      <c r="R125" s="27"/>
      <c r="S125" s="27"/>
      <c r="T125" s="136">
        <v>13.863666666666667</v>
      </c>
      <c r="U125" s="136">
        <v>10.471250424975551</v>
      </c>
      <c r="V125" s="136">
        <v>0.19951983087599581</v>
      </c>
      <c r="W125" s="136">
        <v>-9.0072942579336054E-2</v>
      </c>
    </row>
    <row r="126" spans="1:23">
      <c r="A126" s="6"/>
      <c r="B126" s="6"/>
      <c r="C126" s="136"/>
      <c r="D126" s="136"/>
      <c r="E126" s="27"/>
      <c r="F126" s="27"/>
      <c r="G126" s="27"/>
      <c r="H126" s="27"/>
      <c r="I126" s="27"/>
      <c r="J126" s="27"/>
      <c r="K126" s="27"/>
      <c r="L126" s="27"/>
      <c r="M126" s="27"/>
      <c r="N126" s="27"/>
      <c r="O126" s="27"/>
      <c r="P126" s="27"/>
      <c r="Q126" s="27"/>
      <c r="R126" s="27"/>
      <c r="S126" s="27"/>
      <c r="T126" s="136">
        <v>13.96</v>
      </c>
      <c r="U126" s="136">
        <v>10.489659637741818</v>
      </c>
      <c r="V126" s="136">
        <v>0.18290936990161552</v>
      </c>
      <c r="W126" s="136">
        <v>-8.2361674621681119E-2</v>
      </c>
    </row>
    <row r="127" spans="1:23">
      <c r="A127" s="6"/>
      <c r="B127" s="6"/>
      <c r="C127" s="136"/>
      <c r="D127" s="136"/>
      <c r="E127" s="27"/>
      <c r="F127" s="27"/>
      <c r="G127" s="27"/>
      <c r="H127" s="27"/>
      <c r="I127" s="27"/>
      <c r="J127" s="27"/>
      <c r="K127" s="27"/>
      <c r="L127" s="27"/>
      <c r="M127" s="27"/>
      <c r="N127" s="27"/>
      <c r="O127" s="27"/>
      <c r="P127" s="27"/>
      <c r="Q127" s="27"/>
      <c r="R127" s="27"/>
      <c r="S127" s="27"/>
      <c r="T127" s="136">
        <v>14.056333333333335</v>
      </c>
      <c r="U127" s="136">
        <v>10.506540200794531</v>
      </c>
      <c r="V127" s="136">
        <v>0.16778464434658813</v>
      </c>
      <c r="W127" s="136">
        <v>-7.4650215248659363E-2</v>
      </c>
    </row>
    <row r="128" spans="1:23">
      <c r="A128" s="6"/>
      <c r="B128" s="6"/>
      <c r="C128" s="136"/>
      <c r="D128" s="136"/>
      <c r="E128" s="27"/>
      <c r="F128" s="27"/>
      <c r="G128" s="27"/>
      <c r="H128" s="27"/>
      <c r="I128" s="27"/>
      <c r="J128" s="27"/>
      <c r="K128" s="27"/>
      <c r="L128" s="27"/>
      <c r="M128" s="27"/>
      <c r="N128" s="27"/>
      <c r="O128" s="27"/>
      <c r="P128" s="27"/>
      <c r="Q128" s="27"/>
      <c r="R128" s="27"/>
      <c r="S128" s="27"/>
      <c r="T128" s="136">
        <v>14.152666666666669</v>
      </c>
      <c r="U128" s="136">
        <v>10.522035239976658</v>
      </c>
      <c r="V128" s="136">
        <v>0.15414565417403422</v>
      </c>
      <c r="W128" s="136">
        <v>-6.6938755875781658E-2</v>
      </c>
    </row>
    <row r="129" spans="1:23">
      <c r="A129" s="6"/>
      <c r="B129" s="6"/>
      <c r="C129" s="136"/>
      <c r="D129" s="136"/>
      <c r="E129" s="27"/>
      <c r="F129" s="27"/>
      <c r="G129" s="27"/>
      <c r="H129" s="27"/>
      <c r="I129" s="27"/>
      <c r="J129" s="27"/>
      <c r="K129" s="27"/>
      <c r="L129" s="27"/>
      <c r="M129" s="27"/>
      <c r="N129" s="27"/>
      <c r="O129" s="27"/>
      <c r="P129" s="27"/>
      <c r="Q129" s="27"/>
      <c r="R129" s="27"/>
      <c r="S129" s="27"/>
      <c r="T129" s="136">
        <v>14.249000000000001</v>
      </c>
      <c r="U129" s="136">
        <v>10.536287881131168</v>
      </c>
      <c r="V129" s="136">
        <v>0.14199239940239355</v>
      </c>
      <c r="W129" s="136">
        <v>-5.9227296502615837E-2</v>
      </c>
    </row>
    <row r="130" spans="1:23">
      <c r="A130" s="6"/>
      <c r="B130" s="6"/>
      <c r="C130" s="136"/>
      <c r="D130" s="136"/>
      <c r="E130" s="27"/>
      <c r="F130" s="27"/>
      <c r="G130" s="27"/>
      <c r="H130" s="27"/>
      <c r="I130" s="27"/>
      <c r="J130" s="27"/>
      <c r="K130" s="27"/>
      <c r="L130" s="27"/>
      <c r="M130" s="27"/>
      <c r="N130" s="27"/>
      <c r="O130" s="27"/>
      <c r="P130" s="27"/>
      <c r="Q130" s="27"/>
      <c r="R130" s="27"/>
      <c r="S130" s="27"/>
      <c r="T130" s="136">
        <v>14.345333333333334</v>
      </c>
      <c r="U130" s="136">
        <v>10.54944125010103</v>
      </c>
      <c r="V130" s="136">
        <v>0.13132488003166609</v>
      </c>
      <c r="W130" s="136">
        <v>-5.1515837129594073E-2</v>
      </c>
    </row>
    <row r="131" spans="1:23">
      <c r="A131" s="6"/>
      <c r="B131" s="6"/>
      <c r="C131" s="136"/>
      <c r="D131" s="136"/>
      <c r="E131" s="27"/>
      <c r="F131" s="27"/>
      <c r="G131" s="27"/>
      <c r="H131" s="27"/>
      <c r="I131" s="27"/>
      <c r="J131" s="27"/>
      <c r="K131" s="27"/>
      <c r="L131" s="27"/>
      <c r="M131" s="27"/>
      <c r="N131" s="27"/>
      <c r="O131" s="27"/>
      <c r="P131" s="27"/>
      <c r="Q131" s="27"/>
      <c r="R131" s="27"/>
      <c r="S131" s="27"/>
      <c r="T131" s="136">
        <v>14.441666666666668</v>
      </c>
      <c r="U131" s="136">
        <v>10.561638472729211</v>
      </c>
      <c r="V131" s="136">
        <v>0.12214309604341214</v>
      </c>
      <c r="W131" s="136">
        <v>-4.3804473464327753E-2</v>
      </c>
    </row>
    <row r="132" spans="1:23">
      <c r="A132" s="6"/>
      <c r="B132" s="6"/>
      <c r="C132" s="136"/>
      <c r="D132" s="136"/>
      <c r="E132" s="27"/>
      <c r="F132" s="27"/>
      <c r="G132" s="27"/>
      <c r="H132" s="27"/>
      <c r="I132" s="27"/>
      <c r="J132" s="27"/>
      <c r="K132" s="27"/>
      <c r="L132" s="27"/>
      <c r="M132" s="27"/>
      <c r="N132" s="27"/>
      <c r="O132" s="27"/>
      <c r="P132" s="27"/>
      <c r="Q132" s="27"/>
      <c r="R132" s="27"/>
      <c r="S132" s="27"/>
      <c r="T132" s="136">
        <v>14.538000000000002</v>
      </c>
      <c r="U132" s="136">
        <v>10.573022674858679</v>
      </c>
      <c r="V132" s="136">
        <v>0.1144470474376317</v>
      </c>
      <c r="W132" s="136">
        <v>-3.6093109798989408E-2</v>
      </c>
    </row>
    <row r="133" spans="1:23">
      <c r="A133" s="6"/>
      <c r="B133" s="6"/>
      <c r="C133" s="136"/>
      <c r="D133" s="136"/>
      <c r="E133" s="27"/>
      <c r="F133" s="27"/>
      <c r="G133" s="27"/>
      <c r="H133" s="27"/>
      <c r="I133" s="27"/>
      <c r="J133" s="27"/>
      <c r="K133" s="27"/>
      <c r="L133" s="27"/>
      <c r="M133" s="27"/>
      <c r="N133" s="27"/>
      <c r="O133" s="27"/>
      <c r="P133" s="27"/>
      <c r="Q133" s="27"/>
      <c r="R133" s="27"/>
      <c r="S133" s="27"/>
      <c r="T133" s="136">
        <v>14.634333333333334</v>
      </c>
      <c r="U133" s="136">
        <v>10.583736982332402</v>
      </c>
      <c r="V133" s="136">
        <v>0.10823673425120417</v>
      </c>
      <c r="W133" s="136">
        <v>-2.8381554718212201E-2</v>
      </c>
    </row>
    <row r="134" spans="1:23">
      <c r="A134" s="6"/>
      <c r="B134" s="6"/>
      <c r="C134" s="136"/>
      <c r="D134" s="136"/>
      <c r="E134" s="27"/>
      <c r="F134" s="27"/>
      <c r="G134" s="27"/>
      <c r="H134" s="27"/>
      <c r="I134" s="27"/>
      <c r="J134" s="27"/>
      <c r="K134" s="27"/>
      <c r="L134" s="27"/>
      <c r="M134" s="27"/>
      <c r="N134" s="27"/>
      <c r="O134" s="27"/>
      <c r="P134" s="27"/>
      <c r="Q134" s="27"/>
      <c r="R134" s="27"/>
      <c r="S134" s="27"/>
      <c r="T134" s="136">
        <v>14.730666666666668</v>
      </c>
      <c r="U134" s="136">
        <v>10.593924520993351</v>
      </c>
      <c r="V134" s="136">
        <v>0.10351215644725015</v>
      </c>
      <c r="W134" s="136">
        <v>-2.0670191052945885E-2</v>
      </c>
    </row>
    <row r="135" spans="1:23">
      <c r="A135" s="6"/>
      <c r="B135" s="6"/>
      <c r="C135" s="136"/>
      <c r="D135" s="136"/>
      <c r="E135" s="27"/>
      <c r="F135" s="27"/>
      <c r="G135" s="27"/>
      <c r="H135" s="27"/>
      <c r="I135" s="27"/>
      <c r="J135" s="27"/>
      <c r="K135" s="27"/>
      <c r="L135" s="27"/>
      <c r="M135" s="27"/>
      <c r="N135" s="27"/>
      <c r="O135" s="27"/>
      <c r="P135" s="27"/>
      <c r="Q135" s="27"/>
      <c r="R135" s="27"/>
      <c r="S135" s="27"/>
      <c r="T135" s="136">
        <v>14.827000000000002</v>
      </c>
      <c r="U135" s="136">
        <v>10.603728416684492</v>
      </c>
      <c r="V135" s="136">
        <v>0.10027331404420933</v>
      </c>
      <c r="W135" s="136">
        <v>-1.2958731679924122E-2</v>
      </c>
    </row>
    <row r="136" spans="1:23">
      <c r="A136" s="6"/>
      <c r="B136" s="6"/>
      <c r="C136" s="136"/>
      <c r="D136" s="136"/>
      <c r="E136" s="27"/>
      <c r="F136" s="27"/>
      <c r="G136" s="27"/>
      <c r="H136" s="27"/>
      <c r="I136" s="27"/>
      <c r="J136" s="27"/>
      <c r="K136" s="27"/>
      <c r="L136" s="27"/>
      <c r="M136" s="27"/>
      <c r="N136" s="27"/>
      <c r="O136" s="27"/>
      <c r="P136" s="27"/>
      <c r="Q136" s="27"/>
      <c r="R136" s="27"/>
      <c r="S136" s="27"/>
      <c r="T136" s="136">
        <v>14.923333333333334</v>
      </c>
      <c r="U136" s="136">
        <v>10.613291795248792</v>
      </c>
      <c r="V136" s="136">
        <v>9.8520207023642031E-2</v>
      </c>
      <c r="W136" s="136">
        <v>-5.2472723069743894E-3</v>
      </c>
    </row>
    <row r="137" spans="1:23">
      <c r="A137" s="6"/>
      <c r="B137" s="6"/>
      <c r="C137" s="136"/>
      <c r="D137" s="136"/>
      <c r="E137" s="27"/>
      <c r="F137" s="27"/>
      <c r="G137" s="27"/>
      <c r="H137" s="27"/>
      <c r="I137" s="27"/>
      <c r="J137" s="27"/>
      <c r="K137" s="27"/>
      <c r="L137" s="27"/>
      <c r="M137" s="27"/>
      <c r="N137" s="27"/>
      <c r="O137" s="27"/>
      <c r="P137" s="27"/>
      <c r="Q137" s="27"/>
      <c r="R137" s="27"/>
      <c r="S137" s="27"/>
      <c r="T137" s="136">
        <v>15.019666666666668</v>
      </c>
      <c r="U137" s="136">
        <v>10.622757782529222</v>
      </c>
      <c r="V137" s="136">
        <v>9.8252835403987951E-2</v>
      </c>
      <c r="W137" s="136">
        <v>2.4640913583639568E-3</v>
      </c>
    </row>
    <row r="138" spans="1:23">
      <c r="A138" s="6"/>
      <c r="B138" s="6"/>
      <c r="C138" s="136"/>
      <c r="D138" s="136"/>
      <c r="E138" s="27"/>
      <c r="F138" s="27"/>
      <c r="G138" s="27"/>
      <c r="H138" s="27"/>
      <c r="I138" s="27"/>
      <c r="J138" s="27"/>
      <c r="K138" s="27"/>
      <c r="L138" s="27"/>
      <c r="M138" s="27"/>
      <c r="N138" s="27"/>
      <c r="O138" s="27"/>
      <c r="P138" s="27"/>
      <c r="Q138" s="27"/>
      <c r="R138" s="27"/>
      <c r="S138" s="27"/>
      <c r="T138" s="136">
        <v>15.116000000000001</v>
      </c>
      <c r="U138" s="136">
        <v>10.632268195296751</v>
      </c>
      <c r="V138" s="136">
        <v>9.9361817671020314E-2</v>
      </c>
      <c r="W138" s="136">
        <v>7.1452524097142568E-3</v>
      </c>
    </row>
    <row r="139" spans="1:23">
      <c r="A139" s="6"/>
      <c r="B139" s="6"/>
      <c r="C139" s="136"/>
      <c r="D139" s="136"/>
      <c r="E139" s="27"/>
      <c r="F139" s="27"/>
      <c r="G139" s="27"/>
      <c r="H139" s="27"/>
      <c r="I139" s="27"/>
      <c r="J139" s="27"/>
      <c r="K139" s="27"/>
      <c r="L139" s="27"/>
      <c r="M139" s="27"/>
      <c r="N139" s="27"/>
      <c r="O139" s="27"/>
      <c r="P139" s="27"/>
      <c r="Q139" s="27"/>
      <c r="R139" s="27"/>
      <c r="S139" s="27"/>
      <c r="T139" s="136">
        <v>15.212333333333335</v>
      </c>
      <c r="U139" s="136">
        <v>10.641905064091912</v>
      </c>
      <c r="V139" s="136">
        <v>0.10070016289344008</v>
      </c>
      <c r="W139" s="136">
        <v>6.7479695996909518E-3</v>
      </c>
    </row>
    <row r="140" spans="1:23">
      <c r="A140" s="6"/>
      <c r="B140" s="6"/>
      <c r="C140" s="136"/>
      <c r="D140" s="136"/>
      <c r="E140" s="27"/>
      <c r="F140" s="27"/>
      <c r="G140" s="27"/>
      <c r="H140" s="27"/>
      <c r="I140" s="27"/>
      <c r="J140" s="27"/>
      <c r="K140" s="27"/>
      <c r="L140" s="27"/>
      <c r="M140" s="27"/>
      <c r="N140" s="27"/>
      <c r="O140" s="27"/>
      <c r="P140" s="27"/>
      <c r="Q140" s="27"/>
      <c r="R140" s="27"/>
      <c r="S140" s="27"/>
      <c r="T140" s="136">
        <v>15.308666666666667</v>
      </c>
      <c r="U140" s="136">
        <v>10.651667176658206</v>
      </c>
      <c r="V140" s="136">
        <v>0.10196195782495554</v>
      </c>
      <c r="W140" s="136">
        <v>6.3506867895956167E-3</v>
      </c>
    </row>
    <row r="141" spans="1:23">
      <c r="A141" s="6"/>
      <c r="B141" s="6"/>
      <c r="C141" s="136"/>
      <c r="D141" s="136"/>
      <c r="E141" s="27"/>
      <c r="F141" s="27"/>
      <c r="G141" s="27"/>
      <c r="H141" s="27"/>
      <c r="I141" s="27"/>
      <c r="J141" s="27"/>
      <c r="K141" s="27"/>
      <c r="L141" s="27"/>
      <c r="M141" s="27"/>
      <c r="N141" s="27"/>
      <c r="O141" s="27"/>
      <c r="P141" s="27"/>
      <c r="Q141" s="27"/>
      <c r="R141" s="27"/>
      <c r="S141" s="27"/>
      <c r="T141" s="136">
        <v>15.405000000000001</v>
      </c>
      <c r="U141" s="136">
        <v>10.661547158649794</v>
      </c>
      <c r="V141" s="136">
        <v>0.10314720244712701</v>
      </c>
      <c r="W141" s="136">
        <v>5.953308271744835E-3</v>
      </c>
    </row>
    <row r="142" spans="1:23">
      <c r="A142" s="6"/>
      <c r="B142" s="6"/>
      <c r="C142" s="136"/>
      <c r="D142" s="136"/>
      <c r="E142" s="27"/>
      <c r="F142" s="27"/>
      <c r="G142" s="27"/>
      <c r="H142" s="27"/>
      <c r="I142" s="27"/>
      <c r="J142" s="27"/>
      <c r="K142" s="27"/>
      <c r="L142" s="27"/>
      <c r="M142" s="27"/>
      <c r="N142" s="27"/>
      <c r="O142" s="27"/>
      <c r="P142" s="27"/>
      <c r="Q142" s="27"/>
      <c r="R142" s="27"/>
      <c r="S142" s="27"/>
      <c r="T142" s="136">
        <v>15.501333333333335</v>
      </c>
      <c r="U142" s="136">
        <v>10.671537635720833</v>
      </c>
      <c r="V142" s="136">
        <v>0.10425589675995449</v>
      </c>
      <c r="W142" s="136">
        <v>5.5560254616494999E-3</v>
      </c>
    </row>
    <row r="143" spans="1:23">
      <c r="A143" s="6"/>
      <c r="B143" s="6"/>
      <c r="C143" s="136"/>
      <c r="D143" s="136"/>
      <c r="E143" s="27"/>
      <c r="F143" s="27"/>
      <c r="G143" s="27"/>
      <c r="H143" s="27"/>
      <c r="I143" s="27"/>
      <c r="J143" s="27"/>
      <c r="K143" s="27"/>
      <c r="L143" s="27"/>
      <c r="M143" s="27"/>
      <c r="N143" s="27"/>
      <c r="O143" s="27"/>
      <c r="P143" s="27"/>
      <c r="Q143" s="27"/>
      <c r="R143" s="27"/>
      <c r="S143" s="27"/>
      <c r="T143" s="136">
        <v>15.597666666666669</v>
      </c>
      <c r="U143" s="136">
        <v>10.681631233525485</v>
      </c>
      <c r="V143" s="136">
        <v>0.10528804078187767</v>
      </c>
      <c r="W143" s="136">
        <v>5.1587426515541639E-3</v>
      </c>
    </row>
    <row r="144" spans="1:23">
      <c r="A144" s="6"/>
      <c r="B144" s="6"/>
      <c r="C144" s="136"/>
      <c r="D144" s="136"/>
      <c r="E144" s="27"/>
      <c r="F144" s="27"/>
      <c r="G144" s="27"/>
      <c r="H144" s="27"/>
      <c r="I144" s="27"/>
      <c r="J144" s="27"/>
      <c r="K144" s="27"/>
      <c r="L144" s="27"/>
      <c r="M144" s="27"/>
      <c r="N144" s="27"/>
      <c r="O144" s="27"/>
      <c r="P144" s="27"/>
      <c r="Q144" s="27"/>
      <c r="R144" s="27"/>
      <c r="S144" s="27"/>
      <c r="T144" s="136">
        <v>15.694000000000001</v>
      </c>
      <c r="U144" s="136">
        <v>10.691820577717905</v>
      </c>
      <c r="V144" s="136">
        <v>0.10624363449445688</v>
      </c>
      <c r="W144" s="136">
        <v>4.7614598415308589E-3</v>
      </c>
    </row>
    <row r="145" spans="1:23">
      <c r="A145" s="6"/>
      <c r="B145" s="6"/>
      <c r="C145" s="136"/>
      <c r="D145" s="136"/>
      <c r="E145" s="27"/>
      <c r="F145" s="27"/>
      <c r="G145" s="27"/>
      <c r="H145" s="27"/>
      <c r="I145" s="27"/>
      <c r="J145" s="27"/>
      <c r="K145" s="27"/>
      <c r="L145" s="27"/>
      <c r="M145" s="27"/>
      <c r="N145" s="27"/>
      <c r="O145" s="27"/>
      <c r="P145" s="27"/>
      <c r="Q145" s="27"/>
      <c r="R145" s="27"/>
      <c r="S145" s="27"/>
      <c r="T145" s="136">
        <v>15.790333333333335</v>
      </c>
      <c r="U145" s="136">
        <v>10.702098293952258</v>
      </c>
      <c r="V145" s="136">
        <v>0.10712267789769209</v>
      </c>
      <c r="W145" s="136">
        <v>4.3639856159246315E-3</v>
      </c>
    </row>
    <row r="146" spans="1:23">
      <c r="A146" s="6"/>
      <c r="B146" s="6"/>
      <c r="C146" s="136"/>
      <c r="D146" s="136"/>
      <c r="E146" s="27"/>
      <c r="F146" s="27"/>
      <c r="G146" s="27"/>
      <c r="H146" s="27"/>
      <c r="I146" s="27"/>
      <c r="J146" s="27"/>
      <c r="K146" s="27"/>
      <c r="L146" s="27"/>
      <c r="M146" s="27"/>
      <c r="N146" s="27"/>
      <c r="O146" s="27"/>
      <c r="P146" s="27"/>
      <c r="Q146" s="27"/>
      <c r="R146" s="27"/>
      <c r="S146" s="27"/>
      <c r="T146" s="136">
        <v>15.886666666666668</v>
      </c>
      <c r="U146" s="136">
        <v>10.712457007882698</v>
      </c>
      <c r="V146" s="136">
        <v>0.10792517101002301</v>
      </c>
      <c r="W146" s="136">
        <v>3.9667985135847421E-3</v>
      </c>
    </row>
    <row r="147" spans="1:23">
      <c r="A147" s="6"/>
      <c r="B147" s="6"/>
      <c r="C147" s="136"/>
      <c r="D147" s="136"/>
      <c r="E147" s="27"/>
      <c r="F147" s="27"/>
      <c r="G147" s="27"/>
      <c r="H147" s="27"/>
      <c r="I147" s="27"/>
      <c r="J147" s="27"/>
      <c r="K147" s="27"/>
      <c r="L147" s="27"/>
      <c r="M147" s="27"/>
      <c r="N147" s="27"/>
      <c r="O147" s="27"/>
      <c r="P147" s="27"/>
      <c r="Q147" s="27"/>
      <c r="R147" s="27"/>
      <c r="S147" s="27"/>
      <c r="T147" s="136">
        <v>15.983000000000001</v>
      </c>
      <c r="U147" s="136">
        <v>10.722889345163388</v>
      </c>
      <c r="V147" s="136">
        <v>0.10865111381300993</v>
      </c>
      <c r="W147" s="136">
        <v>3.5694199957339609E-3</v>
      </c>
    </row>
    <row r="148" spans="1:23">
      <c r="A148" s="6"/>
      <c r="B148" s="6"/>
      <c r="C148" s="136"/>
      <c r="D148" s="136"/>
      <c r="E148" s="27"/>
      <c r="F148" s="27"/>
      <c r="G148" s="27"/>
      <c r="H148" s="27"/>
      <c r="I148" s="27"/>
      <c r="J148" s="27"/>
      <c r="K148" s="27"/>
      <c r="L148" s="27"/>
      <c r="M148" s="27"/>
      <c r="N148" s="27"/>
      <c r="O148" s="27"/>
      <c r="P148" s="27"/>
      <c r="Q148" s="27"/>
      <c r="R148" s="27"/>
      <c r="S148" s="27"/>
      <c r="T148" s="136">
        <v>16.079333333333334</v>
      </c>
      <c r="U148" s="136">
        <v>10.733387931448485</v>
      </c>
      <c r="V148" s="136">
        <v>0.10930050630665288</v>
      </c>
      <c r="W148" s="136">
        <v>3.1720414779552093E-3</v>
      </c>
    </row>
    <row r="149" spans="1:23">
      <c r="A149" s="6"/>
      <c r="B149" s="6"/>
      <c r="C149" s="136"/>
      <c r="D149" s="136"/>
      <c r="E149" s="27"/>
      <c r="F149" s="27"/>
      <c r="G149" s="27"/>
      <c r="H149" s="27"/>
      <c r="I149" s="27"/>
      <c r="J149" s="27"/>
      <c r="K149" s="27"/>
      <c r="L149" s="27"/>
      <c r="M149" s="27"/>
      <c r="N149" s="27"/>
      <c r="O149" s="27"/>
      <c r="P149" s="27"/>
      <c r="Q149" s="27"/>
      <c r="R149" s="27"/>
      <c r="S149" s="27"/>
      <c r="T149" s="136">
        <v>16.175666666666668</v>
      </c>
      <c r="U149" s="136">
        <v>10.743945392392151</v>
      </c>
      <c r="V149" s="136">
        <v>0.10987334850939152</v>
      </c>
      <c r="W149" s="136">
        <v>2.7747586678598737E-3</v>
      </c>
    </row>
    <row r="150" spans="1:23">
      <c r="A150" s="6"/>
      <c r="B150" s="6"/>
      <c r="C150" s="136"/>
      <c r="D150" s="136"/>
      <c r="E150" s="27"/>
      <c r="F150" s="27"/>
      <c r="G150" s="27"/>
      <c r="H150" s="27"/>
      <c r="I150" s="27"/>
      <c r="J150" s="27"/>
      <c r="K150" s="27"/>
      <c r="L150" s="27"/>
      <c r="M150" s="27"/>
      <c r="N150" s="27"/>
      <c r="O150" s="27"/>
      <c r="P150" s="27"/>
      <c r="Q150" s="27"/>
      <c r="R150" s="27"/>
      <c r="S150" s="27"/>
      <c r="T150" s="136">
        <v>16.272000000000002</v>
      </c>
      <c r="U150" s="136">
        <v>10.754554353648542</v>
      </c>
      <c r="V150" s="136">
        <v>0.11036964040278617</v>
      </c>
      <c r="W150" s="136">
        <v>2.3773801500090921E-3</v>
      </c>
    </row>
    <row r="151" spans="1:23">
      <c r="A151" s="6"/>
      <c r="B151" s="6"/>
      <c r="C151" s="136"/>
      <c r="D151" s="136"/>
      <c r="E151" s="27"/>
      <c r="F151" s="27"/>
      <c r="G151" s="27"/>
      <c r="H151" s="27"/>
      <c r="I151" s="27"/>
      <c r="J151" s="27"/>
      <c r="K151" s="27"/>
      <c r="L151" s="27"/>
      <c r="M151" s="27"/>
      <c r="N151" s="27"/>
      <c r="O151" s="27"/>
      <c r="P151" s="27"/>
      <c r="Q151" s="27"/>
      <c r="R151" s="27"/>
      <c r="S151" s="27"/>
      <c r="T151" s="136">
        <v>16.368333333333332</v>
      </c>
      <c r="U151" s="136">
        <v>10.765207440871819</v>
      </c>
      <c r="V151" s="136">
        <v>0.11078938200527653</v>
      </c>
      <c r="W151" s="136">
        <v>1.9801930476692035E-3</v>
      </c>
    </row>
    <row r="152" spans="1:23">
      <c r="A152" s="6"/>
      <c r="B152" s="6"/>
      <c r="C152" s="136"/>
      <c r="D152" s="136"/>
      <c r="E152" s="27"/>
      <c r="F152" s="27"/>
      <c r="G152" s="27"/>
      <c r="H152" s="27"/>
      <c r="I152" s="27"/>
      <c r="J152" s="27"/>
      <c r="K152" s="27"/>
      <c r="L152" s="27"/>
      <c r="M152" s="27"/>
      <c r="N152" s="27"/>
      <c r="O152" s="27"/>
      <c r="P152" s="27"/>
      <c r="Q152" s="27"/>
      <c r="R152" s="27"/>
      <c r="S152" s="27"/>
      <c r="T152" s="136">
        <v>16.464666666666666</v>
      </c>
      <c r="U152" s="136">
        <v>10.775897279716142</v>
      </c>
      <c r="V152" s="136">
        <v>0.11113257329842291</v>
      </c>
      <c r="W152" s="136">
        <v>1.5829102375738682E-3</v>
      </c>
    </row>
    <row r="153" spans="1:23">
      <c r="A153" s="6"/>
      <c r="B153" s="6"/>
      <c r="C153" s="136"/>
      <c r="D153" s="136"/>
      <c r="E153" s="27"/>
      <c r="F153" s="27"/>
      <c r="G153" s="27"/>
      <c r="H153" s="27"/>
      <c r="I153" s="27"/>
      <c r="J153" s="27"/>
      <c r="K153" s="27"/>
      <c r="L153" s="27"/>
      <c r="M153" s="27"/>
      <c r="N153" s="27"/>
      <c r="O153" s="27"/>
      <c r="P153" s="27"/>
      <c r="Q153" s="27"/>
      <c r="R153" s="27"/>
      <c r="S153" s="27"/>
      <c r="T153" s="136">
        <v>16.561</v>
      </c>
      <c r="U153" s="136">
        <v>10.786616495835672</v>
      </c>
      <c r="V153" s="136">
        <v>0.1113992142637856</v>
      </c>
      <c r="W153" s="136">
        <v>1.1854360120396703E-3</v>
      </c>
    </row>
    <row r="154" spans="1:23">
      <c r="A154" s="6"/>
      <c r="B154" s="6"/>
      <c r="C154" s="136"/>
      <c r="D154" s="136"/>
      <c r="E154" s="27"/>
      <c r="F154" s="27"/>
      <c r="G154" s="27"/>
      <c r="H154" s="27"/>
      <c r="I154" s="27"/>
      <c r="J154" s="27"/>
      <c r="K154" s="27"/>
      <c r="L154" s="27"/>
      <c r="M154" s="27"/>
      <c r="N154" s="27"/>
      <c r="O154" s="27"/>
      <c r="P154" s="27"/>
      <c r="Q154" s="27"/>
      <c r="R154" s="27"/>
      <c r="S154" s="27"/>
      <c r="T154" s="136">
        <v>16.657333333333334</v>
      </c>
      <c r="U154" s="136">
        <v>10.797357714884564</v>
      </c>
      <c r="V154" s="136">
        <v>0.11158930495668368</v>
      </c>
      <c r="W154" s="136">
        <v>7.8815320187230488E-4</v>
      </c>
    </row>
    <row r="155" spans="1:23">
      <c r="A155" s="6"/>
      <c r="B155" s="6"/>
      <c r="C155" s="136"/>
      <c r="D155" s="136"/>
      <c r="E155" s="27"/>
      <c r="F155" s="27"/>
      <c r="G155" s="27"/>
      <c r="H155" s="27"/>
      <c r="I155" s="27"/>
      <c r="J155" s="27"/>
      <c r="K155" s="27"/>
      <c r="L155" s="27"/>
      <c r="M155" s="27"/>
      <c r="N155" s="27"/>
      <c r="O155" s="27"/>
      <c r="P155" s="27"/>
      <c r="Q155" s="27"/>
      <c r="R155" s="27"/>
      <c r="S155" s="27"/>
      <c r="T155" s="136">
        <v>16.753666666666668</v>
      </c>
      <c r="U155" s="136">
        <v>10.808113562516979</v>
      </c>
      <c r="V155" s="136">
        <v>0.11170284534023778</v>
      </c>
      <c r="W155" s="136">
        <v>3.9087039177696967E-4</v>
      </c>
    </row>
    <row r="156" spans="1:23">
      <c r="A156" s="6"/>
      <c r="B156" s="6"/>
      <c r="C156" s="136"/>
      <c r="D156" s="136"/>
      <c r="E156" s="27"/>
      <c r="F156" s="27"/>
      <c r="G156" s="27"/>
      <c r="H156" s="27"/>
      <c r="I156" s="27"/>
      <c r="J156" s="27"/>
      <c r="K156" s="27"/>
      <c r="L156" s="27"/>
      <c r="M156" s="27"/>
      <c r="N156" s="27"/>
      <c r="O156" s="27"/>
      <c r="P156" s="27"/>
      <c r="Q156" s="27"/>
      <c r="R156" s="27"/>
      <c r="S156" s="27"/>
      <c r="T156" s="136">
        <v>16.850000000000001</v>
      </c>
      <c r="U156" s="136">
        <v>10.818876664387078</v>
      </c>
      <c r="V156" s="136">
        <v>0.11173983541444789</v>
      </c>
      <c r="W156" s="136">
        <v>-6.5081260738119383E-6</v>
      </c>
    </row>
    <row r="157" spans="1:23">
      <c r="A157" s="6"/>
      <c r="B157" s="6"/>
      <c r="C157" s="136"/>
      <c r="D157" s="136"/>
      <c r="E157" s="27"/>
      <c r="F157" s="27"/>
      <c r="G157" s="27"/>
      <c r="H157" s="27"/>
      <c r="I157" s="27"/>
      <c r="J157" s="27"/>
      <c r="K157" s="27"/>
      <c r="L157" s="27"/>
      <c r="M157" s="27"/>
      <c r="N157" s="27"/>
      <c r="O157" s="27"/>
      <c r="P157" s="27"/>
      <c r="Q157" s="27"/>
      <c r="R157" s="27"/>
      <c r="S157" s="27"/>
      <c r="T157" s="136">
        <v>16.946333333333335</v>
      </c>
      <c r="U157" s="136">
        <v>10.829639646149019</v>
      </c>
      <c r="V157" s="136">
        <v>0.1117002751977537</v>
      </c>
      <c r="W157" s="136">
        <v>-4.0379093609711715E-4</v>
      </c>
    </row>
    <row r="158" spans="1:23">
      <c r="A158" s="6"/>
      <c r="B158" s="6"/>
      <c r="C158" s="136"/>
      <c r="D158" s="136"/>
      <c r="E158" s="27"/>
      <c r="F158" s="27"/>
      <c r="G158" s="27"/>
      <c r="H158" s="27"/>
      <c r="I158" s="27"/>
      <c r="J158" s="27"/>
      <c r="K158" s="27"/>
      <c r="L158" s="27"/>
      <c r="M158" s="27"/>
      <c r="N158" s="27"/>
      <c r="O158" s="27"/>
      <c r="P158" s="27"/>
      <c r="Q158" s="27"/>
      <c r="R158" s="27"/>
      <c r="S158" s="27"/>
      <c r="T158" s="136">
        <v>17.042666666666666</v>
      </c>
      <c r="U158" s="136">
        <v>10.840395133456962</v>
      </c>
      <c r="V158" s="136">
        <v>0.11158416467171553</v>
      </c>
      <c r="W158" s="136">
        <v>-8.0116945394789871E-4</v>
      </c>
    </row>
    <row r="159" spans="1:23">
      <c r="A159" s="6"/>
      <c r="B159" s="6"/>
      <c r="C159" s="136"/>
      <c r="D159" s="136"/>
      <c r="E159" s="27"/>
      <c r="F159" s="27"/>
      <c r="G159" s="27"/>
      <c r="H159" s="27"/>
      <c r="I159" s="27"/>
      <c r="J159" s="27"/>
      <c r="K159" s="27"/>
      <c r="L159" s="27"/>
      <c r="M159" s="27"/>
      <c r="N159" s="27"/>
      <c r="O159" s="27"/>
      <c r="P159" s="27"/>
      <c r="Q159" s="27"/>
      <c r="R159" s="27"/>
      <c r="S159" s="27"/>
      <c r="T159" s="136">
        <v>17.138999999999999</v>
      </c>
      <c r="U159" s="136">
        <v>10.851135751965066</v>
      </c>
      <c r="V159" s="136">
        <v>0.11139150383633338</v>
      </c>
      <c r="W159" s="136">
        <v>-1.1984522639712039E-3</v>
      </c>
    </row>
    <row r="160" spans="1:23">
      <c r="A160" s="6"/>
      <c r="B160" s="6"/>
      <c r="C160" s="136"/>
      <c r="D160" s="136"/>
      <c r="E160" s="27"/>
      <c r="F160" s="27"/>
      <c r="G160" s="27"/>
      <c r="H160" s="27"/>
      <c r="I160" s="27"/>
      <c r="J160" s="27"/>
      <c r="K160" s="27"/>
      <c r="L160" s="27"/>
      <c r="M160" s="27"/>
      <c r="N160" s="27"/>
      <c r="O160" s="27"/>
      <c r="P160" s="27"/>
      <c r="Q160" s="27"/>
      <c r="R160" s="27"/>
      <c r="S160" s="27"/>
      <c r="T160" s="136">
        <v>17.235333333333333</v>
      </c>
      <c r="U160" s="136">
        <v>10.861854127327488</v>
      </c>
      <c r="V160" s="136">
        <v>0.11112229271004692</v>
      </c>
      <c r="W160" s="136">
        <v>-1.5957350740665392E-3</v>
      </c>
    </row>
    <row r="161" spans="1:23">
      <c r="A161" s="6"/>
      <c r="B161" s="6"/>
      <c r="C161" s="136"/>
      <c r="D161" s="136"/>
      <c r="E161" s="27"/>
      <c r="F161" s="27"/>
      <c r="G161" s="27"/>
      <c r="H161" s="27"/>
      <c r="I161" s="27"/>
      <c r="J161" s="27"/>
      <c r="K161" s="27"/>
      <c r="L161" s="27"/>
      <c r="M161" s="27"/>
      <c r="N161" s="27"/>
      <c r="O161" s="27"/>
      <c r="P161" s="27"/>
      <c r="Q161" s="27"/>
      <c r="R161" s="27"/>
      <c r="S161" s="27"/>
      <c r="T161" s="136">
        <v>17.331666666666667</v>
      </c>
      <c r="U161" s="136">
        <v>10.872542885198392</v>
      </c>
      <c r="V161" s="136">
        <v>0.11077653127441647</v>
      </c>
      <c r="W161" s="136">
        <v>-1.9931135919173206E-3</v>
      </c>
    </row>
    <row r="162" spans="1:23">
      <c r="A162" s="6"/>
      <c r="B162" s="6"/>
      <c r="C162" s="136"/>
      <c r="D162" s="136"/>
      <c r="E162" s="27"/>
      <c r="F162" s="27"/>
      <c r="G162" s="27"/>
      <c r="H162" s="27"/>
      <c r="I162" s="27"/>
      <c r="J162" s="27"/>
      <c r="K162" s="27"/>
      <c r="L162" s="27"/>
      <c r="M162" s="27"/>
      <c r="N162" s="27"/>
      <c r="O162" s="27"/>
      <c r="P162" s="27"/>
      <c r="Q162" s="27"/>
      <c r="R162" s="27"/>
      <c r="S162" s="27"/>
      <c r="T162" s="136">
        <v>17.428000000000001</v>
      </c>
      <c r="U162" s="136">
        <v>10.883194651231934</v>
      </c>
      <c r="V162" s="136">
        <v>0.11035421954788173</v>
      </c>
      <c r="W162" s="136">
        <v>-2.3903006943292397E-3</v>
      </c>
    </row>
    <row r="163" spans="1:23">
      <c r="A163" s="6"/>
      <c r="B163" s="6"/>
      <c r="C163" s="136"/>
      <c r="D163" s="136"/>
      <c r="E163" s="27"/>
      <c r="F163" s="27"/>
      <c r="G163" s="27"/>
      <c r="H163" s="27"/>
      <c r="I163" s="27"/>
      <c r="J163" s="27"/>
      <c r="K163" s="27"/>
      <c r="L163" s="27"/>
      <c r="M163" s="27"/>
      <c r="N163" s="27"/>
      <c r="O163" s="27"/>
      <c r="P163" s="27"/>
      <c r="Q163" s="27"/>
      <c r="R163" s="27"/>
      <c r="S163" s="27"/>
      <c r="T163" s="136">
        <v>17.524333333333335</v>
      </c>
      <c r="U163" s="136">
        <v>10.893802051082275</v>
      </c>
      <c r="V163" s="136">
        <v>0.10985535749356332</v>
      </c>
      <c r="W163" s="136">
        <v>-2.7877749198634378E-3</v>
      </c>
    </row>
    <row r="164" spans="1:23">
      <c r="A164" s="6"/>
      <c r="B164" s="6"/>
      <c r="C164" s="136"/>
      <c r="D164" s="136"/>
      <c r="E164" s="27"/>
      <c r="F164" s="27"/>
      <c r="G164" s="27"/>
      <c r="H164" s="27"/>
      <c r="I164" s="27"/>
      <c r="J164" s="27"/>
      <c r="K164" s="27"/>
      <c r="L164" s="27"/>
      <c r="M164" s="27"/>
      <c r="N164" s="27"/>
      <c r="O164" s="27"/>
      <c r="P164" s="27"/>
      <c r="Q164" s="27"/>
      <c r="R164" s="27"/>
      <c r="S164" s="27"/>
      <c r="T164" s="136">
        <v>17.620666666666668</v>
      </c>
      <c r="U164" s="136">
        <v>10.904357710403573</v>
      </c>
      <c r="V164" s="136">
        <v>0.10927994514834059</v>
      </c>
      <c r="W164" s="136">
        <v>-3.1850577299587729E-3</v>
      </c>
    </row>
    <row r="165" spans="1:23">
      <c r="A165" s="6"/>
      <c r="B165" s="6"/>
      <c r="C165" s="136"/>
      <c r="D165" s="136"/>
      <c r="E165" s="27"/>
      <c r="F165" s="27"/>
      <c r="G165" s="27"/>
      <c r="H165" s="27"/>
      <c r="I165" s="27"/>
      <c r="J165" s="27"/>
      <c r="K165" s="27"/>
      <c r="L165" s="27"/>
      <c r="M165" s="27"/>
      <c r="N165" s="27"/>
      <c r="O165" s="27"/>
      <c r="P165" s="27"/>
      <c r="Q165" s="27"/>
      <c r="R165" s="27"/>
      <c r="S165" s="27"/>
      <c r="T165" s="136">
        <v>17.717000000000002</v>
      </c>
      <c r="U165" s="136">
        <v>10.914854254849988</v>
      </c>
      <c r="V165" s="136">
        <v>0.10862798251221358</v>
      </c>
      <c r="W165" s="136">
        <v>-3.5822448322986619E-3</v>
      </c>
    </row>
    <row r="166" spans="1:23">
      <c r="A166" s="6"/>
      <c r="B166" s="6"/>
      <c r="C166" s="136"/>
      <c r="D166" s="136"/>
      <c r="E166" s="27"/>
      <c r="F166" s="27"/>
      <c r="G166" s="27"/>
      <c r="H166" s="27"/>
      <c r="I166" s="27"/>
      <c r="J166" s="27"/>
      <c r="K166" s="27"/>
      <c r="L166" s="27"/>
      <c r="M166" s="27"/>
      <c r="N166" s="27"/>
      <c r="O166" s="27"/>
      <c r="P166" s="27"/>
      <c r="Q166" s="27"/>
      <c r="R166" s="27"/>
      <c r="S166" s="27"/>
      <c r="T166" s="136">
        <v>17.813333333333333</v>
      </c>
      <c r="U166" s="136">
        <v>10.92528431007568</v>
      </c>
      <c r="V166" s="136">
        <v>0.10789946954830289</v>
      </c>
      <c r="W166" s="136">
        <v>-3.9797190578328596E-3</v>
      </c>
    </row>
    <row r="167" spans="1:23">
      <c r="A167" s="6"/>
      <c r="B167" s="6"/>
      <c r="C167" s="136"/>
      <c r="D167" s="136"/>
      <c r="E167" s="27"/>
      <c r="F167" s="27"/>
      <c r="G167" s="27"/>
      <c r="H167" s="27"/>
      <c r="I167" s="27"/>
      <c r="J167" s="27"/>
      <c r="K167" s="27"/>
      <c r="L167" s="27"/>
      <c r="M167" s="27"/>
      <c r="N167" s="27"/>
      <c r="O167" s="27"/>
      <c r="P167" s="27"/>
      <c r="Q167" s="27"/>
      <c r="R167" s="27"/>
      <c r="S167" s="27"/>
      <c r="T167" s="136">
        <v>17.909666666666666</v>
      </c>
      <c r="U167" s="136">
        <v>10.935640501734808</v>
      </c>
      <c r="V167" s="136">
        <v>0.1070944062934879</v>
      </c>
      <c r="W167" s="136">
        <v>-4.3770975756836413E-3</v>
      </c>
    </row>
    <row r="168" spans="1:23">
      <c r="A168" s="6"/>
      <c r="B168" s="6"/>
      <c r="C168" s="136"/>
      <c r="D168" s="136"/>
      <c r="E168" s="27"/>
      <c r="F168" s="27"/>
      <c r="G168" s="27"/>
      <c r="H168" s="27"/>
      <c r="I168" s="27"/>
      <c r="J168" s="27"/>
      <c r="K168" s="27"/>
      <c r="L168" s="27"/>
      <c r="M168" s="27"/>
      <c r="N168" s="27"/>
      <c r="O168" s="27"/>
      <c r="P168" s="27"/>
      <c r="Q168" s="27"/>
      <c r="R168" s="27"/>
      <c r="S168" s="27"/>
      <c r="T168" s="136">
        <v>18.006</v>
      </c>
      <c r="U168" s="136">
        <v>10.945915455481529</v>
      </c>
      <c r="V168" s="136">
        <v>0.10621279274776861</v>
      </c>
      <c r="W168" s="136">
        <v>-4.7742846780235298E-3</v>
      </c>
    </row>
    <row r="169" spans="1:23">
      <c r="A169" s="6"/>
      <c r="B169" s="6"/>
      <c r="C169" s="136"/>
      <c r="D169" s="136"/>
      <c r="E169" s="27"/>
      <c r="F169" s="27"/>
      <c r="G169" s="27"/>
      <c r="H169" s="27"/>
      <c r="I169" s="27"/>
      <c r="J169" s="27"/>
      <c r="K169" s="27"/>
      <c r="L169" s="27"/>
      <c r="M169" s="27"/>
      <c r="N169" s="27"/>
      <c r="O169" s="27"/>
      <c r="P169" s="27"/>
      <c r="Q169" s="27"/>
      <c r="R169" s="27"/>
      <c r="S169" s="27"/>
      <c r="T169" s="136">
        <v>18.102333333333334</v>
      </c>
      <c r="U169" s="136">
        <v>10.956101796970007</v>
      </c>
      <c r="V169" s="136">
        <v>0.10525462889270534</v>
      </c>
      <c r="W169" s="136">
        <v>-5.1715674881188658E-3</v>
      </c>
    </row>
    <row r="170" spans="1:23">
      <c r="A170" s="6"/>
      <c r="B170" s="6"/>
      <c r="C170" s="136"/>
      <c r="D170" s="136"/>
      <c r="E170" s="27"/>
      <c r="F170" s="27"/>
      <c r="G170" s="27"/>
      <c r="H170" s="27"/>
      <c r="I170" s="27"/>
      <c r="J170" s="27"/>
      <c r="K170" s="27"/>
      <c r="L170" s="27"/>
      <c r="M170" s="27"/>
      <c r="N170" s="27"/>
      <c r="O170" s="27"/>
      <c r="P170" s="27"/>
      <c r="Q170" s="27"/>
      <c r="R170" s="27"/>
      <c r="S170" s="27"/>
      <c r="T170" s="136">
        <v>18.198666666666668</v>
      </c>
      <c r="U170" s="136">
        <v>10.966192151854397</v>
      </c>
      <c r="V170" s="136">
        <v>0.10421991472829807</v>
      </c>
      <c r="W170" s="136">
        <v>-5.5689460059696475E-3</v>
      </c>
    </row>
    <row r="171" spans="1:23">
      <c r="A171" s="6"/>
      <c r="B171" s="6"/>
      <c r="C171" s="136"/>
      <c r="D171" s="136"/>
      <c r="E171" s="27"/>
      <c r="F171" s="27"/>
      <c r="G171" s="27"/>
      <c r="H171" s="27"/>
      <c r="I171" s="27"/>
      <c r="J171" s="27"/>
      <c r="K171" s="27"/>
      <c r="L171" s="27"/>
      <c r="M171" s="27"/>
      <c r="N171" s="27"/>
      <c r="O171" s="27"/>
      <c r="P171" s="27"/>
      <c r="Q171" s="27"/>
      <c r="R171" s="27"/>
      <c r="S171" s="27"/>
      <c r="T171" s="136">
        <v>18.295000000000002</v>
      </c>
      <c r="U171" s="136">
        <v>10.976179145788862</v>
      </c>
      <c r="V171" s="136">
        <v>0.10310865025454682</v>
      </c>
      <c r="W171" s="136">
        <v>-5.9663245238204283E-3</v>
      </c>
    </row>
    <row r="172" spans="1:23">
      <c r="A172" s="6"/>
      <c r="B172" s="6"/>
      <c r="C172" s="136"/>
      <c r="D172" s="136"/>
      <c r="E172" s="27"/>
      <c r="F172" s="27"/>
      <c r="G172" s="27"/>
      <c r="H172" s="27"/>
      <c r="I172" s="27"/>
      <c r="J172" s="27"/>
      <c r="K172" s="27"/>
      <c r="L172" s="27"/>
      <c r="M172" s="27"/>
      <c r="N172" s="27"/>
      <c r="O172" s="27"/>
      <c r="P172" s="27"/>
      <c r="Q172" s="27"/>
      <c r="R172" s="27"/>
      <c r="S172" s="27"/>
      <c r="T172" s="136">
        <v>18.391333333333336</v>
      </c>
      <c r="U172" s="136">
        <v>10.986055404427557</v>
      </c>
      <c r="V172" s="136">
        <v>0.10192083550833098</v>
      </c>
      <c r="W172" s="136">
        <v>-6.3635116261603177E-3</v>
      </c>
    </row>
    <row r="173" spans="1:23">
      <c r="A173" s="6"/>
      <c r="B173" s="6"/>
      <c r="C173" s="136"/>
      <c r="D173" s="136"/>
      <c r="E173" s="27"/>
      <c r="F173" s="27"/>
      <c r="G173" s="27"/>
      <c r="H173" s="27"/>
      <c r="I173" s="27"/>
      <c r="J173" s="27"/>
      <c r="K173" s="27"/>
      <c r="L173" s="27"/>
      <c r="M173" s="27"/>
      <c r="N173" s="27"/>
      <c r="O173" s="27"/>
      <c r="P173" s="27"/>
      <c r="Q173" s="27"/>
      <c r="R173" s="27"/>
      <c r="S173" s="27"/>
      <c r="T173" s="136">
        <v>18.487666666666666</v>
      </c>
      <c r="U173" s="136">
        <v>10.995814031356497</v>
      </c>
      <c r="V173" s="136">
        <v>0.10067768968675349</v>
      </c>
      <c r="W173" s="136">
        <v>-6.44792584888868E-3</v>
      </c>
    </row>
    <row r="174" spans="1:23">
      <c r="A174" s="6"/>
      <c r="B174" s="6"/>
      <c r="C174" s="136"/>
      <c r="D174" s="136"/>
      <c r="E174" s="27"/>
      <c r="F174" s="27"/>
      <c r="G174" s="27"/>
      <c r="H174" s="27"/>
      <c r="I174" s="27"/>
      <c r="J174" s="27"/>
      <c r="K174" s="27"/>
      <c r="L174" s="27"/>
      <c r="M174" s="27"/>
      <c r="N174" s="27"/>
      <c r="O174" s="27"/>
      <c r="P174" s="27"/>
      <c r="Q174" s="27"/>
      <c r="R174" s="27"/>
      <c r="S174" s="27"/>
      <c r="T174" s="136">
        <v>18.584</v>
      </c>
      <c r="U174" s="136">
        <v>11.005453022573157</v>
      </c>
      <c r="V174" s="136">
        <v>9.9440094119780248E-2</v>
      </c>
      <c r="W174" s="136">
        <v>-6.399402026961579E-3</v>
      </c>
    </row>
    <row r="175" spans="1:23">
      <c r="A175" s="6"/>
      <c r="B175" s="6"/>
      <c r="C175" s="136"/>
      <c r="D175" s="136"/>
      <c r="E175" s="27"/>
      <c r="F175" s="27"/>
      <c r="G175" s="27"/>
      <c r="H175" s="27"/>
      <c r="I175" s="27"/>
      <c r="J175" s="27"/>
      <c r="K175" s="27"/>
      <c r="L175" s="27"/>
      <c r="M175" s="27"/>
      <c r="N175" s="27"/>
      <c r="O175" s="27"/>
      <c r="P175" s="27"/>
      <c r="Q175" s="27"/>
      <c r="R175" s="27"/>
      <c r="S175" s="27"/>
      <c r="T175" s="136">
        <v>18.680333333333333</v>
      </c>
      <c r="U175" s="136">
        <v>11.014973241528375</v>
      </c>
      <c r="V175" s="136">
        <v>9.8211838938250196E-2</v>
      </c>
      <c r="W175" s="136">
        <v>-6.3508782050344789E-3</v>
      </c>
    </row>
    <row r="176" spans="1:23">
      <c r="A176" s="6"/>
      <c r="B176" s="6"/>
      <c r="C176" s="136"/>
      <c r="D176" s="136"/>
      <c r="E176" s="27"/>
      <c r="F176" s="27"/>
      <c r="G176" s="27"/>
      <c r="H176" s="27"/>
      <c r="I176" s="27"/>
      <c r="J176" s="27"/>
      <c r="K176" s="27"/>
      <c r="L176" s="27"/>
      <c r="M176" s="27"/>
      <c r="N176" s="27"/>
      <c r="O176" s="27"/>
      <c r="P176" s="27"/>
      <c r="Q176" s="27"/>
      <c r="R176" s="27"/>
      <c r="S176" s="27"/>
      <c r="T176" s="136">
        <v>18.776666666666667</v>
      </c>
      <c r="U176" s="136">
        <v>11.024375588012013</v>
      </c>
      <c r="V176" s="136">
        <v>9.6992924142163303E-2</v>
      </c>
      <c r="W176" s="136">
        <v>-6.3022586754239622E-3</v>
      </c>
    </row>
    <row r="177" spans="1:23">
      <c r="A177" s="6"/>
      <c r="B177" s="6"/>
      <c r="C177" s="136"/>
      <c r="D177" s="136"/>
      <c r="E177" s="27"/>
      <c r="F177" s="27"/>
      <c r="G177" s="27"/>
      <c r="H177" s="27"/>
      <c r="I177" s="27"/>
      <c r="J177" s="27"/>
      <c r="K177" s="27"/>
      <c r="L177" s="27"/>
      <c r="M177" s="27"/>
      <c r="N177" s="27"/>
      <c r="O177" s="27"/>
      <c r="P177" s="27"/>
      <c r="Q177" s="27"/>
      <c r="R177" s="27"/>
      <c r="S177" s="27"/>
      <c r="T177" s="136">
        <v>18.873000000000001</v>
      </c>
      <c r="U177" s="136">
        <v>11.033660961813931</v>
      </c>
      <c r="V177" s="136">
        <v>9.578334969464021E-2</v>
      </c>
      <c r="W177" s="136">
        <v>-6.2539262690077552E-3</v>
      </c>
    </row>
    <row r="178" spans="1:23">
      <c r="A178" s="6"/>
      <c r="B178" s="6"/>
      <c r="C178" s="136"/>
      <c r="D178" s="136"/>
      <c r="E178" s="27"/>
      <c r="F178" s="27"/>
      <c r="G178" s="27"/>
      <c r="H178" s="27"/>
      <c r="I178" s="27"/>
      <c r="J178" s="27"/>
      <c r="K178" s="27"/>
      <c r="L178" s="27"/>
      <c r="M178" s="27"/>
      <c r="N178" s="27"/>
      <c r="O178" s="27"/>
      <c r="P178" s="27"/>
      <c r="Q178" s="27"/>
      <c r="R178" s="27"/>
      <c r="S178" s="27"/>
      <c r="T178" s="136">
        <v>18.969333333333331</v>
      </c>
      <c r="U178" s="136">
        <v>11.042830262723985</v>
      </c>
      <c r="V178" s="136">
        <v>9.4583115650999985E-2</v>
      </c>
      <c r="W178" s="136">
        <v>-6.2054024470806551E-3</v>
      </c>
    </row>
    <row r="179" spans="1:23">
      <c r="A179" s="6"/>
      <c r="B179" s="6"/>
      <c r="C179" s="136"/>
      <c r="D179" s="136"/>
      <c r="E179" s="27"/>
      <c r="F179" s="27"/>
      <c r="G179" s="27"/>
      <c r="H179" s="27"/>
      <c r="I179" s="27"/>
      <c r="J179" s="27"/>
      <c r="K179" s="27"/>
      <c r="L179" s="27"/>
      <c r="M179" s="27"/>
      <c r="N179" s="27"/>
      <c r="O179" s="27"/>
      <c r="P179" s="27"/>
      <c r="Q179" s="27"/>
      <c r="R179" s="27"/>
      <c r="S179" s="27"/>
      <c r="T179" s="136">
        <v>19.065666666666665</v>
      </c>
      <c r="U179" s="136">
        <v>11.051884390532038</v>
      </c>
      <c r="V179" s="136">
        <v>9.3392221974363254E-2</v>
      </c>
      <c r="W179" s="136">
        <v>-6.1569743329090007E-3</v>
      </c>
    </row>
    <row r="180" spans="1:23">
      <c r="A180" s="6"/>
      <c r="B180" s="6"/>
      <c r="C180" s="136"/>
      <c r="D180" s="136"/>
      <c r="E180" s="27"/>
      <c r="F180" s="27"/>
      <c r="G180" s="27"/>
      <c r="H180" s="27"/>
      <c r="I180" s="27"/>
      <c r="J180" s="27"/>
      <c r="K180" s="27"/>
      <c r="L180" s="27"/>
      <c r="M180" s="27"/>
      <c r="N180" s="27"/>
      <c r="O180" s="27"/>
      <c r="P180" s="27"/>
      <c r="Q180" s="27"/>
      <c r="R180" s="27"/>
      <c r="S180" s="27"/>
      <c r="T180" s="136">
        <v>19.161999999999999</v>
      </c>
      <c r="U180" s="136">
        <v>11.060824245027947</v>
      </c>
      <c r="V180" s="136">
        <v>9.2210668683169683E-2</v>
      </c>
      <c r="W180" s="136">
        <v>-6.1084505110539306E-3</v>
      </c>
    </row>
    <row r="181" spans="1:23">
      <c r="A181" s="6"/>
      <c r="B181" s="6"/>
      <c r="C181" s="136"/>
      <c r="D181" s="136"/>
      <c r="E181" s="27"/>
      <c r="F181" s="27"/>
      <c r="G181" s="27"/>
      <c r="H181" s="27"/>
      <c r="I181" s="27"/>
      <c r="J181" s="27"/>
      <c r="K181" s="27"/>
      <c r="L181" s="27"/>
      <c r="M181" s="27"/>
      <c r="N181" s="27"/>
      <c r="O181" s="27"/>
      <c r="P181" s="27"/>
      <c r="Q181" s="27"/>
      <c r="R181" s="27"/>
      <c r="S181" s="27"/>
      <c r="T181" s="136">
        <v>19.258333333333333</v>
      </c>
      <c r="U181" s="136">
        <v>11.069650726001571</v>
      </c>
      <c r="V181" s="136">
        <v>9.10384557774193E-2</v>
      </c>
      <c r="W181" s="136">
        <v>-6.0598309813713839E-3</v>
      </c>
    </row>
    <row r="182" spans="1:23">
      <c r="A182" s="6"/>
      <c r="B182" s="6"/>
      <c r="C182" s="136"/>
      <c r="D182" s="136"/>
      <c r="E182" s="27"/>
      <c r="F182" s="27"/>
      <c r="G182" s="27"/>
      <c r="H182" s="27"/>
      <c r="I182" s="27"/>
      <c r="J182" s="27"/>
      <c r="K182" s="27"/>
      <c r="L182" s="27"/>
      <c r="M182" s="27"/>
      <c r="N182" s="27"/>
      <c r="O182" s="27"/>
      <c r="P182" s="27"/>
      <c r="Q182" s="27"/>
      <c r="R182" s="27"/>
      <c r="S182" s="27"/>
      <c r="T182" s="136">
        <v>19.354666666666667</v>
      </c>
      <c r="U182" s="136">
        <v>11.078364733242772</v>
      </c>
      <c r="V182" s="136">
        <v>8.9875583238672396E-2</v>
      </c>
      <c r="W182" s="136">
        <v>-6.0114028671997303E-3</v>
      </c>
    </row>
    <row r="183" spans="1:23">
      <c r="A183" s="6"/>
      <c r="B183" s="6"/>
      <c r="C183" s="136"/>
      <c r="D183" s="136"/>
      <c r="E183" s="27"/>
      <c r="F183" s="27"/>
      <c r="G183" s="27"/>
      <c r="H183" s="27"/>
      <c r="I183" s="27"/>
      <c r="J183" s="27"/>
      <c r="K183" s="27"/>
      <c r="L183" s="27"/>
      <c r="M183" s="27"/>
      <c r="N183" s="27"/>
      <c r="O183" s="27"/>
      <c r="P183" s="27"/>
      <c r="Q183" s="27"/>
      <c r="R183" s="27"/>
      <c r="S183" s="27"/>
      <c r="T183" s="136">
        <v>19.451000000000001</v>
      </c>
      <c r="U183" s="136">
        <v>11.086967166541408</v>
      </c>
      <c r="V183" s="136">
        <v>8.8722051066928972E-2</v>
      </c>
      <c r="W183" s="136">
        <v>-5.9630704607835225E-3</v>
      </c>
    </row>
    <row r="184" spans="1:23">
      <c r="A184" s="6"/>
      <c r="B184" s="6"/>
      <c r="C184" s="136"/>
      <c r="D184" s="136"/>
      <c r="E184" s="27"/>
      <c r="F184" s="27"/>
      <c r="G184" s="27"/>
      <c r="H184" s="27"/>
      <c r="I184" s="27"/>
      <c r="J184" s="27"/>
      <c r="K184" s="27"/>
      <c r="L184" s="27"/>
      <c r="M184" s="27"/>
      <c r="N184" s="27"/>
      <c r="O184" s="27"/>
      <c r="P184" s="27"/>
      <c r="Q184" s="27"/>
      <c r="R184" s="27"/>
      <c r="S184" s="27"/>
      <c r="T184" s="136">
        <v>19.547333333333334</v>
      </c>
      <c r="U184" s="136">
        <v>11.095458925687337</v>
      </c>
      <c r="V184" s="136">
        <v>8.7577859299068431E-2</v>
      </c>
      <c r="W184" s="136">
        <v>-5.9145466388564223E-3</v>
      </c>
    </row>
    <row r="185" spans="1:23">
      <c r="A185" s="6"/>
      <c r="B185" s="6"/>
      <c r="C185" s="136"/>
      <c r="D185" s="136"/>
      <c r="E185" s="27"/>
      <c r="F185" s="27"/>
      <c r="G185" s="27"/>
      <c r="H185" s="27"/>
      <c r="I185" s="27"/>
      <c r="J185" s="27"/>
      <c r="K185" s="27"/>
      <c r="L185" s="27"/>
      <c r="M185" s="27"/>
      <c r="N185" s="27"/>
      <c r="O185" s="27"/>
      <c r="P185" s="27"/>
      <c r="Q185" s="27"/>
      <c r="R185" s="27"/>
      <c r="S185" s="27"/>
      <c r="T185" s="136">
        <v>19.643666666666668</v>
      </c>
      <c r="U185" s="136">
        <v>11.103840910470421</v>
      </c>
      <c r="V185" s="136">
        <v>8.6443007898211369E-2</v>
      </c>
      <c r="W185" s="136">
        <v>-5.8660228169293222E-3</v>
      </c>
    </row>
    <row r="186" spans="1:23">
      <c r="A186" s="6"/>
      <c r="B186" s="6"/>
      <c r="C186" s="136"/>
      <c r="D186" s="136"/>
      <c r="E186" s="27"/>
      <c r="F186" s="27"/>
      <c r="G186" s="27"/>
      <c r="H186" s="27"/>
      <c r="I186" s="27"/>
      <c r="J186" s="27"/>
      <c r="K186" s="27"/>
      <c r="L186" s="27"/>
      <c r="M186" s="27"/>
      <c r="N186" s="27"/>
      <c r="O186" s="27"/>
      <c r="P186" s="27"/>
      <c r="Q186" s="27"/>
      <c r="R186" s="27"/>
      <c r="S186" s="27"/>
      <c r="T186" s="136">
        <v>19.739999999999998</v>
      </c>
      <c r="U186" s="136">
        <v>11.112114020680517</v>
      </c>
      <c r="V186" s="136">
        <v>8.5317496882797481E-2</v>
      </c>
      <c r="W186" s="136">
        <v>-5.8174989950742521E-3</v>
      </c>
    </row>
    <row r="187" spans="1:23">
      <c r="A187" s="6"/>
      <c r="B187" s="6"/>
      <c r="C187" s="136"/>
      <c r="D187" s="136"/>
      <c r="E187" s="27"/>
      <c r="F187" s="27"/>
      <c r="G187" s="27"/>
      <c r="H187" s="27"/>
      <c r="I187" s="27"/>
      <c r="J187" s="27"/>
      <c r="K187" s="27"/>
      <c r="L187" s="27"/>
      <c r="M187" s="27"/>
      <c r="N187" s="27"/>
      <c r="O187" s="27"/>
      <c r="P187" s="27"/>
      <c r="Q187" s="27"/>
      <c r="R187" s="27"/>
      <c r="S187" s="27"/>
      <c r="T187" s="136">
        <v>19.836333333333332</v>
      </c>
      <c r="U187" s="136">
        <v>11.120279156107486</v>
      </c>
      <c r="V187" s="136">
        <v>8.4201326234387072E-2</v>
      </c>
      <c r="W187" s="136">
        <v>-5.7690708809025985E-3</v>
      </c>
    </row>
    <row r="188" spans="1:23">
      <c r="A188" s="6"/>
      <c r="B188" s="6"/>
      <c r="C188" s="136"/>
      <c r="D188" s="136"/>
      <c r="E188" s="27"/>
      <c r="F188" s="27"/>
      <c r="G188" s="27"/>
      <c r="H188" s="27"/>
      <c r="I188" s="27"/>
      <c r="J188" s="27"/>
      <c r="K188" s="27"/>
      <c r="L188" s="27"/>
      <c r="M188" s="27"/>
      <c r="N188" s="27"/>
      <c r="O188" s="27"/>
      <c r="P188" s="27"/>
      <c r="Q188" s="27"/>
      <c r="R188" s="27"/>
      <c r="S188" s="27"/>
      <c r="T188" s="136">
        <v>19.932666666666666</v>
      </c>
      <c r="U188" s="136">
        <v>11.128337216541187</v>
      </c>
      <c r="V188" s="136">
        <v>8.3094495971419852E-2</v>
      </c>
      <c r="W188" s="136">
        <v>-5.7206427667309441E-3</v>
      </c>
    </row>
    <row r="189" spans="1:23">
      <c r="A189" s="6"/>
      <c r="B189" s="6"/>
      <c r="C189" s="136"/>
      <c r="D189" s="136"/>
      <c r="E189" s="27"/>
      <c r="F189" s="27"/>
      <c r="G189" s="27"/>
      <c r="H189" s="27"/>
      <c r="I189" s="27"/>
      <c r="J189" s="27"/>
      <c r="K189" s="27"/>
      <c r="L189" s="27"/>
      <c r="M189" s="27"/>
      <c r="N189" s="27"/>
      <c r="O189" s="27"/>
      <c r="P189" s="27"/>
      <c r="Q189" s="27"/>
      <c r="R189" s="27"/>
      <c r="S189" s="27"/>
      <c r="T189" s="136">
        <v>20.029</v>
      </c>
      <c r="U189" s="136">
        <v>11.136289101771478</v>
      </c>
      <c r="V189" s="136">
        <v>8.1997006112335485E-2</v>
      </c>
      <c r="W189" s="136">
        <v>-5.6720232371204275E-3</v>
      </c>
    </row>
    <row r="190" spans="1:23">
      <c r="A190" s="6"/>
      <c r="B190" s="6"/>
      <c r="C190" s="136"/>
      <c r="D190" s="136"/>
      <c r="E190" s="27"/>
      <c r="F190" s="27"/>
      <c r="G190" s="27"/>
      <c r="H190" s="27"/>
      <c r="I190" s="27"/>
      <c r="J190" s="27"/>
      <c r="K190" s="27"/>
      <c r="L190" s="27"/>
      <c r="M190" s="27"/>
      <c r="N190" s="27"/>
      <c r="O190" s="27"/>
      <c r="P190" s="27"/>
      <c r="Q190" s="27"/>
      <c r="R190" s="27"/>
      <c r="S190" s="27"/>
      <c r="T190" s="136">
        <v>20.125333333333334</v>
      </c>
      <c r="U190" s="136">
        <v>11.144135711588222</v>
      </c>
      <c r="V190" s="136">
        <v>8.0908856601814919E-2</v>
      </c>
      <c r="W190" s="136">
        <v>-5.6235951229487739E-3</v>
      </c>
    </row>
    <row r="191" spans="1:23">
      <c r="A191" s="6"/>
      <c r="B191" s="6"/>
      <c r="C191" s="136"/>
      <c r="D191" s="136"/>
      <c r="E191" s="27"/>
      <c r="F191" s="27"/>
      <c r="G191" s="27"/>
      <c r="H191" s="27"/>
      <c r="I191" s="27"/>
      <c r="J191" s="27"/>
      <c r="K191" s="27"/>
      <c r="L191" s="27"/>
      <c r="M191" s="27"/>
      <c r="N191" s="27"/>
      <c r="O191" s="27"/>
      <c r="P191" s="27"/>
      <c r="Q191" s="27"/>
      <c r="R191" s="27"/>
      <c r="S191" s="27"/>
      <c r="T191" s="136">
        <v>20.221666666666668</v>
      </c>
      <c r="U191" s="136">
        <v>11.151877945781274</v>
      </c>
      <c r="V191" s="136">
        <v>7.9830047476737526E-2</v>
      </c>
      <c r="W191" s="136">
        <v>-5.5751670087771203E-3</v>
      </c>
    </row>
    <row r="192" spans="1:23">
      <c r="A192" s="6"/>
      <c r="B192" s="6"/>
      <c r="C192" s="136"/>
      <c r="D192" s="136"/>
      <c r="E192" s="27"/>
      <c r="F192" s="27"/>
      <c r="G192" s="27"/>
      <c r="H192" s="27"/>
      <c r="I192" s="27"/>
      <c r="J192" s="27"/>
      <c r="K192" s="27"/>
      <c r="L192" s="27"/>
      <c r="M192" s="27"/>
      <c r="N192" s="27"/>
      <c r="O192" s="27"/>
      <c r="P192" s="27"/>
      <c r="Q192" s="27"/>
      <c r="R192" s="27"/>
      <c r="S192" s="27"/>
      <c r="T192" s="136">
        <v>20.318000000000001</v>
      </c>
      <c r="U192" s="136">
        <v>11.159516704140497</v>
      </c>
      <c r="V192" s="136">
        <v>7.8760578737103321E-2</v>
      </c>
      <c r="W192" s="136">
        <v>-5.5266431868500193E-3</v>
      </c>
    </row>
    <row r="193" spans="1:23">
      <c r="A193" s="6"/>
      <c r="B193" s="6"/>
      <c r="C193" s="136"/>
      <c r="D193" s="136"/>
      <c r="E193" s="27"/>
      <c r="F193" s="27"/>
      <c r="G193" s="27"/>
      <c r="H193" s="27"/>
      <c r="I193" s="27"/>
      <c r="J193" s="27"/>
      <c r="K193" s="27"/>
      <c r="L193" s="27"/>
      <c r="M193" s="27"/>
      <c r="N193" s="27"/>
      <c r="O193" s="27"/>
      <c r="P193" s="27"/>
      <c r="Q193" s="27"/>
      <c r="R193" s="27"/>
      <c r="S193" s="27"/>
      <c r="T193" s="136">
        <v>20.414333333333332</v>
      </c>
      <c r="U193" s="136">
        <v>11.167052886455748</v>
      </c>
      <c r="V193" s="136">
        <v>7.7700450364472595E-2</v>
      </c>
      <c r="W193" s="136">
        <v>-5.4782150726783658E-3</v>
      </c>
    </row>
    <row r="194" spans="1:23">
      <c r="A194" s="6"/>
      <c r="B194" s="6"/>
      <c r="C194" s="136"/>
      <c r="D194" s="136"/>
      <c r="E194" s="27"/>
      <c r="F194" s="27"/>
      <c r="G194" s="27"/>
      <c r="H194" s="27"/>
      <c r="I194" s="27"/>
      <c r="J194" s="27"/>
      <c r="K194" s="27"/>
      <c r="L194" s="27"/>
      <c r="M194" s="27"/>
      <c r="N194" s="27"/>
      <c r="O194" s="27"/>
      <c r="P194" s="27"/>
      <c r="Q194" s="27"/>
      <c r="R194" s="27"/>
      <c r="S194" s="27"/>
      <c r="T194" s="136">
        <v>20.510666666666665</v>
      </c>
      <c r="U194" s="136">
        <v>11.174487392516887</v>
      </c>
      <c r="V194" s="136">
        <v>7.6649662377285044E-2</v>
      </c>
      <c r="W194" s="136">
        <v>-5.4297869585067122E-3</v>
      </c>
    </row>
    <row r="195" spans="1:23">
      <c r="A195" s="6"/>
      <c r="B195" s="6"/>
      <c r="C195" s="136"/>
      <c r="D195" s="136"/>
      <c r="E195" s="27"/>
      <c r="F195" s="27"/>
      <c r="G195" s="27"/>
      <c r="H195" s="27"/>
      <c r="I195" s="27"/>
      <c r="J195" s="27"/>
      <c r="K195" s="27"/>
      <c r="L195" s="27"/>
      <c r="M195" s="27"/>
      <c r="N195" s="27"/>
      <c r="O195" s="27"/>
      <c r="P195" s="27"/>
      <c r="Q195" s="27"/>
      <c r="R195" s="27"/>
      <c r="S195" s="27"/>
      <c r="T195" s="136">
        <v>20.606999999999999</v>
      </c>
      <c r="U195" s="136">
        <v>11.181821122113774</v>
      </c>
      <c r="V195" s="136">
        <v>7.5608214775540666E-2</v>
      </c>
      <c r="W195" s="136">
        <v>-5.381263136579612E-3</v>
      </c>
    </row>
    <row r="196" spans="1:23">
      <c r="A196" s="6"/>
      <c r="B196" s="6"/>
      <c r="C196" s="136"/>
      <c r="D196" s="136"/>
      <c r="E196" s="27"/>
      <c r="F196" s="27"/>
      <c r="G196" s="27"/>
      <c r="H196" s="27"/>
      <c r="I196" s="27"/>
      <c r="J196" s="27"/>
      <c r="K196" s="27"/>
      <c r="L196" s="27"/>
      <c r="M196" s="27"/>
      <c r="N196" s="27"/>
      <c r="O196" s="27"/>
      <c r="P196" s="27"/>
      <c r="Q196" s="27"/>
      <c r="R196" s="27"/>
      <c r="S196" s="27"/>
      <c r="T196" s="136">
        <v>20.703333333333333</v>
      </c>
      <c r="U196" s="136">
        <v>11.189054975036269</v>
      </c>
      <c r="V196" s="136">
        <v>7.4576107540799769E-2</v>
      </c>
      <c r="W196" s="136">
        <v>-5.3328350224799877E-3</v>
      </c>
    </row>
    <row r="197" spans="1:23">
      <c r="A197" s="6"/>
      <c r="B197" s="6"/>
      <c r="C197" s="136"/>
      <c r="D197" s="136"/>
      <c r="E197" s="27"/>
      <c r="F197" s="27"/>
      <c r="G197" s="27"/>
      <c r="H197" s="27"/>
      <c r="I197" s="27"/>
      <c r="J197" s="27"/>
      <c r="K197" s="27"/>
      <c r="L197" s="27"/>
      <c r="M197" s="27"/>
      <c r="N197" s="27"/>
      <c r="O197" s="27"/>
      <c r="P197" s="27"/>
      <c r="Q197" s="27"/>
      <c r="R197" s="27"/>
      <c r="S197" s="27"/>
      <c r="T197" s="136">
        <v>20.799666666666667</v>
      </c>
      <c r="U197" s="136">
        <v>11.196189851074228</v>
      </c>
      <c r="V197" s="136">
        <v>7.3553340709941753E-2</v>
      </c>
      <c r="W197" s="136">
        <v>-5.284215492797441E-3</v>
      </c>
    </row>
    <row r="198" spans="1:23">
      <c r="A198" s="6"/>
      <c r="B198" s="6"/>
      <c r="C198" s="136"/>
      <c r="D198" s="136"/>
      <c r="E198" s="27"/>
      <c r="F198" s="27"/>
      <c r="G198" s="27"/>
      <c r="H198" s="27"/>
      <c r="I198" s="27"/>
      <c r="J198" s="27"/>
      <c r="K198" s="27"/>
      <c r="L198" s="27"/>
      <c r="M198" s="27"/>
      <c r="N198" s="27"/>
      <c r="O198" s="27"/>
      <c r="P198" s="27"/>
      <c r="Q198" s="27"/>
      <c r="R198" s="27"/>
      <c r="S198" s="27"/>
      <c r="T198" s="136">
        <v>20.896000000000001</v>
      </c>
      <c r="U198" s="136">
        <v>11.203226650017514</v>
      </c>
      <c r="V198" s="136">
        <v>7.2539914227647523E-2</v>
      </c>
      <c r="W198" s="136">
        <v>-5.2357873786257874E-3</v>
      </c>
    </row>
    <row r="199" spans="1:23">
      <c r="A199" s="6"/>
      <c r="B199" s="6"/>
      <c r="C199" s="136"/>
      <c r="D199" s="136"/>
      <c r="E199" s="27"/>
      <c r="F199" s="27"/>
      <c r="G199" s="27"/>
      <c r="H199" s="27"/>
      <c r="I199" s="27"/>
      <c r="J199" s="27"/>
      <c r="K199" s="27"/>
      <c r="L199" s="27"/>
      <c r="M199" s="27"/>
      <c r="N199" s="27"/>
      <c r="O199" s="27"/>
      <c r="P199" s="27"/>
      <c r="Q199" s="27"/>
      <c r="R199" s="27"/>
      <c r="S199" s="27"/>
      <c r="T199" s="136">
        <v>20.992333333333335</v>
      </c>
      <c r="U199" s="136">
        <v>11.210166271655988</v>
      </c>
      <c r="V199" s="136">
        <v>7.1535828130796467E-2</v>
      </c>
      <c r="W199" s="136">
        <v>-5.1873592644541338E-3</v>
      </c>
    </row>
    <row r="200" spans="1:23">
      <c r="A200" s="6"/>
      <c r="B200" s="6"/>
      <c r="C200" s="136"/>
      <c r="D200" s="136"/>
      <c r="E200" s="27"/>
      <c r="F200" s="27"/>
      <c r="G200" s="27"/>
      <c r="H200" s="27"/>
      <c r="I200" s="27"/>
      <c r="J200" s="27"/>
      <c r="K200" s="27"/>
      <c r="L200" s="27"/>
      <c r="M200" s="27"/>
      <c r="N200" s="27"/>
      <c r="O200" s="27"/>
      <c r="P200" s="27"/>
      <c r="Q200" s="27"/>
      <c r="R200" s="27"/>
      <c r="S200" s="27"/>
      <c r="T200" s="136">
        <v>21.088666666666665</v>
      </c>
      <c r="U200" s="136">
        <v>11.217009615779503</v>
      </c>
      <c r="V200" s="136">
        <v>7.0541082419388584E-2</v>
      </c>
      <c r="W200" s="136">
        <v>-5.1389311503545095E-3</v>
      </c>
    </row>
    <row r="201" spans="1:23">
      <c r="A201" s="6"/>
      <c r="B201" s="6"/>
      <c r="C201" s="136"/>
      <c r="D201" s="136"/>
      <c r="E201" s="27"/>
      <c r="F201" s="27"/>
      <c r="G201" s="27"/>
      <c r="H201" s="27"/>
      <c r="I201" s="27"/>
      <c r="J201" s="27"/>
      <c r="K201" s="27"/>
      <c r="L201" s="27"/>
      <c r="M201" s="27"/>
      <c r="N201" s="27"/>
      <c r="O201" s="27"/>
      <c r="P201" s="27"/>
      <c r="Q201" s="27"/>
      <c r="R201" s="27"/>
      <c r="S201" s="27"/>
      <c r="T201" s="136">
        <v>21.184999999999999</v>
      </c>
      <c r="U201" s="136">
        <v>11.223757582177923</v>
      </c>
      <c r="V201" s="136">
        <v>6.955567709342389E-2</v>
      </c>
      <c r="W201" s="136">
        <v>-5.0903116206719628E-3</v>
      </c>
    </row>
    <row r="202" spans="1:23">
      <c r="A202" s="6"/>
      <c r="B202" s="6"/>
      <c r="C202" s="136"/>
      <c r="D202" s="136"/>
      <c r="E202" s="27"/>
      <c r="F202" s="27"/>
      <c r="G202" s="27"/>
      <c r="H202" s="27"/>
      <c r="I202" s="27"/>
      <c r="J202" s="27"/>
      <c r="K202" s="27"/>
      <c r="L202" s="27"/>
      <c r="M202" s="27"/>
      <c r="N202" s="27"/>
      <c r="O202" s="27"/>
      <c r="P202" s="27"/>
      <c r="Q202" s="27"/>
      <c r="R202" s="27"/>
      <c r="S202" s="27"/>
      <c r="T202" s="136">
        <v>21.281333333333333</v>
      </c>
      <c r="U202" s="136">
        <v>11.230411070641107</v>
      </c>
      <c r="V202" s="136">
        <v>6.8579612134462675E-2</v>
      </c>
      <c r="W202" s="136">
        <v>-5.0419792142557558E-3</v>
      </c>
    </row>
    <row r="203" spans="1:23">
      <c r="A203" s="6"/>
      <c r="B203" s="6"/>
      <c r="C203" s="136"/>
      <c r="D203" s="136"/>
      <c r="E203" s="27"/>
      <c r="F203" s="27"/>
      <c r="G203" s="27"/>
      <c r="H203" s="27"/>
      <c r="I203" s="27"/>
      <c r="J203" s="27"/>
      <c r="K203" s="27"/>
      <c r="L203" s="27"/>
      <c r="M203" s="27"/>
      <c r="N203" s="27"/>
      <c r="O203" s="27"/>
      <c r="P203" s="27"/>
      <c r="Q203" s="27"/>
      <c r="R203" s="27"/>
      <c r="S203" s="27"/>
      <c r="T203" s="136">
        <v>21.377666666666666</v>
      </c>
      <c r="U203" s="136">
        <v>11.236970980958914</v>
      </c>
      <c r="V203" s="136">
        <v>6.7612887560944634E-2</v>
      </c>
      <c r="W203" s="136">
        <v>-4.9934553923286556E-3</v>
      </c>
    </row>
    <row r="204" spans="1:23">
      <c r="A204" s="6"/>
      <c r="B204" s="6"/>
      <c r="C204" s="136"/>
      <c r="D204" s="136"/>
      <c r="E204" s="27"/>
      <c r="F204" s="27"/>
      <c r="G204" s="27"/>
      <c r="H204" s="27"/>
      <c r="I204" s="27"/>
      <c r="J204" s="27"/>
      <c r="K204" s="27"/>
      <c r="L204" s="27"/>
      <c r="M204" s="27"/>
      <c r="N204" s="27"/>
      <c r="O204" s="27"/>
      <c r="P204" s="27"/>
      <c r="Q204" s="27"/>
      <c r="R204" s="27"/>
      <c r="S204" s="27"/>
      <c r="T204" s="136">
        <v>21.474</v>
      </c>
      <c r="U204" s="136">
        <v>11.243438212921202</v>
      </c>
      <c r="V204" s="136">
        <v>6.6655503372869768E-2</v>
      </c>
      <c r="W204" s="136">
        <v>-4.9449315704735847E-3</v>
      </c>
    </row>
    <row r="205" spans="1:23">
      <c r="A205" s="6"/>
      <c r="B205" s="6"/>
      <c r="C205" s="136"/>
      <c r="D205" s="136"/>
      <c r="E205" s="27"/>
      <c r="F205" s="27"/>
      <c r="G205" s="27"/>
      <c r="H205" s="27"/>
      <c r="I205" s="27"/>
      <c r="J205" s="27"/>
      <c r="K205" s="27"/>
      <c r="L205" s="27"/>
      <c r="M205" s="27"/>
      <c r="N205" s="27"/>
      <c r="O205" s="27"/>
      <c r="P205" s="27"/>
      <c r="Q205" s="27"/>
      <c r="R205" s="27"/>
      <c r="S205" s="27"/>
      <c r="T205" s="136">
        <v>21.570333333333334</v>
      </c>
      <c r="U205" s="136">
        <v>11.249813666317833</v>
      </c>
      <c r="V205" s="136">
        <v>6.5707459551798394E-2</v>
      </c>
      <c r="W205" s="136">
        <v>-4.8965034563019311E-3</v>
      </c>
    </row>
    <row r="206" spans="1:23">
      <c r="A206" s="6"/>
      <c r="B206" s="6"/>
      <c r="C206" s="136"/>
      <c r="D206" s="136"/>
      <c r="E206" s="27"/>
      <c r="F206" s="27"/>
      <c r="G206" s="27"/>
      <c r="H206" s="27"/>
      <c r="I206" s="27"/>
      <c r="J206" s="27"/>
      <c r="K206" s="27"/>
      <c r="L206" s="27"/>
      <c r="M206" s="27"/>
      <c r="N206" s="27"/>
      <c r="O206" s="27"/>
      <c r="P206" s="27"/>
      <c r="Q206" s="27"/>
      <c r="R206" s="27"/>
      <c r="S206" s="27"/>
      <c r="T206" s="136">
        <v>21.666666666666668</v>
      </c>
      <c r="U206" s="136">
        <v>11.256098240938663</v>
      </c>
      <c r="V206" s="136">
        <v>6.4768756134609876E-2</v>
      </c>
      <c r="W206" s="136">
        <v>-4.8478839266914145E-3</v>
      </c>
    </row>
    <row r="207" spans="1:23">
      <c r="A207" s="6"/>
      <c r="B207" s="6"/>
      <c r="C207" s="136"/>
      <c r="D207" s="136"/>
      <c r="E207" s="27"/>
      <c r="F207" s="27"/>
      <c r="G207" s="27"/>
      <c r="H207" s="27"/>
      <c r="I207" s="27"/>
      <c r="J207" s="27"/>
      <c r="K207" s="27"/>
      <c r="L207" s="27"/>
      <c r="M207" s="27"/>
      <c r="N207" s="27"/>
      <c r="O207" s="27"/>
      <c r="P207" s="27"/>
      <c r="Q207" s="27"/>
      <c r="R207" s="27"/>
      <c r="S207" s="27"/>
      <c r="T207" s="136">
        <v>21.763000000000002</v>
      </c>
      <c r="U207" s="136">
        <v>11.262292836573556</v>
      </c>
      <c r="V207" s="136">
        <v>6.383939306598517E-2</v>
      </c>
      <c r="W207" s="136">
        <v>-4.7995515202031774E-3</v>
      </c>
    </row>
    <row r="208" spans="1:23">
      <c r="A208" s="6"/>
      <c r="B208" s="6"/>
      <c r="C208" s="136"/>
      <c r="D208" s="136"/>
      <c r="E208" s="27"/>
      <c r="F208" s="27"/>
      <c r="G208" s="27"/>
      <c r="H208" s="27"/>
      <c r="I208" s="27"/>
      <c r="J208" s="27"/>
      <c r="K208" s="27"/>
      <c r="L208" s="27"/>
      <c r="M208" s="27"/>
      <c r="N208" s="27"/>
      <c r="O208" s="27"/>
      <c r="P208" s="27"/>
      <c r="Q208" s="27"/>
      <c r="R208" s="27"/>
      <c r="S208" s="27"/>
      <c r="T208" s="136">
        <v>21.859333333333332</v>
      </c>
      <c r="U208" s="136">
        <v>11.268398353012365</v>
      </c>
      <c r="V208" s="136">
        <v>6.2919370401243319E-2</v>
      </c>
      <c r="W208" s="136">
        <v>-4.7509319905206307E-3</v>
      </c>
    </row>
    <row r="209" spans="1:23">
      <c r="A209" s="6"/>
      <c r="B209" s="6"/>
      <c r="C209" s="136"/>
      <c r="D209" s="136"/>
      <c r="E209" s="27"/>
      <c r="F209" s="27"/>
      <c r="G209" s="27"/>
      <c r="H209" s="27"/>
      <c r="I209" s="27"/>
      <c r="J209" s="27"/>
      <c r="K209" s="27"/>
      <c r="L209" s="27"/>
      <c r="M209" s="27"/>
      <c r="N209" s="27"/>
      <c r="O209" s="27"/>
      <c r="P209" s="27"/>
      <c r="Q209" s="27"/>
      <c r="R209" s="27"/>
      <c r="S209" s="27"/>
      <c r="T209" s="136">
        <v>21.955666666666666</v>
      </c>
      <c r="U209" s="136">
        <v>11.274415690044957</v>
      </c>
      <c r="V209" s="136">
        <v>6.200868808506526E-2</v>
      </c>
      <c r="W209" s="136">
        <v>-4.7025995841404383E-3</v>
      </c>
    </row>
    <row r="210" spans="1:23">
      <c r="A210" s="6"/>
      <c r="B210" s="6"/>
      <c r="C210" s="136"/>
      <c r="D210" s="136"/>
      <c r="E210" s="27"/>
      <c r="F210" s="27"/>
      <c r="G210" s="27"/>
      <c r="H210" s="27"/>
      <c r="I210" s="27"/>
      <c r="J210" s="27"/>
      <c r="K210" s="27"/>
      <c r="L210" s="27"/>
      <c r="M210" s="27"/>
      <c r="N210" s="27"/>
      <c r="O210" s="27"/>
      <c r="P210" s="27"/>
      <c r="Q210" s="27"/>
      <c r="R210" s="27"/>
      <c r="S210" s="27"/>
      <c r="T210" s="136">
        <v>22.052</v>
      </c>
      <c r="U210" s="136">
        <v>11.280345747461187</v>
      </c>
      <c r="V210" s="136">
        <v>6.1107346172770069E-2</v>
      </c>
      <c r="W210" s="136">
        <v>-4.6540757622493528E-3</v>
      </c>
    </row>
    <row r="211" spans="1:23">
      <c r="A211" s="6"/>
      <c r="B211" s="6"/>
      <c r="C211" s="136"/>
      <c r="D211" s="136"/>
      <c r="E211" s="27"/>
      <c r="F211" s="27"/>
      <c r="G211" s="27"/>
      <c r="H211" s="27"/>
      <c r="I211" s="27"/>
      <c r="J211" s="27"/>
      <c r="K211" s="27"/>
      <c r="L211" s="27"/>
      <c r="M211" s="27"/>
      <c r="N211" s="27"/>
      <c r="O211" s="27"/>
      <c r="P211" s="27"/>
      <c r="Q211" s="27"/>
      <c r="R211" s="27"/>
      <c r="S211" s="27"/>
      <c r="T211" s="136">
        <v>22.148333333333333</v>
      </c>
      <c r="U211" s="136">
        <v>11.286189425050914</v>
      </c>
      <c r="V211" s="136">
        <v>6.0215344627478365E-2</v>
      </c>
      <c r="W211" s="136">
        <v>-4.6056476480776992E-3</v>
      </c>
    </row>
    <row r="212" spans="1:23">
      <c r="A212" s="6"/>
      <c r="B212" s="6"/>
      <c r="C212" s="136"/>
      <c r="D212" s="136"/>
      <c r="E212" s="27"/>
      <c r="F212" s="27"/>
      <c r="G212" s="27"/>
      <c r="H212" s="27"/>
      <c r="I212" s="27"/>
      <c r="J212" s="27"/>
      <c r="K212" s="27"/>
      <c r="L212" s="27"/>
      <c r="M212" s="27"/>
      <c r="N212" s="27"/>
      <c r="O212" s="27"/>
      <c r="P212" s="27"/>
      <c r="Q212" s="27"/>
      <c r="R212" s="27"/>
      <c r="S212" s="27"/>
      <c r="T212" s="136">
        <v>22.244666666666667</v>
      </c>
      <c r="U212" s="136">
        <v>11.291947622603999</v>
      </c>
      <c r="V212" s="136">
        <v>5.9332683467629842E-2</v>
      </c>
      <c r="W212" s="136">
        <v>-4.5571238261866136E-3</v>
      </c>
    </row>
    <row r="213" spans="1:23">
      <c r="A213" s="6"/>
      <c r="B213" s="6"/>
      <c r="C213" s="136"/>
      <c r="D213" s="136"/>
      <c r="E213" s="27"/>
      <c r="F213" s="27"/>
      <c r="G213" s="27"/>
      <c r="H213" s="27"/>
      <c r="I213" s="27"/>
      <c r="J213" s="27"/>
      <c r="K213" s="27"/>
      <c r="L213" s="27"/>
      <c r="M213" s="27"/>
      <c r="N213" s="27"/>
      <c r="O213" s="27"/>
      <c r="P213" s="27"/>
      <c r="Q213" s="27"/>
      <c r="R213" s="27"/>
      <c r="S213" s="27"/>
      <c r="T213" s="136">
        <v>22.341000000000001</v>
      </c>
      <c r="U213" s="136">
        <v>11.297621239910299</v>
      </c>
      <c r="V213" s="136">
        <v>5.8459362693224493E-2</v>
      </c>
      <c r="W213" s="136">
        <v>-4.5086000042595135E-3</v>
      </c>
    </row>
    <row r="214" spans="1:23">
      <c r="A214" s="6"/>
      <c r="B214" s="6"/>
      <c r="C214" s="136"/>
      <c r="D214" s="136"/>
      <c r="E214" s="27"/>
      <c r="F214" s="27"/>
      <c r="G214" s="27"/>
      <c r="H214" s="27"/>
      <c r="I214" s="27"/>
      <c r="J214" s="27"/>
      <c r="K214" s="27"/>
      <c r="L214" s="27"/>
      <c r="M214" s="27"/>
      <c r="N214" s="27"/>
      <c r="O214" s="27"/>
      <c r="P214" s="27"/>
      <c r="Q214" s="27"/>
      <c r="R214" s="27"/>
      <c r="S214" s="27"/>
      <c r="T214" s="136">
        <v>22.437333333333335</v>
      </c>
      <c r="U214" s="136">
        <v>11.303211176759676</v>
      </c>
      <c r="V214" s="136">
        <v>5.7595382304262317E-2</v>
      </c>
      <c r="W214" s="136">
        <v>-4.4599804746129814E-3</v>
      </c>
    </row>
    <row r="215" spans="1:23">
      <c r="A215" s="6"/>
      <c r="B215" s="6"/>
      <c r="C215" s="136"/>
      <c r="D215" s="136"/>
      <c r="E215" s="27"/>
      <c r="F215" s="27"/>
      <c r="G215" s="27"/>
      <c r="H215" s="27"/>
      <c r="I215" s="27"/>
      <c r="J215" s="27"/>
      <c r="K215" s="27"/>
      <c r="L215" s="27"/>
      <c r="M215" s="27"/>
      <c r="N215" s="27"/>
      <c r="O215" s="27"/>
      <c r="P215" s="27"/>
      <c r="Q215" s="27"/>
      <c r="R215" s="27"/>
      <c r="S215" s="27"/>
      <c r="T215" s="136">
        <v>22.533666666666665</v>
      </c>
      <c r="U215" s="136">
        <v>11.308718332941989</v>
      </c>
      <c r="V215" s="136">
        <v>5.6740742282303629E-2</v>
      </c>
      <c r="W215" s="136">
        <v>-4.4115523604413278E-3</v>
      </c>
    </row>
    <row r="216" spans="1:23">
      <c r="A216" s="6"/>
      <c r="B216" s="6"/>
      <c r="C216" s="136"/>
      <c r="D216" s="136"/>
      <c r="E216" s="27"/>
      <c r="F216" s="27"/>
      <c r="G216" s="27"/>
      <c r="H216" s="27"/>
      <c r="I216" s="27"/>
      <c r="J216" s="27"/>
      <c r="K216" s="27"/>
      <c r="L216" s="27"/>
      <c r="M216" s="27"/>
      <c r="N216" s="27"/>
      <c r="O216" s="27"/>
      <c r="P216" s="27"/>
      <c r="Q216" s="27"/>
      <c r="R216" s="27"/>
      <c r="S216" s="27"/>
      <c r="T216" s="136">
        <v>22.63</v>
      </c>
      <c r="U216" s="136">
        <v>11.314143608247099</v>
      </c>
      <c r="V216" s="136">
        <v>5.5895442608908733E-2</v>
      </c>
      <c r="W216" s="136">
        <v>-4.36321995402512E-3</v>
      </c>
    </row>
    <row r="217" spans="1:23">
      <c r="A217" s="6"/>
      <c r="B217" s="6"/>
      <c r="C217" s="136"/>
      <c r="D217" s="136"/>
      <c r="E217" s="27"/>
      <c r="F217" s="27"/>
      <c r="G217" s="27"/>
      <c r="H217" s="27"/>
      <c r="I217" s="27"/>
      <c r="J217" s="27"/>
      <c r="K217" s="27"/>
      <c r="L217" s="27"/>
      <c r="M217" s="27"/>
      <c r="N217" s="27"/>
      <c r="O217" s="27"/>
      <c r="P217" s="27"/>
      <c r="Q217" s="27"/>
      <c r="R217" s="27"/>
      <c r="S217" s="27"/>
      <c r="T217" s="136">
        <v>22.726333333333333</v>
      </c>
      <c r="U217" s="136">
        <v>11.319487902464861</v>
      </c>
      <c r="V217" s="136">
        <v>5.5059483357836392E-2</v>
      </c>
      <c r="W217" s="136">
        <v>-4.3146961321340353E-3</v>
      </c>
    </row>
    <row r="218" spans="1:23">
      <c r="A218" s="6"/>
      <c r="B218" s="6"/>
      <c r="C218" s="136"/>
      <c r="D218" s="136"/>
      <c r="E218" s="27"/>
      <c r="F218" s="27"/>
      <c r="G218" s="27"/>
      <c r="H218" s="27"/>
      <c r="I218" s="27"/>
      <c r="J218" s="27"/>
      <c r="K218" s="27"/>
      <c r="L218" s="27"/>
      <c r="M218" s="27"/>
      <c r="N218" s="27"/>
      <c r="O218" s="27"/>
      <c r="P218" s="27"/>
      <c r="Q218" s="27"/>
      <c r="R218" s="27"/>
      <c r="S218" s="27"/>
      <c r="T218" s="136">
        <v>22.822666666666667</v>
      </c>
      <c r="U218" s="136">
        <v>11.324752115385136</v>
      </c>
      <c r="V218" s="136">
        <v>5.4232864473767545E-2</v>
      </c>
      <c r="W218" s="136">
        <v>-4.2661723102069352E-3</v>
      </c>
    </row>
    <row r="219" spans="1:23">
      <c r="A219" s="6"/>
      <c r="B219" s="6"/>
      <c r="C219" s="136"/>
      <c r="D219" s="136"/>
      <c r="E219" s="27"/>
      <c r="F219" s="27"/>
      <c r="G219" s="27"/>
      <c r="H219" s="27"/>
      <c r="I219" s="27"/>
      <c r="J219" s="27"/>
      <c r="K219" s="27"/>
      <c r="L219" s="27"/>
      <c r="M219" s="27"/>
      <c r="N219" s="27"/>
      <c r="O219" s="27"/>
      <c r="P219" s="27"/>
      <c r="Q219" s="27"/>
      <c r="R219" s="27"/>
      <c r="S219" s="27"/>
      <c r="T219" s="136">
        <v>22.919</v>
      </c>
      <c r="U219" s="136">
        <v>11.329937146797786</v>
      </c>
      <c r="V219" s="136">
        <v>5.3415585975141865E-2</v>
      </c>
      <c r="W219" s="136">
        <v>-4.2176484883518651E-3</v>
      </c>
    </row>
    <row r="220" spans="1:23">
      <c r="A220" s="6"/>
      <c r="B220" s="6"/>
      <c r="C220" s="136"/>
      <c r="D220" s="136"/>
      <c r="E220" s="27"/>
      <c r="F220" s="27"/>
      <c r="G220" s="27"/>
      <c r="H220" s="27"/>
      <c r="I220" s="27"/>
      <c r="J220" s="27"/>
      <c r="K220" s="27"/>
      <c r="L220" s="27"/>
      <c r="M220" s="27"/>
      <c r="N220" s="27"/>
      <c r="O220" s="27"/>
      <c r="P220" s="27"/>
      <c r="Q220" s="27"/>
      <c r="R220" s="27"/>
      <c r="S220" s="27"/>
      <c r="T220" s="136">
        <v>23.015333333333334</v>
      </c>
      <c r="U220" s="136">
        <v>11.335043896492667</v>
      </c>
      <c r="V220" s="136">
        <v>5.2607647843519678E-2</v>
      </c>
      <c r="W220" s="136">
        <v>-4.1692203741441961E-3</v>
      </c>
    </row>
    <row r="221" spans="1:23">
      <c r="A221" s="6"/>
      <c r="B221" s="6"/>
      <c r="C221" s="136"/>
      <c r="D221" s="136"/>
      <c r="E221" s="27"/>
      <c r="F221" s="27"/>
      <c r="G221" s="27"/>
      <c r="H221" s="27"/>
      <c r="I221" s="27"/>
      <c r="J221" s="27"/>
      <c r="K221" s="27"/>
      <c r="L221" s="27"/>
      <c r="M221" s="27"/>
      <c r="N221" s="27"/>
      <c r="O221" s="27"/>
      <c r="P221" s="27"/>
      <c r="Q221" s="27"/>
      <c r="R221" s="27"/>
      <c r="S221" s="27"/>
      <c r="T221" s="136">
        <v>23.111666666666668</v>
      </c>
      <c r="U221" s="136">
        <v>11.340073264259642</v>
      </c>
      <c r="V221" s="136">
        <v>5.1809050078900971E-2</v>
      </c>
      <c r="W221" s="136">
        <v>-4.1207922600085571E-3</v>
      </c>
    </row>
    <row r="222" spans="1:23">
      <c r="A222" s="6"/>
      <c r="B222" s="6"/>
      <c r="C222" s="136"/>
      <c r="D222" s="136"/>
      <c r="E222" s="27"/>
      <c r="F222" s="27"/>
      <c r="G222" s="27"/>
      <c r="H222" s="27"/>
      <c r="I222" s="27"/>
      <c r="J222" s="27"/>
      <c r="K222" s="27"/>
      <c r="L222" s="27"/>
      <c r="M222" s="27"/>
      <c r="N222" s="27"/>
      <c r="O222" s="27"/>
      <c r="P222" s="27"/>
      <c r="Q222" s="27"/>
      <c r="R222" s="27"/>
      <c r="S222" s="27"/>
      <c r="T222" s="136">
        <v>23.207999999999998</v>
      </c>
      <c r="U222" s="136">
        <v>11.345026149888566</v>
      </c>
      <c r="V222" s="136">
        <v>5.1019792718165133E-2</v>
      </c>
      <c r="W222" s="136">
        <v>-4.0722684381174715E-3</v>
      </c>
    </row>
    <row r="223" spans="1:23">
      <c r="A223" s="6"/>
      <c r="B223" s="6"/>
      <c r="C223" s="136"/>
      <c r="D223" s="136"/>
      <c r="E223" s="27"/>
      <c r="F223" s="27"/>
      <c r="G223" s="27"/>
      <c r="H223" s="27"/>
      <c r="I223" s="27"/>
      <c r="J223" s="27"/>
      <c r="K223" s="27"/>
      <c r="L223" s="27"/>
      <c r="M223" s="27"/>
      <c r="N223" s="27"/>
      <c r="O223" s="27"/>
      <c r="P223" s="27"/>
      <c r="Q223" s="27"/>
      <c r="R223" s="27"/>
      <c r="S223" s="27"/>
      <c r="T223" s="136">
        <v>23.304333333333332</v>
      </c>
      <c r="U223" s="136">
        <v>11.349903453169302</v>
      </c>
      <c r="V223" s="136">
        <v>5.0239875742872468E-2</v>
      </c>
      <c r="W223" s="136">
        <v>-4.0237446162263869E-3</v>
      </c>
    </row>
    <row r="224" spans="1:23">
      <c r="A224" s="6"/>
      <c r="B224" s="6"/>
      <c r="C224" s="136"/>
      <c r="D224" s="136"/>
      <c r="E224" s="27"/>
      <c r="F224" s="27"/>
      <c r="G224" s="27"/>
      <c r="H224" s="27"/>
      <c r="I224" s="27"/>
      <c r="J224" s="27"/>
      <c r="K224" s="27"/>
      <c r="L224" s="27"/>
      <c r="M224" s="27"/>
      <c r="N224" s="27"/>
      <c r="O224" s="27"/>
      <c r="P224" s="27"/>
      <c r="Q224" s="27"/>
      <c r="R224" s="27"/>
      <c r="S224" s="27"/>
      <c r="T224" s="136">
        <v>23.400666666666666</v>
      </c>
      <c r="U224" s="136">
        <v>11.354706073891709</v>
      </c>
      <c r="V224" s="136">
        <v>4.9469299116143603E-2</v>
      </c>
      <c r="W224" s="136">
        <v>-3.9753165020187178E-3</v>
      </c>
    </row>
    <row r="225" spans="1:23">
      <c r="A225" s="6"/>
      <c r="B225" s="6"/>
      <c r="C225" s="136"/>
      <c r="D225" s="136"/>
      <c r="E225" s="27"/>
      <c r="F225" s="27"/>
      <c r="G225" s="27"/>
      <c r="H225" s="27"/>
      <c r="I225" s="27"/>
      <c r="J225" s="27"/>
      <c r="K225" s="27"/>
      <c r="L225" s="27"/>
      <c r="M225" s="27"/>
      <c r="N225" s="27"/>
      <c r="O225" s="27"/>
      <c r="P225" s="27"/>
      <c r="Q225" s="27"/>
      <c r="R225" s="27"/>
      <c r="S225" s="27"/>
      <c r="T225" s="136">
        <v>23.497</v>
      </c>
      <c r="U225" s="136">
        <v>11.359434911845645</v>
      </c>
      <c r="V225" s="136">
        <v>4.8708062893297606E-2</v>
      </c>
      <c r="W225" s="136">
        <v>-3.9267926801276323E-3</v>
      </c>
    </row>
    <row r="226" spans="1:23">
      <c r="A226" s="6"/>
      <c r="B226" s="6"/>
      <c r="C226" s="136"/>
      <c r="D226" s="136"/>
      <c r="E226" s="27"/>
      <c r="F226" s="27"/>
      <c r="G226" s="27"/>
      <c r="H226" s="27"/>
      <c r="I226" s="27"/>
      <c r="J226" s="27"/>
      <c r="K226" s="27"/>
      <c r="L226" s="27"/>
      <c r="M226" s="27"/>
      <c r="N226" s="27"/>
      <c r="O226" s="27"/>
      <c r="P226" s="27"/>
      <c r="Q226" s="27"/>
      <c r="R226" s="27"/>
      <c r="S226" s="27"/>
      <c r="T226" s="136">
        <v>23.593333333333334</v>
      </c>
      <c r="U226" s="136">
        <v>11.36409086682097</v>
      </c>
      <c r="V226" s="136">
        <v>4.7956167019015394E-2</v>
      </c>
      <c r="W226" s="136">
        <v>-3.8784602737114249E-3</v>
      </c>
    </row>
    <row r="227" spans="1:23">
      <c r="A227" s="6"/>
      <c r="B227" s="6"/>
      <c r="C227" s="136"/>
      <c r="D227" s="136"/>
      <c r="E227" s="27"/>
      <c r="F227" s="27"/>
      <c r="G227" s="27"/>
      <c r="H227" s="27"/>
      <c r="I227" s="27"/>
      <c r="J227" s="27"/>
      <c r="K227" s="27"/>
      <c r="L227" s="27"/>
      <c r="M227" s="27"/>
      <c r="N227" s="27"/>
      <c r="O227" s="27"/>
      <c r="P227" s="27"/>
      <c r="Q227" s="27"/>
      <c r="R227" s="27"/>
      <c r="S227" s="27"/>
      <c r="T227" s="136">
        <v>23.689666666666668</v>
      </c>
      <c r="U227" s="136">
        <v>11.368674838607541</v>
      </c>
      <c r="V227" s="136">
        <v>4.7213611567055745E-2</v>
      </c>
      <c r="W227" s="136">
        <v>-3.8298407440648932E-3</v>
      </c>
    </row>
    <row r="228" spans="1:23">
      <c r="A228" s="6"/>
      <c r="B228" s="6"/>
      <c r="C228" s="136"/>
      <c r="D228" s="136"/>
      <c r="E228" s="27"/>
      <c r="F228" s="27"/>
      <c r="G228" s="27"/>
      <c r="H228" s="27"/>
      <c r="I228" s="27"/>
      <c r="J228" s="27"/>
      <c r="K228" s="27"/>
      <c r="L228" s="27"/>
      <c r="M228" s="27"/>
      <c r="N228" s="27"/>
      <c r="O228" s="27"/>
      <c r="P228" s="27"/>
      <c r="Q228" s="27"/>
      <c r="R228" s="27"/>
      <c r="S228" s="27"/>
      <c r="T228" s="136">
        <v>23.786000000000001</v>
      </c>
      <c r="U228" s="136">
        <v>11.373187726995223</v>
      </c>
      <c r="V228" s="136">
        <v>4.6480396463659895E-2</v>
      </c>
      <c r="W228" s="136">
        <v>-3.7815083376126707E-3</v>
      </c>
    </row>
    <row r="229" spans="1:23">
      <c r="A229" s="6"/>
      <c r="B229" s="6"/>
      <c r="C229" s="136"/>
      <c r="D229" s="136"/>
      <c r="E229" s="27"/>
      <c r="F229" s="27"/>
      <c r="G229" s="27"/>
      <c r="H229" s="27"/>
      <c r="I229" s="27"/>
      <c r="J229" s="27"/>
      <c r="K229" s="27"/>
      <c r="L229" s="27"/>
      <c r="M229" s="27"/>
      <c r="N229" s="27"/>
      <c r="O229" s="27"/>
      <c r="P229" s="27"/>
      <c r="Q229" s="27"/>
      <c r="R229" s="27"/>
      <c r="S229" s="27"/>
      <c r="T229" s="136">
        <v>23.882333333333335</v>
      </c>
      <c r="U229" s="136">
        <v>11.37763043177387</v>
      </c>
      <c r="V229" s="136">
        <v>4.575652174570722E-2</v>
      </c>
      <c r="W229" s="136">
        <v>-3.7329845157215856E-3</v>
      </c>
    </row>
    <row r="230" spans="1:23">
      <c r="A230" s="6"/>
      <c r="B230" s="6"/>
      <c r="C230" s="136"/>
      <c r="D230" s="136"/>
      <c r="E230" s="27"/>
      <c r="F230" s="27"/>
      <c r="G230" s="27"/>
      <c r="H230" s="27"/>
      <c r="I230" s="27"/>
      <c r="J230" s="27"/>
      <c r="K230" s="27"/>
      <c r="L230" s="27"/>
      <c r="M230" s="27"/>
      <c r="N230" s="27"/>
      <c r="O230" s="27"/>
      <c r="P230" s="27"/>
      <c r="Q230" s="27"/>
      <c r="R230" s="27"/>
      <c r="S230" s="27"/>
      <c r="T230" s="136">
        <v>23.978666666666665</v>
      </c>
      <c r="U230" s="136">
        <v>11.382003852733344</v>
      </c>
      <c r="V230" s="136">
        <v>4.5041987413197718E-2</v>
      </c>
      <c r="W230" s="136">
        <v>-3.684460693794485E-3</v>
      </c>
    </row>
    <row r="231" spans="1:23">
      <c r="A231" s="6"/>
      <c r="B231" s="6"/>
      <c r="C231" s="136"/>
      <c r="D231" s="136"/>
      <c r="E231" s="27"/>
      <c r="F231" s="27"/>
      <c r="G231" s="27"/>
      <c r="H231" s="27"/>
      <c r="I231" s="27"/>
      <c r="J231" s="27"/>
      <c r="K231" s="27"/>
      <c r="L231" s="27"/>
      <c r="M231" s="27"/>
      <c r="N231" s="27"/>
      <c r="O231" s="27"/>
      <c r="P231" s="27"/>
      <c r="Q231" s="27"/>
      <c r="R231" s="27"/>
      <c r="S231" s="27"/>
      <c r="T231" s="136">
        <v>24.074999999999999</v>
      </c>
      <c r="U231" s="136">
        <v>11.386308889663503</v>
      </c>
      <c r="V231" s="136">
        <v>4.433679346613139E-2</v>
      </c>
      <c r="W231" s="136">
        <v>-3.6359368719033999E-3</v>
      </c>
    </row>
    <row r="232" spans="1:23">
      <c r="A232" s="6"/>
      <c r="B232" s="6"/>
      <c r="C232" s="136"/>
      <c r="D232" s="136"/>
      <c r="E232" s="27"/>
      <c r="F232" s="27"/>
      <c r="G232" s="27"/>
      <c r="H232" s="27"/>
      <c r="I232" s="27"/>
      <c r="J232" s="27"/>
      <c r="K232" s="27"/>
      <c r="L232" s="27"/>
      <c r="M232" s="27"/>
      <c r="N232" s="27"/>
      <c r="O232" s="27"/>
      <c r="P232" s="27"/>
      <c r="Q232" s="27"/>
      <c r="R232" s="27"/>
      <c r="S232" s="27"/>
      <c r="T232" s="136">
        <v>24.171333333333333</v>
      </c>
      <c r="U232" s="136">
        <v>11.390546442354209</v>
      </c>
      <c r="V232" s="136">
        <v>4.3640939886068549E-2</v>
      </c>
      <c r="W232" s="136">
        <v>-3.5874130500123148E-3</v>
      </c>
    </row>
    <row r="233" spans="1:23">
      <c r="A233" s="6"/>
      <c r="B233" s="6"/>
      <c r="C233" s="136"/>
      <c r="D233" s="136"/>
      <c r="E233" s="27"/>
      <c r="F233" s="27"/>
      <c r="G233" s="27"/>
      <c r="H233" s="27"/>
      <c r="I233" s="27"/>
      <c r="J233" s="27"/>
      <c r="K233" s="27"/>
      <c r="L233" s="27"/>
      <c r="M233" s="27"/>
      <c r="N233" s="27"/>
      <c r="O233" s="27"/>
      <c r="P233" s="27"/>
      <c r="Q233" s="27"/>
      <c r="R233" s="27"/>
      <c r="S233" s="27"/>
      <c r="T233" s="136">
        <v>24.267666666666667</v>
      </c>
      <c r="U233" s="136">
        <v>11.39471741059532</v>
      </c>
      <c r="V233" s="136">
        <v>4.2954426691448888E-2</v>
      </c>
      <c r="W233" s="136">
        <v>-3.5389849358406608E-3</v>
      </c>
    </row>
    <row r="234" spans="1:23">
      <c r="A234" s="6"/>
      <c r="B234" s="6"/>
      <c r="C234" s="136"/>
      <c r="D234" s="136"/>
      <c r="E234" s="27"/>
      <c r="F234" s="27"/>
      <c r="G234" s="27"/>
      <c r="H234" s="27"/>
      <c r="I234" s="27"/>
      <c r="J234" s="27"/>
      <c r="K234" s="27"/>
      <c r="L234" s="27"/>
      <c r="M234" s="27"/>
      <c r="N234" s="27"/>
      <c r="O234" s="27"/>
      <c r="P234" s="27"/>
      <c r="Q234" s="27"/>
      <c r="R234" s="27"/>
      <c r="S234" s="27"/>
      <c r="T234" s="136">
        <v>24.364000000000001</v>
      </c>
      <c r="U234" s="136">
        <v>11.398822694176694</v>
      </c>
      <c r="V234" s="136">
        <v>4.2277253863832708E-2</v>
      </c>
      <c r="W234" s="136">
        <v>-3.4905568216690068E-3</v>
      </c>
    </row>
    <row r="235" spans="1:23">
      <c r="A235" s="6"/>
      <c r="B235" s="6"/>
      <c r="C235" s="136"/>
      <c r="D235" s="136"/>
      <c r="E235" s="27"/>
      <c r="F235" s="27"/>
      <c r="G235" s="27"/>
      <c r="H235" s="27"/>
      <c r="I235" s="27"/>
      <c r="J235" s="27"/>
      <c r="K235" s="27"/>
      <c r="L235" s="27"/>
      <c r="M235" s="27"/>
      <c r="N235" s="27"/>
      <c r="O235" s="27"/>
      <c r="P235" s="27"/>
      <c r="Q235" s="27"/>
      <c r="R235" s="27"/>
      <c r="S235" s="27"/>
      <c r="T235" s="136">
        <v>24.460333333333335</v>
      </c>
      <c r="U235" s="136">
        <v>11.402863192888191</v>
      </c>
      <c r="V235" s="136">
        <v>4.1609421421659708E-2</v>
      </c>
      <c r="W235" s="136">
        <v>-3.4420329997779217E-3</v>
      </c>
    </row>
    <row r="236" spans="1:23">
      <c r="A236" s="6"/>
      <c r="B236" s="6"/>
      <c r="C236" s="136"/>
      <c r="D236" s="136"/>
      <c r="E236" s="27"/>
      <c r="F236" s="27"/>
      <c r="G236" s="27"/>
      <c r="H236" s="27"/>
      <c r="I236" s="27"/>
      <c r="J236" s="27"/>
      <c r="K236" s="27"/>
      <c r="L236" s="27"/>
      <c r="M236" s="27"/>
      <c r="N236" s="27"/>
      <c r="O236" s="27"/>
      <c r="P236" s="27"/>
      <c r="Q236" s="27"/>
      <c r="R236" s="27"/>
      <c r="S236" s="27"/>
      <c r="T236" s="136">
        <v>24.556666666666668</v>
      </c>
      <c r="U236" s="136">
        <v>11.406839806519672</v>
      </c>
      <c r="V236" s="136">
        <v>4.0950929364929875E-2</v>
      </c>
      <c r="W236" s="136">
        <v>-3.3936048856422828E-3</v>
      </c>
    </row>
    <row r="237" spans="1:23">
      <c r="A237" s="6"/>
      <c r="B237" s="6"/>
      <c r="C237" s="136"/>
      <c r="D237" s="136"/>
      <c r="E237" s="27"/>
      <c r="F237" s="27"/>
      <c r="G237" s="27"/>
      <c r="H237" s="27"/>
      <c r="I237" s="27"/>
      <c r="J237" s="27"/>
      <c r="K237" s="27"/>
      <c r="L237" s="27"/>
      <c r="M237" s="27"/>
      <c r="N237" s="27"/>
      <c r="O237" s="27"/>
      <c r="P237" s="27"/>
      <c r="Q237" s="27"/>
      <c r="R237" s="27"/>
      <c r="S237" s="27"/>
      <c r="T237" s="136">
        <v>24.652999999999999</v>
      </c>
      <c r="U237" s="136">
        <v>11.410753434860995</v>
      </c>
      <c r="V237" s="136">
        <v>4.0301777675203536E-2</v>
      </c>
      <c r="W237" s="136">
        <v>-3.3451767714706292E-3</v>
      </c>
    </row>
    <row r="238" spans="1:23">
      <c r="A238" s="6"/>
      <c r="B238" s="6"/>
      <c r="C238" s="136"/>
      <c r="D238" s="136"/>
      <c r="E238" s="27"/>
      <c r="F238" s="27"/>
      <c r="G238" s="27"/>
      <c r="H238" s="27"/>
      <c r="I238" s="27"/>
      <c r="J238" s="27"/>
      <c r="K238" s="27"/>
      <c r="L238" s="27"/>
      <c r="M238" s="27"/>
      <c r="N238" s="27"/>
      <c r="O238" s="27"/>
      <c r="P238" s="27"/>
      <c r="Q238" s="27"/>
      <c r="R238" s="27"/>
      <c r="S238" s="27"/>
      <c r="T238" s="136">
        <v>24.749333333333333</v>
      </c>
      <c r="U238" s="136">
        <v>11.414604977702018</v>
      </c>
      <c r="V238" s="136">
        <v>3.9661966389360065E-2</v>
      </c>
      <c r="W238" s="136">
        <v>-3.2965572417880825E-3</v>
      </c>
    </row>
    <row r="239" spans="1:23">
      <c r="A239" s="6"/>
      <c r="B239" s="6"/>
      <c r="C239" s="136"/>
      <c r="D239" s="136"/>
      <c r="E239" s="27"/>
      <c r="F239" s="27"/>
      <c r="G239" s="27"/>
      <c r="H239" s="27"/>
      <c r="I239" s="27"/>
      <c r="J239" s="27"/>
      <c r="K239" s="27"/>
      <c r="L239" s="27"/>
      <c r="M239" s="27"/>
      <c r="N239" s="27"/>
      <c r="O239" s="27"/>
      <c r="P239" s="27"/>
      <c r="Q239" s="27"/>
      <c r="R239" s="27"/>
      <c r="S239" s="27"/>
      <c r="T239" s="136">
        <v>24.845666666666666</v>
      </c>
      <c r="U239" s="136">
        <v>11.418395334832605</v>
      </c>
      <c r="V239" s="136">
        <v>3.9031495452080379E-2</v>
      </c>
      <c r="W239" s="136">
        <v>-3.2482248354078901E-3</v>
      </c>
    </row>
    <row r="240" spans="1:23">
      <c r="A240" s="6"/>
      <c r="B240" s="6"/>
      <c r="C240" s="136"/>
      <c r="D240" s="136"/>
      <c r="E240" s="27"/>
      <c r="F240" s="27"/>
      <c r="G240" s="27"/>
      <c r="H240" s="27"/>
      <c r="I240" s="27"/>
      <c r="J240" s="27"/>
      <c r="K240" s="27"/>
      <c r="L240" s="27"/>
      <c r="M240" s="27"/>
      <c r="N240" s="27"/>
      <c r="O240" s="27"/>
      <c r="P240" s="27"/>
      <c r="Q240" s="27"/>
      <c r="R240" s="27"/>
      <c r="S240" s="27"/>
      <c r="T240" s="136">
        <v>24.942</v>
      </c>
      <c r="U240" s="136">
        <v>11.422125406042611</v>
      </c>
      <c r="V240" s="136">
        <v>3.8410364918683569E-2</v>
      </c>
      <c r="W240" s="136">
        <v>-3.1996053057613584E-3</v>
      </c>
    </row>
    <row r="241" spans="1:23">
      <c r="A241" s="6"/>
      <c r="B241" s="6"/>
      <c r="C241" s="136"/>
      <c r="D241" s="136"/>
      <c r="E241" s="27"/>
      <c r="F241" s="27"/>
      <c r="G241" s="27"/>
      <c r="H241" s="27"/>
      <c r="I241" s="27"/>
      <c r="J241" s="27"/>
      <c r="K241" s="27"/>
      <c r="L241" s="27"/>
      <c r="M241" s="27"/>
      <c r="N241" s="27"/>
      <c r="O241" s="27"/>
      <c r="P241" s="27"/>
      <c r="Q241" s="27"/>
      <c r="R241" s="27"/>
      <c r="S241" s="27"/>
      <c r="T241" s="136">
        <v>25.038333333333334</v>
      </c>
      <c r="U241" s="136">
        <v>11.425796091121896</v>
      </c>
      <c r="V241" s="136">
        <v>3.7798574752290238E-2</v>
      </c>
      <c r="W241" s="136">
        <v>-3.1511771915897044E-3</v>
      </c>
    </row>
    <row r="242" spans="1:23">
      <c r="A242" s="6"/>
      <c r="B242" s="6"/>
      <c r="C242" s="136"/>
      <c r="D242" s="136"/>
      <c r="E242" s="27"/>
      <c r="F242" s="27"/>
      <c r="G242" s="27"/>
      <c r="H242" s="27"/>
      <c r="I242" s="27"/>
      <c r="J242" s="27"/>
      <c r="K242" s="27"/>
      <c r="L242" s="27"/>
      <c r="M242" s="27"/>
      <c r="N242" s="27"/>
      <c r="O242" s="27"/>
      <c r="P242" s="27"/>
      <c r="Q242" s="27"/>
      <c r="R242" s="27"/>
      <c r="S242" s="27"/>
      <c r="T242" s="136">
        <v>25.134666666666668</v>
      </c>
      <c r="U242" s="136">
        <v>11.429408289860321</v>
      </c>
      <c r="V242" s="136">
        <v>3.7196124971340089E-2</v>
      </c>
      <c r="W242" s="136">
        <v>-3.1026533696626043E-3</v>
      </c>
    </row>
    <row r="243" spans="1:23">
      <c r="A243" s="6"/>
      <c r="B243" s="6"/>
      <c r="C243" s="136"/>
      <c r="D243" s="136"/>
      <c r="E243" s="27"/>
      <c r="F243" s="27"/>
      <c r="G243" s="27"/>
      <c r="H243" s="27"/>
      <c r="I243" s="27"/>
      <c r="J243" s="27"/>
      <c r="K243" s="27"/>
      <c r="L243" s="27"/>
      <c r="M243" s="27"/>
      <c r="N243" s="27"/>
      <c r="O243" s="27"/>
      <c r="P243" s="27"/>
      <c r="Q243" s="27"/>
      <c r="R243" s="27"/>
      <c r="S243" s="27"/>
      <c r="T243" s="136">
        <v>25.231000000000002</v>
      </c>
      <c r="U243" s="136">
        <v>11.432962902047745</v>
      </c>
      <c r="V243" s="136">
        <v>3.6603015557393426E-2</v>
      </c>
      <c r="W243" s="136">
        <v>-3.0542252554909503E-3</v>
      </c>
    </row>
    <row r="244" spans="1:23">
      <c r="A244" s="6"/>
      <c r="B244" s="6"/>
      <c r="C244" s="136"/>
      <c r="D244" s="136"/>
      <c r="E244" s="27"/>
      <c r="F244" s="27"/>
      <c r="G244" s="27"/>
      <c r="H244" s="27"/>
      <c r="I244" s="27"/>
      <c r="J244" s="27"/>
      <c r="K244" s="27"/>
      <c r="L244" s="27"/>
      <c r="M244" s="27"/>
      <c r="N244" s="27"/>
      <c r="O244" s="27"/>
      <c r="P244" s="27"/>
      <c r="Q244" s="27"/>
      <c r="R244" s="27"/>
      <c r="S244" s="27"/>
      <c r="T244" s="136">
        <v>25.327333333333332</v>
      </c>
      <c r="U244" s="136">
        <v>11.436460827474027</v>
      </c>
      <c r="V244" s="136">
        <v>3.6019246528889937E-2</v>
      </c>
      <c r="W244" s="136">
        <v>-3.0057971413192963E-3</v>
      </c>
    </row>
    <row r="245" spans="1:23">
      <c r="A245" s="6"/>
      <c r="B245" s="6"/>
      <c r="C245" s="136"/>
      <c r="D245" s="136"/>
      <c r="E245" s="27"/>
      <c r="F245" s="27"/>
      <c r="G245" s="27"/>
      <c r="H245" s="27"/>
      <c r="I245" s="27"/>
      <c r="J245" s="27"/>
      <c r="K245" s="27"/>
      <c r="L245" s="27"/>
      <c r="M245" s="27"/>
      <c r="N245" s="27"/>
      <c r="O245" s="27"/>
      <c r="P245" s="27"/>
      <c r="Q245" s="27"/>
      <c r="R245" s="27"/>
      <c r="S245" s="27"/>
      <c r="T245" s="136">
        <v>25.423666666666666</v>
      </c>
      <c r="U245" s="136">
        <v>11.439902965929026</v>
      </c>
      <c r="V245" s="136">
        <v>3.5444817885829621E-2</v>
      </c>
      <c r="W245" s="136">
        <v>-2.9571776117087801E-3</v>
      </c>
    </row>
    <row r="246" spans="1:23">
      <c r="A246" s="6"/>
      <c r="B246" s="6"/>
      <c r="C246" s="136"/>
      <c r="D246" s="136"/>
      <c r="E246" s="27"/>
      <c r="F246" s="27"/>
      <c r="G246" s="27"/>
      <c r="H246" s="27"/>
      <c r="I246" s="27"/>
      <c r="J246" s="27"/>
      <c r="K246" s="27"/>
      <c r="L246" s="27"/>
      <c r="M246" s="27"/>
      <c r="N246" s="27"/>
      <c r="O246" s="27"/>
      <c r="P246" s="27"/>
      <c r="Q246" s="27"/>
      <c r="R246" s="27"/>
      <c r="S246" s="27"/>
      <c r="T246" s="136">
        <v>25.52</v>
      </c>
      <c r="U246" s="136">
        <v>11.443290217202602</v>
      </c>
      <c r="V246" s="136">
        <v>3.4879729609772793E-2</v>
      </c>
      <c r="W246" s="136">
        <v>-2.9087494975371261E-3</v>
      </c>
    </row>
    <row r="247" spans="1:23">
      <c r="A247" s="6"/>
      <c r="B247" s="6"/>
      <c r="C247" s="136"/>
      <c r="D247" s="136"/>
      <c r="E247" s="27"/>
      <c r="F247" s="27"/>
      <c r="G247" s="27"/>
      <c r="H247" s="27"/>
      <c r="I247" s="27"/>
      <c r="J247" s="27"/>
      <c r="K247" s="27"/>
      <c r="L247" s="27"/>
      <c r="M247" s="27"/>
      <c r="N247" s="27"/>
      <c r="O247" s="27"/>
      <c r="P247" s="27"/>
      <c r="Q247" s="27"/>
      <c r="R247" s="27"/>
      <c r="S247" s="27"/>
      <c r="T247" s="136">
        <v>25.616333333333333</v>
      </c>
      <c r="U247" s="136">
        <v>11.446623481084615</v>
      </c>
      <c r="V247" s="136">
        <v>3.4323981719159138E-2</v>
      </c>
      <c r="W247" s="136">
        <v>-2.8603213833654721E-3</v>
      </c>
    </row>
    <row r="248" spans="1:23">
      <c r="A248" s="6"/>
      <c r="B248" s="6"/>
      <c r="C248" s="136"/>
      <c r="D248" s="136"/>
      <c r="E248" s="27"/>
      <c r="F248" s="27"/>
      <c r="G248" s="27"/>
      <c r="H248" s="27"/>
      <c r="I248" s="27"/>
      <c r="J248" s="27"/>
      <c r="K248" s="27"/>
      <c r="L248" s="27"/>
      <c r="M248" s="27"/>
      <c r="N248" s="27"/>
      <c r="O248" s="27"/>
      <c r="P248" s="27"/>
      <c r="Q248" s="27"/>
      <c r="R248" s="27"/>
      <c r="S248" s="27"/>
      <c r="T248" s="136">
        <v>25.712666666666667</v>
      </c>
      <c r="U248" s="136">
        <v>11.449903657364922</v>
      </c>
      <c r="V248" s="136">
        <v>3.3777574213988665E-2</v>
      </c>
      <c r="W248" s="136">
        <v>-2.8117975614383719E-3</v>
      </c>
    </row>
    <row r="249" spans="1:23">
      <c r="A249" s="6"/>
      <c r="B249" s="6"/>
      <c r="C249" s="136"/>
      <c r="D249" s="136"/>
      <c r="E249" s="27"/>
      <c r="F249" s="27"/>
      <c r="G249" s="27"/>
      <c r="H249" s="27"/>
      <c r="I249" s="27"/>
      <c r="J249" s="27"/>
      <c r="K249" s="27"/>
      <c r="L249" s="27"/>
      <c r="M249" s="27"/>
      <c r="N249" s="27"/>
      <c r="O249" s="27"/>
      <c r="P249" s="27"/>
      <c r="Q249" s="27"/>
      <c r="R249" s="27"/>
      <c r="S249" s="27"/>
      <c r="T249" s="136">
        <v>25.809000000000001</v>
      </c>
      <c r="U249" s="136">
        <v>11.453131645833386</v>
      </c>
      <c r="V249" s="136">
        <v>3.3240507075821671E-2</v>
      </c>
      <c r="W249" s="136">
        <v>-2.7633694473027329E-3</v>
      </c>
    </row>
    <row r="250" spans="1:23">
      <c r="A250" s="6"/>
      <c r="B250" s="6"/>
      <c r="C250" s="136"/>
      <c r="D250" s="136"/>
      <c r="E250" s="27"/>
      <c r="F250" s="27"/>
      <c r="G250" s="27"/>
      <c r="H250" s="27"/>
      <c r="I250" s="27"/>
      <c r="J250" s="27"/>
      <c r="K250" s="27"/>
      <c r="L250" s="27"/>
      <c r="M250" s="27"/>
      <c r="N250" s="27"/>
      <c r="O250" s="27"/>
      <c r="P250" s="27"/>
      <c r="Q250" s="27"/>
      <c r="R250" s="27"/>
      <c r="S250" s="27"/>
      <c r="T250" s="136">
        <v>25.905333333333335</v>
      </c>
      <c r="U250" s="136">
        <v>11.456308346279863</v>
      </c>
      <c r="V250" s="136">
        <v>3.2712780323097858E-2</v>
      </c>
      <c r="W250" s="136">
        <v>-2.7149413331310789E-3</v>
      </c>
    </row>
    <row r="251" spans="1:23">
      <c r="A251" s="6"/>
      <c r="B251" s="6"/>
      <c r="C251" s="136"/>
      <c r="D251" s="136"/>
      <c r="E251" s="27"/>
      <c r="F251" s="27"/>
      <c r="G251" s="27"/>
      <c r="H251" s="27"/>
      <c r="I251" s="27"/>
      <c r="J251" s="27"/>
      <c r="K251" s="27"/>
      <c r="L251" s="27"/>
      <c r="M251" s="27"/>
      <c r="N251" s="27"/>
      <c r="O251" s="27"/>
      <c r="P251" s="27"/>
      <c r="Q251" s="27"/>
      <c r="R251" s="27"/>
      <c r="S251" s="27"/>
      <c r="T251" s="136">
        <v>26.001666666666669</v>
      </c>
      <c r="U251" s="136">
        <v>11.459434658494214</v>
      </c>
      <c r="V251" s="136">
        <v>3.2194393955817219E-2</v>
      </c>
      <c r="W251" s="136">
        <v>-2.6663218034845477E-3</v>
      </c>
    </row>
    <row r="252" spans="1:23">
      <c r="A252" s="6"/>
      <c r="B252" s="6"/>
      <c r="C252" s="136"/>
      <c r="D252" s="136"/>
      <c r="E252" s="27"/>
      <c r="F252" s="27"/>
      <c r="G252" s="27"/>
      <c r="H252" s="27"/>
      <c r="I252" s="27"/>
      <c r="J252" s="27"/>
      <c r="K252" s="27"/>
      <c r="L252" s="27"/>
      <c r="M252" s="27"/>
      <c r="N252" s="27"/>
      <c r="O252" s="27"/>
      <c r="P252" s="27"/>
      <c r="Q252" s="27"/>
      <c r="R252" s="27"/>
      <c r="S252" s="27"/>
      <c r="T252" s="136">
        <v>26.097999999999999</v>
      </c>
      <c r="U252" s="136">
        <v>11.462511482266299</v>
      </c>
      <c r="V252" s="136">
        <v>3.1685347955540066E-2</v>
      </c>
      <c r="W252" s="136">
        <v>-2.6179893970683398E-3</v>
      </c>
    </row>
    <row r="253" spans="1:23">
      <c r="A253" s="6"/>
      <c r="B253" s="6"/>
      <c r="C253" s="136"/>
      <c r="D253" s="136"/>
      <c r="E253" s="27"/>
      <c r="F253" s="27"/>
      <c r="G253" s="27"/>
      <c r="H253" s="27"/>
      <c r="I253" s="27"/>
      <c r="J253" s="27"/>
      <c r="K253" s="27"/>
      <c r="L253" s="27"/>
      <c r="M253" s="27"/>
      <c r="N253" s="27"/>
      <c r="O253" s="27"/>
      <c r="P253" s="27"/>
      <c r="Q253" s="27"/>
      <c r="R253" s="27"/>
      <c r="S253" s="27"/>
      <c r="T253" s="136">
        <v>26.194333333333333</v>
      </c>
      <c r="U253" s="136">
        <v>11.465539717385976</v>
      </c>
      <c r="V253" s="136">
        <v>3.1185642340706088E-2</v>
      </c>
      <c r="W253" s="136">
        <v>-2.5694655751592474E-3</v>
      </c>
    </row>
    <row r="254" spans="1:23">
      <c r="A254" s="6"/>
      <c r="B254" s="6"/>
      <c r="C254" s="136"/>
      <c r="D254" s="136"/>
      <c r="E254" s="27"/>
      <c r="F254" s="27"/>
      <c r="G254" s="27"/>
      <c r="H254" s="27"/>
      <c r="I254" s="27"/>
      <c r="J254" s="27"/>
      <c r="K254" s="27"/>
      <c r="L254" s="27"/>
      <c r="M254" s="27"/>
      <c r="N254" s="27"/>
      <c r="O254" s="27"/>
      <c r="P254" s="27"/>
      <c r="Q254" s="27"/>
      <c r="R254" s="27"/>
      <c r="S254" s="27"/>
      <c r="T254" s="136">
        <v>26.290666666666667</v>
      </c>
      <c r="U254" s="136">
        <v>11.468520263643105</v>
      </c>
      <c r="V254" s="136">
        <v>3.0695277092875593E-2</v>
      </c>
      <c r="W254" s="136">
        <v>-2.5210374610056007E-3</v>
      </c>
    </row>
    <row r="255" spans="1:23">
      <c r="A255" s="6"/>
      <c r="B255" s="6"/>
      <c r="C255" s="136"/>
      <c r="D255" s="136"/>
      <c r="E255" s="27"/>
      <c r="F255" s="27"/>
      <c r="G255" s="27"/>
      <c r="H255" s="27"/>
      <c r="I255" s="27"/>
      <c r="J255" s="27"/>
      <c r="K255" s="27"/>
      <c r="L255" s="27"/>
      <c r="M255" s="27"/>
      <c r="N255" s="27"/>
      <c r="O255" s="27"/>
      <c r="P255" s="27"/>
      <c r="Q255" s="27"/>
      <c r="R255" s="27"/>
      <c r="S255" s="27"/>
      <c r="T255" s="136">
        <v>26.387</v>
      </c>
      <c r="U255" s="136">
        <v>11.471454020827546</v>
      </c>
      <c r="V255" s="136">
        <v>3.0214252248927969E-2</v>
      </c>
      <c r="W255" s="136">
        <v>-2.4725136390965083E-3</v>
      </c>
    </row>
    <row r="256" spans="1:23">
      <c r="A256" s="6"/>
      <c r="B256" s="6"/>
      <c r="C256" s="136"/>
      <c r="D256" s="136"/>
      <c r="E256" s="27"/>
      <c r="F256" s="27"/>
      <c r="G256" s="27"/>
      <c r="H256" s="27"/>
      <c r="I256" s="27"/>
      <c r="J256" s="27"/>
      <c r="K256" s="27"/>
      <c r="L256" s="27"/>
      <c r="M256" s="27"/>
      <c r="N256" s="27"/>
      <c r="O256" s="27"/>
      <c r="P256" s="27"/>
      <c r="Q256" s="27"/>
      <c r="R256" s="27"/>
      <c r="S256" s="27"/>
      <c r="T256" s="136">
        <v>26.483333333333334</v>
      </c>
      <c r="U256" s="136">
        <v>11.474341888729157</v>
      </c>
      <c r="V256" s="136">
        <v>2.9742567771983829E-2</v>
      </c>
      <c r="W256" s="136">
        <v>-2.4239898171874155E-3</v>
      </c>
    </row>
    <row r="257" spans="1:23">
      <c r="A257" s="6"/>
      <c r="B257" s="6"/>
      <c r="C257" s="136"/>
      <c r="D257" s="136"/>
      <c r="E257" s="27"/>
      <c r="F257" s="27"/>
      <c r="G257" s="27"/>
      <c r="H257" s="27"/>
      <c r="I257" s="27"/>
      <c r="J257" s="27"/>
      <c r="K257" s="27"/>
      <c r="L257" s="27"/>
      <c r="M257" s="27"/>
      <c r="N257" s="27"/>
      <c r="O257" s="27"/>
      <c r="P257" s="27"/>
      <c r="Q257" s="27"/>
      <c r="R257" s="27"/>
      <c r="S257" s="27"/>
      <c r="T257" s="136">
        <v>26.579666666666668</v>
      </c>
      <c r="U257" s="136">
        <v>11.477184767137798</v>
      </c>
      <c r="V257" s="136">
        <v>2.9280223680482866E-2</v>
      </c>
      <c r="W257" s="136">
        <v>-2.3754659952783226E-3</v>
      </c>
    </row>
    <row r="258" spans="1:23">
      <c r="A258" s="6"/>
      <c r="B258" s="6"/>
      <c r="C258" s="136"/>
      <c r="D258" s="136"/>
      <c r="E258" s="27"/>
      <c r="F258" s="27"/>
      <c r="G258" s="27"/>
      <c r="H258" s="27"/>
      <c r="I258" s="27"/>
      <c r="J258" s="27"/>
      <c r="K258" s="27"/>
      <c r="L258" s="27"/>
      <c r="M258" s="27"/>
      <c r="N258" s="27"/>
      <c r="O258" s="27"/>
      <c r="P258" s="27"/>
      <c r="Q258" s="27"/>
      <c r="R258" s="27"/>
      <c r="S258" s="27"/>
      <c r="T258" s="136">
        <v>26.676000000000002</v>
      </c>
      <c r="U258" s="136">
        <v>11.479983555843329</v>
      </c>
      <c r="V258" s="136">
        <v>2.8827219955985386E-2</v>
      </c>
      <c r="W258" s="136">
        <v>-2.3270378811246764E-3</v>
      </c>
    </row>
    <row r="259" spans="1:23">
      <c r="A259" s="6"/>
      <c r="B259" s="6"/>
      <c r="C259" s="136"/>
      <c r="D259" s="136"/>
      <c r="E259" s="27"/>
      <c r="F259" s="27"/>
      <c r="G259" s="27"/>
      <c r="H259" s="27"/>
      <c r="I259" s="27"/>
      <c r="J259" s="27"/>
      <c r="K259" s="27"/>
      <c r="L259" s="27"/>
      <c r="M259" s="27"/>
      <c r="N259" s="27"/>
      <c r="O259" s="27"/>
      <c r="P259" s="27"/>
      <c r="Q259" s="27"/>
      <c r="R259" s="27"/>
      <c r="S259" s="27"/>
      <c r="T259" s="136">
        <v>26.772333333333332</v>
      </c>
      <c r="U259" s="136">
        <v>11.48273915463561</v>
      </c>
      <c r="V259" s="136">
        <v>2.8383556616931083E-2</v>
      </c>
      <c r="W259" s="136">
        <v>-2.2786097669530224E-3</v>
      </c>
    </row>
    <row r="260" spans="1:23">
      <c r="A260" s="6"/>
      <c r="B260" s="6"/>
      <c r="C260" s="136"/>
      <c r="D260" s="136"/>
      <c r="E260" s="27"/>
      <c r="F260" s="27"/>
      <c r="G260" s="27"/>
      <c r="H260" s="27"/>
      <c r="I260" s="27"/>
      <c r="J260" s="27"/>
      <c r="K260" s="27"/>
      <c r="L260" s="27"/>
      <c r="M260" s="27"/>
      <c r="N260" s="27"/>
      <c r="O260" s="27"/>
      <c r="P260" s="27"/>
      <c r="Q260" s="27"/>
      <c r="R260" s="27"/>
      <c r="S260" s="27"/>
      <c r="T260" s="136">
        <v>26.868666666666666</v>
      </c>
      <c r="U260" s="136">
        <v>11.485452463304497</v>
      </c>
      <c r="V260" s="136">
        <v>2.7949233663319958E-2</v>
      </c>
      <c r="W260" s="136">
        <v>-2.2299902373064907E-3</v>
      </c>
    </row>
    <row r="261" spans="1:23">
      <c r="A261" s="6"/>
      <c r="B261" s="6"/>
      <c r="C261" s="136"/>
      <c r="D261" s="136"/>
      <c r="E261" s="27"/>
      <c r="F261" s="27"/>
      <c r="G261" s="27"/>
      <c r="H261" s="27"/>
      <c r="I261" s="27"/>
      <c r="J261" s="27"/>
      <c r="K261" s="27"/>
      <c r="L261" s="27"/>
      <c r="M261" s="27"/>
      <c r="N261" s="27"/>
      <c r="O261" s="27"/>
      <c r="P261" s="27"/>
      <c r="Q261" s="27"/>
      <c r="R261" s="27"/>
      <c r="S261" s="27"/>
      <c r="T261" s="136">
        <v>26.965</v>
      </c>
      <c r="U261" s="136">
        <v>11.488124381639853</v>
      </c>
      <c r="V261" s="136">
        <v>2.7524251076712317E-2</v>
      </c>
      <c r="W261" s="136">
        <v>-2.1815621231528444E-3</v>
      </c>
    </row>
    <row r="262" spans="1:23">
      <c r="A262" s="6"/>
      <c r="B262" s="6"/>
      <c r="C262" s="136"/>
      <c r="D262" s="136"/>
      <c r="E262" s="27"/>
      <c r="F262" s="27"/>
      <c r="G262" s="27"/>
      <c r="H262" s="27"/>
      <c r="I262" s="27"/>
      <c r="J262" s="27"/>
      <c r="K262" s="27"/>
      <c r="L262" s="27"/>
      <c r="M262" s="27"/>
      <c r="N262" s="27"/>
      <c r="O262" s="27"/>
      <c r="P262" s="27"/>
      <c r="Q262" s="27"/>
      <c r="R262" s="27"/>
      <c r="S262" s="27"/>
      <c r="T262" s="136">
        <v>27.061333333333334</v>
      </c>
      <c r="U262" s="136">
        <v>11.490755809431537</v>
      </c>
      <c r="V262" s="136">
        <v>2.7108608875547852E-2</v>
      </c>
      <c r="W262" s="136">
        <v>-2.1330383012437516E-3</v>
      </c>
    </row>
    <row r="263" spans="1:23">
      <c r="A263" s="6"/>
      <c r="B263" s="6"/>
      <c r="C263" s="136"/>
      <c r="D263" s="136"/>
      <c r="E263" s="27"/>
      <c r="F263" s="27"/>
      <c r="G263" s="27"/>
      <c r="H263" s="27"/>
      <c r="I263" s="27"/>
      <c r="J263" s="27"/>
      <c r="K263" s="27"/>
      <c r="L263" s="27"/>
      <c r="M263" s="27"/>
      <c r="N263" s="27"/>
      <c r="O263" s="27"/>
      <c r="P263" s="27"/>
      <c r="Q263" s="27"/>
      <c r="R263" s="27"/>
      <c r="S263" s="27"/>
      <c r="T263" s="136">
        <v>27.157666666666668</v>
      </c>
      <c r="U263" s="136">
        <v>11.493347646469408</v>
      </c>
      <c r="V263" s="136">
        <v>2.6702307041386871E-2</v>
      </c>
      <c r="W263" s="136">
        <v>-2.0847058948275442E-3</v>
      </c>
    </row>
    <row r="264" spans="1:23">
      <c r="A264" s="6"/>
      <c r="B264" s="6"/>
      <c r="C264" s="136"/>
      <c r="D264" s="136"/>
      <c r="E264" s="27"/>
      <c r="F264" s="27"/>
      <c r="G264" s="27"/>
      <c r="H264" s="27"/>
      <c r="I264" s="27"/>
      <c r="J264" s="27"/>
      <c r="K264" s="27"/>
      <c r="L264" s="27"/>
      <c r="M264" s="27"/>
      <c r="N264" s="27"/>
      <c r="O264" s="27"/>
      <c r="P264" s="27"/>
      <c r="Q264" s="27"/>
      <c r="R264" s="27"/>
      <c r="S264" s="27"/>
      <c r="T264" s="136">
        <v>27.254000000000001</v>
      </c>
      <c r="U264" s="136">
        <v>11.495900792543324</v>
      </c>
      <c r="V264" s="136">
        <v>2.6305345592669067E-2</v>
      </c>
      <c r="W264" s="136">
        <v>-2.0362777806558902E-3</v>
      </c>
    </row>
    <row r="265" spans="1:23">
      <c r="A265" s="6"/>
      <c r="B265" s="6"/>
      <c r="C265" s="136"/>
      <c r="D265" s="136"/>
      <c r="E265" s="27"/>
      <c r="F265" s="27"/>
      <c r="G265" s="27"/>
      <c r="H265" s="27"/>
      <c r="I265" s="27"/>
      <c r="J265" s="27"/>
      <c r="K265" s="27"/>
      <c r="L265" s="27"/>
      <c r="M265" s="27"/>
      <c r="N265" s="27"/>
      <c r="O265" s="27"/>
      <c r="P265" s="27"/>
      <c r="Q265" s="27"/>
      <c r="R265" s="27"/>
      <c r="S265" s="27"/>
      <c r="T265" s="136">
        <v>27.350333333333335</v>
      </c>
      <c r="U265" s="136">
        <v>11.498416147443145</v>
      </c>
      <c r="V265" s="136">
        <v>2.5917724547834132E-2</v>
      </c>
      <c r="W265" s="136">
        <v>-1.9875625432719201E-3</v>
      </c>
    </row>
    <row r="266" spans="1:23">
      <c r="A266" s="6"/>
      <c r="B266" s="6"/>
      <c r="C266" s="136"/>
      <c r="D266" s="136"/>
      <c r="E266" s="27"/>
      <c r="F266" s="27"/>
      <c r="G266" s="27"/>
      <c r="H266" s="27"/>
      <c r="I266" s="27"/>
      <c r="J266" s="27"/>
      <c r="K266" s="27"/>
      <c r="L266" s="27"/>
      <c r="M266" s="27"/>
      <c r="N266" s="27"/>
      <c r="O266" s="27"/>
      <c r="P266" s="27"/>
      <c r="Q266" s="27"/>
      <c r="R266" s="27"/>
      <c r="S266" s="27"/>
      <c r="T266" s="136">
        <v>27.446666666666665</v>
      </c>
      <c r="U266" s="136">
        <v>11.500894610958731</v>
      </c>
      <c r="V266" s="136">
        <v>2.5539443851562989E-2</v>
      </c>
      <c r="W266" s="136">
        <v>-1.9392301368557124E-3</v>
      </c>
    </row>
    <row r="267" spans="1:23">
      <c r="A267" s="6"/>
      <c r="B267" s="6"/>
      <c r="C267" s="136"/>
      <c r="D267" s="136"/>
      <c r="E267" s="27"/>
      <c r="F267" s="27"/>
      <c r="G267" s="27"/>
      <c r="H267" s="27"/>
      <c r="I267" s="27"/>
      <c r="J267" s="27"/>
      <c r="K267" s="27"/>
      <c r="L267" s="27"/>
      <c r="M267" s="27"/>
      <c r="N267" s="27"/>
      <c r="O267" s="27"/>
      <c r="P267" s="27"/>
      <c r="Q267" s="27"/>
      <c r="R267" s="27"/>
      <c r="S267" s="27"/>
      <c r="T267" s="136">
        <v>27.542999999999999</v>
      </c>
      <c r="U267" s="136">
        <v>11.503337082879941</v>
      </c>
      <c r="V267" s="136">
        <v>2.5170503540735023E-2</v>
      </c>
      <c r="W267" s="136">
        <v>-1.8907063149466196E-3</v>
      </c>
    </row>
    <row r="268" spans="1:23">
      <c r="A268" s="6"/>
      <c r="B268" s="6"/>
      <c r="C268" s="136"/>
      <c r="D268" s="136"/>
      <c r="E268" s="27"/>
      <c r="F268" s="27"/>
      <c r="G268" s="27"/>
      <c r="H268" s="27"/>
      <c r="I268" s="27"/>
      <c r="J268" s="27"/>
      <c r="K268" s="27"/>
      <c r="L268" s="27"/>
      <c r="M268" s="27"/>
      <c r="N268" s="27"/>
      <c r="O268" s="27"/>
      <c r="P268" s="27"/>
      <c r="Q268" s="27"/>
      <c r="R268" s="27"/>
      <c r="S268" s="27"/>
      <c r="T268" s="136">
        <v>27.639333333333333</v>
      </c>
      <c r="U268" s="136">
        <v>11.505744462996635</v>
      </c>
      <c r="V268" s="136">
        <v>2.4810903615350235E-2</v>
      </c>
      <c r="W268" s="136">
        <v>-1.8422782007749658E-3</v>
      </c>
    </row>
    <row r="269" spans="1:23">
      <c r="A269" s="6"/>
      <c r="B269" s="6"/>
      <c r="C269" s="136"/>
      <c r="D269" s="136"/>
      <c r="E269" s="27"/>
      <c r="F269" s="27"/>
      <c r="G269" s="27"/>
      <c r="H269" s="27"/>
      <c r="I269" s="27"/>
      <c r="J269" s="27"/>
      <c r="K269" s="27"/>
      <c r="L269" s="27"/>
      <c r="M269" s="27"/>
      <c r="N269" s="27"/>
      <c r="O269" s="27"/>
      <c r="P269" s="27"/>
      <c r="Q269" s="27"/>
      <c r="R269" s="27"/>
      <c r="S269" s="27"/>
      <c r="T269" s="136">
        <v>27.735666666666667</v>
      </c>
      <c r="U269" s="136">
        <v>11.508117651098672</v>
      </c>
      <c r="V269" s="136">
        <v>2.446064405696893E-2</v>
      </c>
      <c r="W269" s="136">
        <v>-1.7938500866213193E-3</v>
      </c>
    </row>
    <row r="270" spans="1:23">
      <c r="A270" s="6"/>
      <c r="B270" s="6"/>
      <c r="C270" s="136"/>
      <c r="D270" s="136"/>
      <c r="E270" s="27"/>
      <c r="F270" s="27"/>
      <c r="G270" s="27"/>
      <c r="H270" s="27"/>
      <c r="I270" s="27"/>
      <c r="J270" s="27"/>
      <c r="K270" s="27"/>
      <c r="L270" s="27"/>
      <c r="M270" s="27"/>
      <c r="N270" s="27"/>
      <c r="O270" s="27"/>
      <c r="P270" s="27"/>
      <c r="Q270" s="27"/>
      <c r="R270" s="27"/>
      <c r="S270" s="27"/>
      <c r="T270" s="136">
        <v>27.832000000000001</v>
      </c>
      <c r="U270" s="136">
        <v>11.510457546975911</v>
      </c>
      <c r="V270" s="136">
        <v>2.4119724902470493E-2</v>
      </c>
      <c r="W270" s="136">
        <v>-1.7452305569747879E-3</v>
      </c>
    </row>
    <row r="271" spans="1:23">
      <c r="A271" s="6"/>
      <c r="B271" s="6"/>
      <c r="C271" s="136"/>
      <c r="D271" s="136"/>
      <c r="E271" s="27"/>
      <c r="F271" s="27"/>
      <c r="G271" s="27"/>
      <c r="H271" s="27"/>
      <c r="I271" s="27"/>
      <c r="J271" s="27"/>
      <c r="K271" s="27"/>
      <c r="L271" s="27"/>
      <c r="M271" s="27"/>
      <c r="N271" s="27"/>
      <c r="O271" s="27"/>
      <c r="P271" s="27"/>
      <c r="Q271" s="27"/>
      <c r="R271" s="27"/>
      <c r="S271" s="27"/>
      <c r="T271" s="136">
        <v>27.928333333333335</v>
      </c>
      <c r="U271" s="136">
        <v>11.512765050418212</v>
      </c>
      <c r="V271" s="136">
        <v>2.3788146114975539E-2</v>
      </c>
      <c r="W271" s="136">
        <v>-1.6968024428031339E-3</v>
      </c>
    </row>
    <row r="272" spans="1:23">
      <c r="A272" s="6"/>
      <c r="B272" s="6"/>
      <c r="C272" s="136"/>
      <c r="D272" s="136"/>
      <c r="E272" s="27"/>
      <c r="F272" s="27"/>
      <c r="G272" s="27"/>
      <c r="H272" s="27"/>
      <c r="I272" s="27"/>
      <c r="J272" s="27"/>
      <c r="K272" s="27"/>
      <c r="L272" s="27"/>
      <c r="M272" s="27"/>
      <c r="N272" s="27"/>
      <c r="O272" s="27"/>
      <c r="P272" s="27"/>
      <c r="Q272" s="27"/>
      <c r="R272" s="27"/>
      <c r="S272" s="27"/>
      <c r="T272" s="136">
        <v>28.024666666666668</v>
      </c>
      <c r="U272" s="136">
        <v>11.515041061215433</v>
      </c>
      <c r="V272" s="136">
        <v>2.3465907712923763E-2</v>
      </c>
      <c r="W272" s="136">
        <v>-1.6481829131746099E-3</v>
      </c>
    </row>
    <row r="273" spans="1:23">
      <c r="A273" s="6"/>
      <c r="B273" s="6"/>
      <c r="C273" s="136"/>
      <c r="D273" s="136"/>
      <c r="E273" s="27"/>
      <c r="F273" s="27"/>
      <c r="G273" s="27"/>
      <c r="H273" s="27"/>
      <c r="I273" s="27"/>
      <c r="J273" s="27"/>
      <c r="K273" s="27"/>
      <c r="L273" s="27"/>
      <c r="M273" s="27"/>
      <c r="N273" s="27"/>
      <c r="O273" s="27"/>
      <c r="P273" s="27"/>
      <c r="Q273" s="27"/>
      <c r="R273" s="27"/>
      <c r="S273" s="27"/>
      <c r="T273" s="136">
        <v>28.120999999999999</v>
      </c>
      <c r="U273" s="136">
        <v>11.517286479157436</v>
      </c>
      <c r="V273" s="136">
        <v>2.3153009677875473E-2</v>
      </c>
      <c r="W273" s="136">
        <v>-1.5997547990029559E-3</v>
      </c>
    </row>
    <row r="274" spans="1:23">
      <c r="A274" s="6"/>
      <c r="B274" s="6"/>
      <c r="C274" s="136"/>
      <c r="D274" s="136"/>
      <c r="E274" s="27"/>
      <c r="F274" s="27"/>
      <c r="G274" s="27"/>
      <c r="H274" s="27"/>
      <c r="I274" s="27"/>
      <c r="J274" s="27"/>
      <c r="K274" s="27"/>
      <c r="L274" s="27"/>
      <c r="M274" s="27"/>
      <c r="N274" s="27"/>
      <c r="O274" s="27"/>
      <c r="P274" s="27"/>
      <c r="Q274" s="27"/>
      <c r="R274" s="27"/>
      <c r="S274" s="27"/>
      <c r="T274" s="136">
        <v>28.217333333333332</v>
      </c>
      <c r="U274" s="136">
        <v>11.519502204034078</v>
      </c>
      <c r="V274" s="136">
        <v>2.2849452028270358E-2</v>
      </c>
      <c r="W274" s="136">
        <v>-1.5512309770938633E-3</v>
      </c>
    </row>
    <row r="275" spans="1:23">
      <c r="A275" s="6"/>
      <c r="B275" s="6"/>
      <c r="C275" s="136"/>
      <c r="D275" s="136"/>
      <c r="E275" s="27"/>
      <c r="F275" s="27"/>
      <c r="G275" s="27"/>
      <c r="H275" s="27"/>
      <c r="I275" s="27"/>
      <c r="J275" s="27"/>
      <c r="K275" s="27"/>
      <c r="L275" s="27"/>
      <c r="M275" s="27"/>
      <c r="N275" s="27"/>
      <c r="O275" s="27"/>
      <c r="P275" s="27"/>
      <c r="Q275" s="27"/>
      <c r="R275" s="27"/>
      <c r="S275" s="27"/>
      <c r="T275" s="136">
        <v>28.313666666666666</v>
      </c>
      <c r="U275" s="136">
        <v>11.521689135635221</v>
      </c>
      <c r="V275" s="136">
        <v>2.2555234745668729E-2</v>
      </c>
      <c r="W275" s="136">
        <v>-1.5028985706776556E-3</v>
      </c>
    </row>
    <row r="276" spans="1:23">
      <c r="A276" s="6"/>
      <c r="B276" s="6"/>
      <c r="C276" s="136"/>
      <c r="D276" s="136"/>
      <c r="E276" s="27"/>
      <c r="F276" s="27"/>
      <c r="G276" s="27"/>
      <c r="H276" s="27"/>
      <c r="I276" s="27"/>
      <c r="J276" s="27"/>
      <c r="K276" s="27"/>
      <c r="L276" s="27"/>
      <c r="M276" s="27"/>
      <c r="N276" s="27"/>
      <c r="O276" s="27"/>
      <c r="P276" s="27"/>
      <c r="Q276" s="27"/>
      <c r="R276" s="27"/>
      <c r="S276" s="27"/>
      <c r="T276" s="136">
        <v>28.41</v>
      </c>
      <c r="U276" s="136">
        <v>11.523848173750721</v>
      </c>
      <c r="V276" s="136">
        <v>2.2270357848510274E-2</v>
      </c>
      <c r="W276" s="136">
        <v>-1.454374748768563E-3</v>
      </c>
    </row>
    <row r="277" spans="1:23">
      <c r="A277" s="6"/>
      <c r="B277" s="6"/>
      <c r="C277" s="136"/>
      <c r="D277" s="136"/>
      <c r="E277" s="27"/>
      <c r="F277" s="27"/>
      <c r="G277" s="27"/>
      <c r="H277" s="27"/>
      <c r="I277" s="27"/>
      <c r="J277" s="27"/>
      <c r="K277" s="27"/>
      <c r="L277" s="27"/>
      <c r="M277" s="27"/>
      <c r="N277" s="27"/>
      <c r="O277" s="27"/>
      <c r="P277" s="27"/>
      <c r="Q277" s="27"/>
      <c r="R277" s="27"/>
      <c r="S277" s="27"/>
      <c r="T277" s="136">
        <v>28.506333333333334</v>
      </c>
      <c r="U277" s="136">
        <v>11.52598021817044</v>
      </c>
      <c r="V277" s="136">
        <v>2.1994821318355309E-2</v>
      </c>
      <c r="W277" s="136">
        <v>-1.4060423423343481E-3</v>
      </c>
    </row>
    <row r="278" spans="1:23">
      <c r="A278" s="6"/>
      <c r="B278" s="6"/>
      <c r="C278" s="136"/>
      <c r="D278" s="136"/>
      <c r="E278" s="27"/>
      <c r="F278" s="27"/>
      <c r="G278" s="27"/>
      <c r="H278" s="27"/>
      <c r="I278" s="27"/>
      <c r="J278" s="27"/>
      <c r="K278" s="27"/>
      <c r="L278" s="27"/>
      <c r="M278" s="27"/>
      <c r="N278" s="27"/>
      <c r="O278" s="27"/>
      <c r="P278" s="27"/>
      <c r="Q278" s="27"/>
      <c r="R278" s="27"/>
      <c r="S278" s="27"/>
      <c r="T278" s="136">
        <v>28.602666666666668</v>
      </c>
      <c r="U278" s="136">
        <v>11.528086168684236</v>
      </c>
      <c r="V278" s="136">
        <v>2.1728625192083205E-2</v>
      </c>
      <c r="W278" s="136">
        <v>-1.3575185204432628E-3</v>
      </c>
    </row>
    <row r="279" spans="1:23">
      <c r="A279" s="6"/>
      <c r="B279" s="6"/>
      <c r="C279" s="136"/>
      <c r="D279" s="136"/>
      <c r="E279" s="27"/>
      <c r="F279" s="27"/>
      <c r="G279" s="27"/>
      <c r="H279" s="27"/>
      <c r="I279" s="27"/>
      <c r="J279" s="27"/>
      <c r="K279" s="27"/>
      <c r="L279" s="27"/>
      <c r="M279" s="27"/>
      <c r="N279" s="27"/>
      <c r="O279" s="27"/>
      <c r="P279" s="27"/>
      <c r="Q279" s="27"/>
      <c r="R279" s="27"/>
      <c r="S279" s="27"/>
      <c r="T279" s="136">
        <v>28.699000000000002</v>
      </c>
      <c r="U279" s="136">
        <v>11.53016692508197</v>
      </c>
      <c r="V279" s="136">
        <v>2.1471769432814591E-2</v>
      </c>
      <c r="W279" s="136">
        <v>-1.3089946985341699E-3</v>
      </c>
    </row>
    <row r="280" spans="1:23">
      <c r="A280" s="6"/>
      <c r="B280" s="6"/>
      <c r="C280" s="136"/>
      <c r="D280" s="136"/>
      <c r="E280" s="27"/>
      <c r="F280" s="27"/>
      <c r="G280" s="27"/>
      <c r="H280" s="27"/>
      <c r="I280" s="27"/>
      <c r="J280" s="27"/>
      <c r="K280" s="27"/>
      <c r="L280" s="27"/>
      <c r="M280" s="27"/>
      <c r="N280" s="27"/>
      <c r="O280" s="27"/>
      <c r="P280" s="27"/>
      <c r="Q280" s="27"/>
      <c r="R280" s="27"/>
      <c r="S280" s="27"/>
      <c r="T280" s="136">
        <v>28.795333333333335</v>
      </c>
      <c r="U280" s="136">
        <v>11.532223387153499</v>
      </c>
      <c r="V280" s="136">
        <v>2.1224254058989152E-2</v>
      </c>
      <c r="W280" s="136">
        <v>-1.2604708766250773E-3</v>
      </c>
    </row>
    <row r="281" spans="1:23">
      <c r="A281" s="6"/>
      <c r="B281" s="6"/>
      <c r="C281" s="136"/>
      <c r="D281" s="136"/>
      <c r="E281" s="27"/>
      <c r="F281" s="27"/>
      <c r="G281" s="27"/>
      <c r="H281" s="27"/>
      <c r="I281" s="27"/>
      <c r="J281" s="27"/>
      <c r="K281" s="27"/>
      <c r="L281" s="27"/>
      <c r="M281" s="27"/>
      <c r="N281" s="27"/>
      <c r="O281" s="27"/>
      <c r="P281" s="27"/>
      <c r="Q281" s="27"/>
      <c r="R281" s="27"/>
      <c r="S281" s="27"/>
      <c r="T281" s="136">
        <v>28.891666666666666</v>
      </c>
      <c r="U281" s="136">
        <v>11.534256454688684</v>
      </c>
      <c r="V281" s="136">
        <v>2.0986079052167195E-2</v>
      </c>
      <c r="W281" s="136">
        <v>-1.2120427624714308E-3</v>
      </c>
    </row>
    <row r="282" spans="1:23">
      <c r="A282" s="6"/>
      <c r="B282" s="6"/>
      <c r="C282" s="136"/>
      <c r="D282" s="136"/>
      <c r="E282" s="27"/>
      <c r="F282" s="27"/>
      <c r="G282" s="27"/>
      <c r="H282" s="27"/>
      <c r="I282" s="27"/>
      <c r="J282" s="27"/>
      <c r="K282" s="27"/>
      <c r="L282" s="27"/>
      <c r="M282" s="27"/>
      <c r="N282" s="27"/>
      <c r="O282" s="27"/>
      <c r="P282" s="27"/>
      <c r="Q282" s="27"/>
      <c r="R282" s="27"/>
      <c r="S282" s="27"/>
      <c r="T282" s="136">
        <v>28.988</v>
      </c>
      <c r="U282" s="136">
        <v>11.536267027477384</v>
      </c>
      <c r="V282" s="136">
        <v>2.0757244430788416E-2</v>
      </c>
      <c r="W282" s="136">
        <v>-1.163614648299777E-3</v>
      </c>
    </row>
    <row r="283" spans="1:23">
      <c r="A283" s="6"/>
      <c r="B283" s="6"/>
      <c r="C283" s="136"/>
      <c r="D283" s="136"/>
      <c r="E283" s="27"/>
      <c r="F283" s="27"/>
      <c r="G283" s="27"/>
      <c r="H283" s="27"/>
      <c r="I283" s="27"/>
      <c r="J283" s="27"/>
      <c r="K283" s="27"/>
      <c r="L283" s="27"/>
      <c r="M283" s="27"/>
      <c r="N283" s="27"/>
      <c r="O283" s="27"/>
      <c r="P283" s="27"/>
      <c r="Q283" s="27"/>
      <c r="R283" s="27"/>
      <c r="S283" s="27"/>
      <c r="T283" s="136">
        <v>29.084333333333333</v>
      </c>
      <c r="U283" s="136">
        <v>11.538256005309458</v>
      </c>
      <c r="V283" s="136">
        <v>2.0537750194852815E-2</v>
      </c>
      <c r="W283" s="136">
        <v>-1.1150908263906842E-3</v>
      </c>
    </row>
    <row r="284" spans="1:23">
      <c r="A284" s="6"/>
      <c r="B284" s="6"/>
      <c r="C284" s="136"/>
      <c r="D284" s="136"/>
      <c r="E284" s="27"/>
      <c r="F284" s="27"/>
      <c r="G284" s="27"/>
      <c r="H284" s="27"/>
      <c r="I284" s="27"/>
      <c r="J284" s="27"/>
      <c r="K284" s="27"/>
      <c r="L284" s="27"/>
      <c r="M284" s="27"/>
      <c r="N284" s="27"/>
      <c r="O284" s="27"/>
      <c r="P284" s="27"/>
      <c r="Q284" s="27"/>
      <c r="R284" s="27"/>
      <c r="S284" s="27"/>
      <c r="T284" s="136">
        <v>29.180666666666667</v>
      </c>
      <c r="U284" s="136">
        <v>11.540224287974766</v>
      </c>
      <c r="V284" s="136">
        <v>2.0327596344360391E-2</v>
      </c>
      <c r="W284" s="136">
        <v>-1.0664712967441527E-3</v>
      </c>
    </row>
    <row r="285" spans="1:23">
      <c r="A285" s="6"/>
      <c r="B285" s="6"/>
      <c r="C285" s="136"/>
      <c r="D285" s="136"/>
      <c r="E285" s="27"/>
      <c r="F285" s="27"/>
      <c r="G285" s="27"/>
      <c r="H285" s="27"/>
      <c r="I285" s="27"/>
      <c r="J285" s="27"/>
      <c r="K285" s="27"/>
      <c r="L285" s="27"/>
      <c r="M285" s="27"/>
      <c r="N285" s="27"/>
      <c r="O285" s="27"/>
      <c r="P285" s="27"/>
      <c r="Q285" s="27"/>
      <c r="R285" s="27"/>
      <c r="S285" s="27"/>
      <c r="T285" s="136">
        <v>29.277000000000001</v>
      </c>
      <c r="U285" s="136">
        <v>11.542172775263168</v>
      </c>
      <c r="V285" s="136">
        <v>2.012678286087145E-2</v>
      </c>
      <c r="W285" s="136">
        <v>-1.0180431825905062E-3</v>
      </c>
    </row>
    <row r="286" spans="1:23">
      <c r="A286" s="6"/>
      <c r="B286" s="6"/>
      <c r="C286" s="136"/>
      <c r="D286" s="136"/>
      <c r="E286" s="27"/>
      <c r="F286" s="27"/>
      <c r="G286" s="27"/>
      <c r="H286" s="27"/>
      <c r="I286" s="27"/>
      <c r="J286" s="27"/>
      <c r="K286" s="27"/>
      <c r="L286" s="27"/>
      <c r="M286" s="27"/>
      <c r="N286" s="27"/>
      <c r="O286" s="27"/>
      <c r="P286" s="27"/>
      <c r="Q286" s="27"/>
      <c r="R286" s="27"/>
      <c r="S286" s="27"/>
      <c r="T286" s="136">
        <v>29.373333333333335</v>
      </c>
      <c r="U286" s="136">
        <v>11.544102366964523</v>
      </c>
      <c r="V286" s="136">
        <v>1.9935309762825683E-2</v>
      </c>
      <c r="W286" s="136">
        <v>-9.6961506843685997E-4</v>
      </c>
    </row>
    <row r="287" spans="1:23">
      <c r="A287" s="6"/>
      <c r="B287" s="6"/>
      <c r="C287" s="136"/>
      <c r="D287" s="136"/>
      <c r="E287" s="27"/>
      <c r="F287" s="27"/>
      <c r="G287" s="27"/>
      <c r="H287" s="27"/>
      <c r="I287" s="27"/>
      <c r="J287" s="27"/>
      <c r="K287" s="27"/>
      <c r="L287" s="27"/>
      <c r="M287" s="27"/>
      <c r="N287" s="27"/>
      <c r="O287" s="27"/>
      <c r="P287" s="27"/>
      <c r="Q287" s="27"/>
      <c r="R287" s="27"/>
      <c r="S287" s="27"/>
      <c r="T287" s="136">
        <v>29.469666666666669</v>
      </c>
      <c r="U287" s="136">
        <v>11.54601396286869</v>
      </c>
      <c r="V287" s="136">
        <v>1.9753177031783406E-2</v>
      </c>
      <c r="W287" s="136">
        <v>-9.2109124650975973E-4</v>
      </c>
    </row>
    <row r="288" spans="1:23">
      <c r="A288" s="6"/>
      <c r="C288" s="136"/>
      <c r="D288" s="136"/>
      <c r="E288" s="27"/>
      <c r="F288" s="27"/>
      <c r="G288" s="27"/>
      <c r="H288" s="27"/>
      <c r="I288" s="27"/>
      <c r="J288" s="27"/>
      <c r="K288" s="27"/>
      <c r="L288" s="27"/>
      <c r="M288" s="27"/>
      <c r="N288" s="27"/>
      <c r="O288" s="27"/>
      <c r="P288" s="27"/>
      <c r="Q288" s="27"/>
      <c r="R288" s="27"/>
      <c r="S288" s="27"/>
      <c r="T288" s="136">
        <v>29.565999999999999</v>
      </c>
      <c r="U288" s="136">
        <v>11.547908462765529</v>
      </c>
      <c r="V288" s="136">
        <v>1.9580384686184303E-2</v>
      </c>
      <c r="W288" s="136">
        <v>-8.7266313235611335E-4</v>
      </c>
    </row>
    <row r="289" spans="1:23">
      <c r="A289" s="6"/>
      <c r="C289" s="136"/>
      <c r="D289" s="136"/>
      <c r="E289" s="27"/>
      <c r="F289" s="27"/>
      <c r="G289" s="27"/>
      <c r="H289" s="27"/>
      <c r="I289" s="27"/>
      <c r="J289" s="27"/>
      <c r="K289" s="27"/>
      <c r="L289" s="27"/>
      <c r="M289" s="27"/>
      <c r="N289" s="27"/>
      <c r="O289" s="27"/>
      <c r="P289" s="27"/>
      <c r="Q289" s="27"/>
      <c r="R289" s="27"/>
      <c r="S289" s="27"/>
      <c r="T289" s="136">
        <v>29.662333333333333</v>
      </c>
      <c r="U289" s="136">
        <v>11.549786766444896</v>
      </c>
      <c r="V289" s="136">
        <v>1.9416932726028374E-2</v>
      </c>
      <c r="W289" s="136">
        <v>-8.2413931044702062E-4</v>
      </c>
    </row>
    <row r="290" spans="1:23">
      <c r="A290" s="6"/>
      <c r="C290" s="136"/>
      <c r="D290" s="136"/>
      <c r="E290" s="27"/>
      <c r="F290" s="27"/>
      <c r="G290" s="27"/>
      <c r="H290" s="27"/>
      <c r="I290" s="27"/>
      <c r="J290" s="27"/>
      <c r="K290" s="27"/>
      <c r="L290" s="27"/>
      <c r="M290" s="27"/>
      <c r="N290" s="27"/>
      <c r="O290" s="27"/>
      <c r="P290" s="27"/>
      <c r="Q290" s="27"/>
      <c r="R290" s="27"/>
      <c r="S290" s="27"/>
      <c r="T290" s="136">
        <v>29.758666666666667</v>
      </c>
      <c r="U290" s="136">
        <v>11.551649773696656</v>
      </c>
      <c r="V290" s="136">
        <v>1.9262821132875932E-2</v>
      </c>
      <c r="W290" s="136">
        <v>-7.7571119629337424E-4</v>
      </c>
    </row>
    <row r="291" spans="1:23">
      <c r="A291" s="6"/>
      <c r="C291" s="136"/>
      <c r="D291" s="136"/>
      <c r="E291" s="27"/>
      <c r="F291" s="27"/>
      <c r="G291" s="27"/>
      <c r="H291" s="27"/>
      <c r="I291" s="27"/>
      <c r="J291" s="27"/>
      <c r="K291" s="27"/>
      <c r="L291" s="27"/>
      <c r="M291" s="27"/>
      <c r="N291" s="27"/>
      <c r="O291" s="27"/>
      <c r="P291" s="27"/>
      <c r="Q291" s="27"/>
      <c r="R291" s="27"/>
      <c r="S291" s="27"/>
      <c r="T291" s="136">
        <v>29.855</v>
      </c>
      <c r="U291" s="136">
        <v>11.553498384310664</v>
      </c>
      <c r="V291" s="136">
        <v>1.9118049943606358E-2</v>
      </c>
      <c r="W291" s="136">
        <v>-7.2709166664684268E-4</v>
      </c>
    </row>
    <row r="292" spans="1:23">
      <c r="A292" s="6"/>
      <c r="C292" s="136"/>
      <c r="D292" s="136"/>
      <c r="E292" s="27"/>
      <c r="F292" s="27"/>
      <c r="G292" s="27"/>
      <c r="H292" s="27"/>
      <c r="I292" s="27"/>
      <c r="J292" s="27"/>
      <c r="K292" s="27"/>
      <c r="L292" s="27"/>
      <c r="M292" s="27"/>
      <c r="N292" s="27"/>
      <c r="O292" s="27"/>
      <c r="P292" s="27"/>
      <c r="Q292" s="27"/>
      <c r="R292" s="27"/>
      <c r="S292" s="27"/>
      <c r="T292" s="136">
        <v>29.951333333333334</v>
      </c>
      <c r="U292" s="136">
        <v>11.555333498076783</v>
      </c>
      <c r="V292" s="136">
        <v>1.8982619102900576E-2</v>
      </c>
      <c r="W292" s="136">
        <v>-6.786635524931963E-4</v>
      </c>
    </row>
    <row r="293" spans="1:23">
      <c r="A293" s="6"/>
      <c r="C293" s="136"/>
      <c r="D293" s="136"/>
      <c r="E293" s="27"/>
      <c r="F293" s="27"/>
      <c r="G293" s="27"/>
      <c r="H293" s="27"/>
      <c r="I293" s="27"/>
      <c r="J293" s="27"/>
      <c r="K293" s="27"/>
      <c r="L293" s="27"/>
      <c r="M293" s="27"/>
      <c r="N293" s="27"/>
      <c r="O293" s="27"/>
      <c r="P293" s="27"/>
      <c r="Q293" s="27"/>
      <c r="R293" s="27"/>
      <c r="S293" s="27"/>
      <c r="T293" s="136">
        <v>30.047666666666668</v>
      </c>
      <c r="U293" s="136">
        <v>11.557156014784869</v>
      </c>
      <c r="V293" s="136">
        <v>1.8856528666077663E-2</v>
      </c>
      <c r="W293" s="136">
        <v>-6.3013973058410357E-4</v>
      </c>
    </row>
    <row r="294" spans="1:23">
      <c r="A294" s="6"/>
      <c r="C294" s="136"/>
      <c r="D294" s="136"/>
      <c r="E294" s="27"/>
      <c r="F294" s="27"/>
      <c r="G294" s="27"/>
      <c r="H294" s="27"/>
      <c r="I294" s="27"/>
      <c r="J294" s="27"/>
      <c r="K294" s="27"/>
      <c r="L294" s="27"/>
      <c r="M294" s="27"/>
      <c r="N294" s="27"/>
      <c r="O294" s="27"/>
      <c r="P294" s="27"/>
      <c r="Q294" s="27"/>
      <c r="R294" s="27"/>
      <c r="S294" s="27"/>
      <c r="T294" s="136">
        <v>30.144000000000002</v>
      </c>
      <c r="U294" s="136">
        <v>11.558966834224783</v>
      </c>
      <c r="V294" s="136">
        <v>1.8739778596258236E-2</v>
      </c>
      <c r="W294" s="136">
        <v>-5.8171161641244968E-4</v>
      </c>
    </row>
    <row r="295" spans="1:23">
      <c r="A295" s="6"/>
      <c r="C295" s="136"/>
      <c r="D295" s="136"/>
      <c r="E295" s="27"/>
      <c r="F295" s="27"/>
      <c r="G295" s="27"/>
      <c r="H295" s="27"/>
      <c r="I295" s="27"/>
      <c r="J295" s="27"/>
      <c r="K295" s="27"/>
      <c r="L295" s="27"/>
      <c r="M295" s="27"/>
      <c r="N295" s="27"/>
      <c r="O295" s="27"/>
      <c r="P295" s="27"/>
      <c r="Q295" s="27"/>
      <c r="R295" s="27"/>
      <c r="S295" s="27"/>
      <c r="T295" s="136">
        <v>30.240333333333332</v>
      </c>
      <c r="U295" s="136">
        <v>11.560766856186385</v>
      </c>
      <c r="V295" s="136">
        <v>1.8632368893442292E-2</v>
      </c>
      <c r="W295" s="136">
        <v>-5.3328350224079578E-4</v>
      </c>
    </row>
    <row r="296" spans="1:23">
      <c r="A296" s="6"/>
      <c r="C296" s="136"/>
      <c r="D296" s="136"/>
      <c r="E296" s="27"/>
      <c r="F296" s="27"/>
      <c r="G296" s="27"/>
      <c r="H296" s="27"/>
      <c r="I296" s="27"/>
      <c r="J296" s="27"/>
      <c r="K296" s="27"/>
      <c r="L296" s="27"/>
      <c r="M296" s="27"/>
      <c r="N296" s="27"/>
      <c r="O296" s="27"/>
      <c r="P296" s="27"/>
      <c r="Q296" s="27"/>
      <c r="R296" s="27"/>
      <c r="S296" s="27"/>
      <c r="T296" s="136">
        <v>30.336666666666666</v>
      </c>
      <c r="U296" s="136">
        <v>11.562556980459533</v>
      </c>
      <c r="V296" s="136">
        <v>1.8534299594509217E-2</v>
      </c>
      <c r="W296" s="136">
        <v>-4.8475968034971057E-4</v>
      </c>
    </row>
    <row r="297" spans="1:23">
      <c r="A297" s="6"/>
      <c r="C297" s="136"/>
      <c r="D297" s="136"/>
      <c r="E297" s="27"/>
      <c r="F297" s="27"/>
      <c r="G297" s="27"/>
      <c r="H297" s="27"/>
      <c r="I297" s="27"/>
      <c r="J297" s="27"/>
      <c r="K297" s="27"/>
      <c r="L297" s="27"/>
      <c r="M297" s="27"/>
      <c r="N297" s="27"/>
      <c r="O297" s="27"/>
      <c r="P297" s="27"/>
      <c r="Q297" s="27"/>
      <c r="R297" s="27"/>
      <c r="S297" s="27"/>
      <c r="T297" s="136">
        <v>30.433</v>
      </c>
      <c r="U297" s="136">
        <v>11.564338106834088</v>
      </c>
      <c r="V297" s="136">
        <v>1.8445570662579625E-2</v>
      </c>
      <c r="W297" s="136">
        <v>-4.3623585844061784E-4</v>
      </c>
    </row>
    <row r="298" spans="1:23">
      <c r="A298" s="6"/>
      <c r="C298" s="136"/>
      <c r="D298" s="136"/>
      <c r="E298" s="27"/>
      <c r="F298" s="27"/>
      <c r="G298" s="27"/>
      <c r="H298" s="27"/>
      <c r="I298" s="27"/>
      <c r="J298" s="27"/>
      <c r="K298" s="27"/>
      <c r="L298" s="27"/>
      <c r="M298" s="27"/>
      <c r="N298" s="27"/>
      <c r="O298" s="27"/>
      <c r="P298" s="27"/>
      <c r="Q298" s="27"/>
      <c r="R298" s="27"/>
      <c r="S298" s="27"/>
      <c r="T298" s="136">
        <v>30.529333333333334</v>
      </c>
      <c r="U298" s="136">
        <v>11.566111135099908</v>
      </c>
      <c r="V298" s="136">
        <v>1.8366182097653522E-2</v>
      </c>
      <c r="W298" s="136">
        <v>-3.8790345200640278E-4</v>
      </c>
    </row>
    <row r="299" spans="1:23">
      <c r="A299" s="6"/>
      <c r="C299" s="136"/>
      <c r="D299" s="136"/>
      <c r="E299" s="27"/>
      <c r="F299" s="27"/>
      <c r="G299" s="27"/>
      <c r="H299" s="27"/>
      <c r="I299" s="27"/>
      <c r="J299" s="27"/>
      <c r="K299" s="27"/>
      <c r="L299" s="27"/>
      <c r="M299" s="27"/>
      <c r="N299" s="27"/>
      <c r="O299" s="27"/>
      <c r="P299" s="27"/>
      <c r="Q299" s="27"/>
      <c r="R299" s="27"/>
      <c r="S299" s="27"/>
      <c r="T299" s="136">
        <v>30.625666666666667</v>
      </c>
      <c r="U299" s="136">
        <v>11.567876965046851</v>
      </c>
      <c r="V299" s="136">
        <v>1.8296133936610282E-2</v>
      </c>
      <c r="W299" s="136">
        <v>-3.3928392237787873E-4</v>
      </c>
    </row>
    <row r="300" spans="1:23">
      <c r="A300" s="6"/>
      <c r="C300" s="136"/>
      <c r="D300" s="136"/>
      <c r="E300" s="27"/>
      <c r="F300" s="27"/>
      <c r="G300" s="27"/>
      <c r="H300" s="27"/>
      <c r="I300" s="27"/>
      <c r="J300" s="27"/>
      <c r="K300" s="27"/>
      <c r="L300" s="27"/>
      <c r="M300" s="27"/>
      <c r="N300" s="27"/>
      <c r="O300" s="27"/>
      <c r="P300" s="27"/>
      <c r="Q300" s="27"/>
      <c r="R300" s="27"/>
      <c r="S300" s="27"/>
      <c r="T300" s="136">
        <v>30.722000000000001</v>
      </c>
      <c r="U300" s="136">
        <v>11.569636496464781</v>
      </c>
      <c r="V300" s="136">
        <v>1.823542612413084E-2</v>
      </c>
      <c r="W300" s="136">
        <v>-2.9095151594366367E-4</v>
      </c>
    </row>
    <row r="301" spans="1:23">
      <c r="A301" s="6"/>
      <c r="C301" s="136"/>
      <c r="D301" s="136"/>
      <c r="E301" s="27"/>
      <c r="F301" s="27"/>
      <c r="G301" s="27"/>
      <c r="H301" s="27"/>
      <c r="I301" s="27"/>
      <c r="J301" s="27"/>
      <c r="K301" s="27"/>
      <c r="L301" s="27"/>
      <c r="M301" s="27"/>
      <c r="N301" s="27"/>
      <c r="O301" s="27"/>
      <c r="P301" s="27"/>
      <c r="Q301" s="27"/>
      <c r="R301" s="27"/>
      <c r="S301" s="27"/>
      <c r="T301" s="136">
        <v>30.818333333333335</v>
      </c>
      <c r="U301" s="136">
        <v>11.571390629143552</v>
      </c>
      <c r="V301" s="136">
        <v>1.8184058715534263E-2</v>
      </c>
      <c r="W301" s="136">
        <v>-2.4242769403457095E-4</v>
      </c>
    </row>
    <row r="302" spans="1:23">
      <c r="A302" s="6"/>
      <c r="C302" s="136"/>
      <c r="D302" s="136"/>
      <c r="E302" s="27"/>
      <c r="F302" s="27"/>
      <c r="G302" s="27"/>
      <c r="H302" s="27"/>
      <c r="I302" s="27"/>
      <c r="J302" s="27"/>
      <c r="K302" s="27"/>
      <c r="L302" s="27"/>
      <c r="M302" s="27"/>
      <c r="N302" s="27"/>
      <c r="O302" s="27"/>
      <c r="P302" s="27"/>
      <c r="Q302" s="27"/>
      <c r="R302" s="27"/>
      <c r="S302" s="27"/>
      <c r="T302" s="136">
        <v>30.914666666666669</v>
      </c>
      <c r="U302" s="136">
        <v>11.573140262873029</v>
      </c>
      <c r="V302" s="136">
        <v>1.814203167394117E-2</v>
      </c>
      <c r="W302" s="136">
        <v>-1.9399957988092457E-4</v>
      </c>
    </row>
    <row r="303" spans="1:23">
      <c r="A303" s="6"/>
      <c r="C303" s="136"/>
      <c r="D303" s="136"/>
      <c r="E303" s="27"/>
      <c r="F303" s="27"/>
      <c r="G303" s="27"/>
      <c r="H303" s="27"/>
      <c r="I303" s="27"/>
      <c r="J303" s="27"/>
      <c r="K303" s="27"/>
      <c r="L303" s="27"/>
      <c r="M303" s="27"/>
      <c r="N303" s="27"/>
      <c r="O303" s="27"/>
      <c r="P303" s="27"/>
      <c r="Q303" s="27"/>
      <c r="R303" s="27"/>
      <c r="S303" s="27"/>
      <c r="T303" s="136">
        <v>31.010999999999999</v>
      </c>
      <c r="U303" s="136">
        <v>11.574886297443065</v>
      </c>
      <c r="V303" s="136">
        <v>1.8109345036230944E-2</v>
      </c>
      <c r="W303" s="136">
        <v>-1.45380050234393E-4</v>
      </c>
    </row>
    <row r="304" spans="1:23">
      <c r="C304" s="136"/>
      <c r="D304" s="136"/>
      <c r="E304" s="27"/>
      <c r="F304" s="27"/>
      <c r="G304" s="27"/>
      <c r="H304" s="27"/>
      <c r="I304" s="27"/>
      <c r="J304" s="27"/>
      <c r="K304" s="27"/>
      <c r="L304" s="27"/>
      <c r="M304" s="27"/>
      <c r="N304" s="27"/>
      <c r="O304" s="27"/>
      <c r="P304" s="27"/>
      <c r="Q304" s="27"/>
      <c r="R304" s="27"/>
      <c r="S304" s="27"/>
      <c r="T304" s="136">
        <v>31.107333333333333</v>
      </c>
      <c r="U304" s="136">
        <v>11.576629632643526</v>
      </c>
      <c r="V304" s="136">
        <v>1.8085998747084515E-2</v>
      </c>
      <c r="W304" s="136">
        <v>-9.6951936062739108E-5</v>
      </c>
    </row>
    <row r="305" spans="3:23">
      <c r="C305" s="136"/>
      <c r="D305" s="136"/>
      <c r="E305" s="27"/>
      <c r="F305" s="27"/>
      <c r="G305" s="27"/>
      <c r="H305" s="27"/>
      <c r="I305" s="27"/>
      <c r="J305" s="27"/>
      <c r="K305" s="27"/>
      <c r="L305" s="27"/>
      <c r="M305" s="27"/>
      <c r="N305" s="27"/>
      <c r="O305" s="27"/>
      <c r="P305" s="27"/>
      <c r="Q305" s="27"/>
      <c r="R305" s="27"/>
      <c r="S305" s="27"/>
      <c r="T305" s="136">
        <v>31.203666666666667</v>
      </c>
      <c r="U305" s="136">
        <v>11.578371168264265</v>
      </c>
      <c r="V305" s="136">
        <v>1.807199286182095E-2</v>
      </c>
      <c r="W305" s="136">
        <v>-4.833240643421503E-5</v>
      </c>
    </row>
    <row r="306" spans="3:23">
      <c r="C306" s="136"/>
      <c r="D306" s="136"/>
      <c r="E306" s="27"/>
      <c r="F306" s="27"/>
      <c r="G306" s="27"/>
      <c r="H306" s="27"/>
      <c r="I306" s="27"/>
      <c r="J306" s="27"/>
      <c r="K306" s="27"/>
      <c r="L306" s="27"/>
      <c r="M306" s="27"/>
      <c r="N306" s="27"/>
      <c r="O306" s="27"/>
      <c r="P306" s="27"/>
      <c r="Q306" s="27"/>
      <c r="R306" s="27"/>
      <c r="S306" s="27"/>
      <c r="T306" s="136">
        <v>31.3</v>
      </c>
      <c r="U306" s="136">
        <v>11.580111804095148</v>
      </c>
      <c r="V306" s="136">
        <v>1.8067327325121181E-2</v>
      </c>
      <c r="W306" s="136">
        <v>-9.5707737438852625E-8</v>
      </c>
    </row>
  </sheetData>
  <pageMargins left="0.78740157499999996" right="0.78740157499999996" top="0.984251969" bottom="0.984251969" header="0.49212598499999999" footer="0.49212598499999999"/>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536769" r:id="rId4" name="Button 1">
              <controlPr defaultSize="0" print="0" autoFill="0" autoPict="0" macro="[0]!Splinter">
                <anchor moveWithCells="1" sizeWithCells="1">
                  <from>
                    <xdr:col>3</xdr:col>
                    <xdr:colOff>581025</xdr:colOff>
                    <xdr:row>2</xdr:row>
                    <xdr:rowOff>57150</xdr:rowOff>
                  </from>
                  <to>
                    <xdr:col>5</xdr:col>
                    <xdr:colOff>561975</xdr:colOff>
                    <xdr:row>3</xdr:row>
                    <xdr:rowOff>276225</xdr:rowOff>
                  </to>
                </anchor>
              </controlPr>
            </control>
          </mc:Choice>
        </mc:AlternateContent>
        <mc:AlternateContent xmlns:mc="http://schemas.openxmlformats.org/markup-compatibility/2006">
          <mc:Choice Requires="x14">
            <control shapeId="5536770" r:id="rId5" name="Button 2">
              <controlPr defaultSize="0" print="0" autoFill="0" autoPict="0" macro="[0]!Eval_Clear_Data">
                <anchor moveWithCells="1" sizeWithCells="1">
                  <from>
                    <xdr:col>0</xdr:col>
                    <xdr:colOff>66675</xdr:colOff>
                    <xdr:row>2</xdr:row>
                    <xdr:rowOff>57150</xdr:rowOff>
                  </from>
                  <to>
                    <xdr:col>1</xdr:col>
                    <xdr:colOff>495300</xdr:colOff>
                    <xdr:row>2</xdr:row>
                    <xdr:rowOff>304800</xdr:rowOff>
                  </to>
                </anchor>
              </controlPr>
            </control>
          </mc:Choice>
        </mc:AlternateContent>
        <mc:AlternateContent xmlns:mc="http://schemas.openxmlformats.org/markup-compatibility/2006">
          <mc:Choice Requires="x14">
            <control shapeId="5536771" r:id="rId6" name="Button 3">
              <controlPr defaultSize="0" print="0" autoFill="0" autoPict="0" macro="[0]!Eval_dados_Tit">
                <anchor moveWithCells="1" sizeWithCells="1">
                  <from>
                    <xdr:col>2</xdr:col>
                    <xdr:colOff>47625</xdr:colOff>
                    <xdr:row>2</xdr:row>
                    <xdr:rowOff>57150</xdr:rowOff>
                  </from>
                  <to>
                    <xdr:col>3</xdr:col>
                    <xdr:colOff>504825</xdr:colOff>
                    <xdr:row>2</xdr:row>
                    <xdr:rowOff>295275</xdr:rowOff>
                  </to>
                </anchor>
              </controlPr>
            </control>
          </mc:Choice>
        </mc:AlternateContent>
        <mc:AlternateContent xmlns:mc="http://schemas.openxmlformats.org/markup-compatibility/2006">
          <mc:Choice Requires="x14">
            <control shapeId="5536772" r:id="rId7" name="Button 4">
              <controlPr defaultSize="0" print="0" autoFill="0" autoPict="0" macro="[0]!Eval_dados_Sim_Disp">
                <anchor moveWithCells="1" sizeWithCells="1">
                  <from>
                    <xdr:col>1</xdr:col>
                    <xdr:colOff>561975</xdr:colOff>
                    <xdr:row>3</xdr:row>
                    <xdr:rowOff>38100</xdr:rowOff>
                  </from>
                  <to>
                    <xdr:col>3</xdr:col>
                    <xdr:colOff>504825</xdr:colOff>
                    <xdr:row>3</xdr:row>
                    <xdr:rowOff>266700</xdr:rowOff>
                  </to>
                </anchor>
              </controlPr>
            </control>
          </mc:Choice>
        </mc:AlternateContent>
        <mc:AlternateContent xmlns:mc="http://schemas.openxmlformats.org/markup-compatibility/2006">
          <mc:Choice Requires="x14">
            <control shapeId="5536773" r:id="rId8" name="Button 5">
              <controlPr defaultSize="0" print="0" autoFill="0" autoPict="0" macro="[0]!Eval_Copia_volumes">
                <anchor moveWithCells="1" sizeWithCells="1">
                  <from>
                    <xdr:col>14</xdr:col>
                    <xdr:colOff>295275</xdr:colOff>
                    <xdr:row>20</xdr:row>
                    <xdr:rowOff>57150</xdr:rowOff>
                  </from>
                  <to>
                    <xdr:col>15</xdr:col>
                    <xdr:colOff>781050</xdr:colOff>
                    <xdr:row>21</xdr:row>
                    <xdr:rowOff>142875</xdr:rowOff>
                  </to>
                </anchor>
              </controlPr>
            </control>
          </mc:Choice>
        </mc:AlternateContent>
        <mc:AlternateContent xmlns:mc="http://schemas.openxmlformats.org/markup-compatibility/2006">
          <mc:Choice Requires="x14">
            <control shapeId="5536774" r:id="rId9" name="Button 6">
              <controlPr defaultSize="0" print="0" autoFill="0" autoPict="0" macro="[0]!Eval_dados_Sim">
                <anchor moveWithCells="1" sizeWithCells="1">
                  <from>
                    <xdr:col>0</xdr:col>
                    <xdr:colOff>66675</xdr:colOff>
                    <xdr:row>3</xdr:row>
                    <xdr:rowOff>28575</xdr:rowOff>
                  </from>
                  <to>
                    <xdr:col>1</xdr:col>
                    <xdr:colOff>504825</xdr:colOff>
                    <xdr:row>3</xdr:row>
                    <xdr:rowOff>266700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11"/>
  <dimension ref="A1:W306"/>
  <sheetViews>
    <sheetView tabSelected="1" zoomScale="85" zoomScaleNormal="85" workbookViewId="0">
      <selection activeCell="P8" sqref="P8"/>
    </sheetView>
  </sheetViews>
  <sheetFormatPr defaultRowHeight="12.75"/>
  <cols>
    <col min="1" max="2" width="9.7109375" style="1" customWidth="1"/>
    <col min="3" max="3" width="10.7109375" style="3" customWidth="1"/>
    <col min="4" max="6" width="9.7109375" style="3" customWidth="1"/>
    <col min="7" max="7" width="11.5703125" customWidth="1"/>
    <col min="8" max="9" width="7.28515625" customWidth="1"/>
    <col min="10" max="10" width="13.28515625" customWidth="1"/>
    <col min="11" max="11" width="9.5703125" bestFit="1" customWidth="1"/>
    <col min="12" max="13" width="10" customWidth="1"/>
    <col min="14" max="14" width="12" customWidth="1"/>
    <col min="15" max="15" width="10.28515625" customWidth="1"/>
    <col min="16" max="16" width="15.140625" customWidth="1"/>
    <col min="17" max="17" width="11.7109375" customWidth="1"/>
    <col min="18" max="18" width="12.28515625" customWidth="1"/>
    <col min="19" max="19" width="10" customWidth="1"/>
    <col min="20" max="20" width="11.85546875" customWidth="1"/>
  </cols>
  <sheetData>
    <row r="1" spans="1:23" ht="24" customHeight="1">
      <c r="A1" s="430"/>
      <c r="B1" s="430"/>
      <c r="C1" s="431" t="s">
        <v>651</v>
      </c>
      <c r="D1" s="432"/>
      <c r="E1" s="432"/>
      <c r="F1" s="432"/>
      <c r="G1" s="432"/>
      <c r="H1" s="432"/>
      <c r="I1" s="432"/>
      <c r="J1" s="432"/>
      <c r="K1" s="432"/>
      <c r="L1" s="432"/>
      <c r="M1" s="432"/>
      <c r="N1" s="432"/>
      <c r="O1" s="432"/>
      <c r="P1" s="432"/>
      <c r="Q1" s="432"/>
      <c r="R1" s="432"/>
      <c r="S1" s="637"/>
      <c r="T1" s="1169"/>
      <c r="U1" s="1170" t="s">
        <v>601</v>
      </c>
      <c r="V1" s="1170"/>
      <c r="W1" s="1171"/>
    </row>
    <row r="2" spans="1:23" ht="24.95" customHeight="1" thickBot="1">
      <c r="A2" s="416" t="s">
        <v>650</v>
      </c>
      <c r="B2" s="164"/>
      <c r="C2" s="165"/>
      <c r="D2" s="165"/>
      <c r="E2" s="165"/>
      <c r="F2" s="166"/>
      <c r="G2" s="403"/>
      <c r="H2" s="404" t="s">
        <v>660</v>
      </c>
      <c r="I2" s="405"/>
      <c r="J2" s="406" t="s">
        <v>661</v>
      </c>
      <c r="K2" s="407"/>
      <c r="L2" s="638"/>
      <c r="M2" s="639" t="s">
        <v>809</v>
      </c>
      <c r="N2" s="407"/>
      <c r="O2" s="640"/>
      <c r="P2" s="641"/>
      <c r="Q2" s="404" t="s">
        <v>810</v>
      </c>
      <c r="R2" s="641"/>
      <c r="S2" s="405"/>
      <c r="T2" s="642"/>
      <c r="U2" s="635" t="s">
        <v>811</v>
      </c>
      <c r="V2" s="635"/>
      <c r="W2" s="636"/>
    </row>
    <row r="3" spans="1:23" ht="24.95" customHeight="1" thickTop="1">
      <c r="A3" s="153"/>
      <c r="B3" s="153"/>
      <c r="C3" s="153"/>
      <c r="D3" s="151"/>
      <c r="E3" s="154"/>
      <c r="F3" s="155"/>
      <c r="G3" s="400"/>
      <c r="H3" s="401" t="s">
        <v>655</v>
      </c>
      <c r="I3" s="193">
        <v>90</v>
      </c>
      <c r="J3" s="402" t="s">
        <v>657</v>
      </c>
      <c r="K3" s="194">
        <v>2.4</v>
      </c>
      <c r="L3" s="643"/>
      <c r="M3" s="644" t="s">
        <v>812</v>
      </c>
      <c r="N3" s="645">
        <v>0.10381581394939451</v>
      </c>
      <c r="O3" s="646"/>
      <c r="P3" s="647" t="s">
        <v>813</v>
      </c>
      <c r="Q3">
        <v>0.5815589991657617</v>
      </c>
      <c r="R3" s="648" t="s">
        <v>814</v>
      </c>
      <c r="S3">
        <v>0.5815589991657617</v>
      </c>
      <c r="T3" s="650" t="s">
        <v>815</v>
      </c>
      <c r="U3" s="651" t="s">
        <v>816</v>
      </c>
      <c r="V3" s="651" t="s">
        <v>817</v>
      </c>
      <c r="W3" s="652"/>
    </row>
    <row r="4" spans="1:23" ht="24.95" customHeight="1" thickBot="1">
      <c r="A4" s="151"/>
      <c r="B4" s="155"/>
      <c r="C4" s="156"/>
      <c r="D4" s="156"/>
      <c r="E4" s="154"/>
      <c r="F4" s="154"/>
      <c r="G4" s="157"/>
      <c r="H4" s="158" t="s">
        <v>656</v>
      </c>
      <c r="I4" s="190">
        <v>300</v>
      </c>
      <c r="J4" s="191" t="s">
        <v>658</v>
      </c>
      <c r="K4" s="192">
        <v>31.3</v>
      </c>
      <c r="L4" s="653"/>
      <c r="M4" s="654" t="s">
        <v>818</v>
      </c>
      <c r="N4" s="655">
        <v>0.99929871873888265</v>
      </c>
      <c r="O4" s="656"/>
      <c r="P4" s="657"/>
      <c r="Q4" s="658" t="s">
        <v>819</v>
      </c>
      <c r="R4" s="657"/>
      <c r="S4" s="659"/>
      <c r="T4" s="660" t="s">
        <v>820</v>
      </c>
      <c r="U4" s="658"/>
      <c r="V4" s="657"/>
      <c r="W4" s="659"/>
    </row>
    <row r="5" spans="1:23" ht="20.100000000000001" customHeight="1" thickTop="1">
      <c r="A5" s="159" t="s">
        <v>327</v>
      </c>
      <c r="B5" s="160" t="s">
        <v>334</v>
      </c>
      <c r="C5" s="161" t="s">
        <v>653</v>
      </c>
      <c r="D5" s="161" t="s">
        <v>315</v>
      </c>
      <c r="E5" s="27"/>
      <c r="F5" s="27"/>
      <c r="G5" s="27"/>
      <c r="H5" s="27"/>
      <c r="I5" s="27"/>
      <c r="J5" s="27"/>
      <c r="K5" s="27"/>
      <c r="L5" s="27"/>
      <c r="M5" s="152"/>
      <c r="N5" s="152"/>
      <c r="O5" s="705" t="s">
        <v>821</v>
      </c>
      <c r="P5" s="661" t="s">
        <v>327</v>
      </c>
      <c r="Q5" s="662" t="s">
        <v>334</v>
      </c>
      <c r="R5" s="663" t="s">
        <v>315</v>
      </c>
      <c r="S5" s="664" t="s">
        <v>808</v>
      </c>
      <c r="T5" s="665" t="s">
        <v>652</v>
      </c>
      <c r="U5" s="161" t="s">
        <v>653</v>
      </c>
      <c r="V5" s="161" t="s">
        <v>315</v>
      </c>
      <c r="W5" s="162" t="s">
        <v>654</v>
      </c>
    </row>
    <row r="6" spans="1:23" ht="15" customHeight="1">
      <c r="A6" s="6">
        <v>2.2000000000000002</v>
      </c>
      <c r="B6" s="6">
        <v>3.15</v>
      </c>
      <c r="C6" s="136">
        <v>3.1306446670102939</v>
      </c>
      <c r="D6" s="136">
        <v>0.30753612245534351</v>
      </c>
      <c r="E6" s="27"/>
      <c r="F6" s="27"/>
      <c r="G6" s="27"/>
      <c r="H6" s="27"/>
      <c r="I6" s="27"/>
      <c r="J6" s="27"/>
      <c r="K6" s="27"/>
      <c r="L6" s="27"/>
      <c r="M6" s="27"/>
      <c r="N6" s="27"/>
      <c r="O6" s="305">
        <v>1</v>
      </c>
      <c r="P6" s="666">
        <v>5.2174610555274583</v>
      </c>
      <c r="Q6" s="667">
        <v>5.1847397393568562</v>
      </c>
      <c r="R6" s="668">
        <v>1.3863971620927085</v>
      </c>
      <c r="S6" s="669">
        <v>-6.0965827542045947E-5</v>
      </c>
      <c r="T6" s="136">
        <v>2.4</v>
      </c>
      <c r="U6" s="136">
        <v>3.1923792965821454</v>
      </c>
      <c r="V6" s="136">
        <v>0.310998060923317</v>
      </c>
      <c r="W6" s="136">
        <v>1.7424263203272543E-2</v>
      </c>
    </row>
    <row r="7" spans="1:23" ht="15" customHeight="1" thickBot="1">
      <c r="A7" s="6">
        <v>3.35</v>
      </c>
      <c r="B7" s="964">
        <v>3.57</v>
      </c>
      <c r="C7" s="136">
        <v>3.5284497886243198</v>
      </c>
      <c r="D7" s="136">
        <v>0.42572232642896718</v>
      </c>
      <c r="E7" s="27"/>
      <c r="F7" s="27"/>
      <c r="G7" s="27"/>
      <c r="H7" s="27"/>
      <c r="I7" s="27"/>
      <c r="J7" s="27"/>
      <c r="K7" s="27"/>
      <c r="L7" s="27"/>
      <c r="M7" s="27"/>
      <c r="N7" s="27"/>
      <c r="O7" s="1362">
        <v>2</v>
      </c>
      <c r="P7" s="666">
        <f>P8+A6</f>
        <v>11.0794</v>
      </c>
      <c r="Q7" s="667">
        <v>9.0643650946196583</v>
      </c>
      <c r="R7" s="668">
        <v>0.94347289018037883</v>
      </c>
      <c r="S7" s="669">
        <v>3.024364495864739E-5</v>
      </c>
      <c r="T7" s="136">
        <v>2.4963333333333333</v>
      </c>
      <c r="U7" s="136">
        <v>3.2225262754457318</v>
      </c>
      <c r="V7" s="136">
        <v>0.31516443812273154</v>
      </c>
      <c r="W7" s="136">
        <v>2.5816946310867533E-2</v>
      </c>
    </row>
    <row r="8" spans="1:23" ht="15" customHeight="1" thickBot="1">
      <c r="A8" s="6">
        <v>4.55</v>
      </c>
      <c r="B8" s="6">
        <v>4.17</v>
      </c>
      <c r="C8" s="136">
        <v>4.3379055165080445</v>
      </c>
      <c r="D8" s="136">
        <v>1.0703057996148542</v>
      </c>
      <c r="E8" s="27"/>
      <c r="F8" s="27"/>
      <c r="G8" s="27"/>
      <c r="H8" s="27"/>
      <c r="I8" s="27"/>
      <c r="J8" s="27"/>
      <c r="K8" s="27"/>
      <c r="L8" s="27"/>
      <c r="M8" s="27"/>
      <c r="N8" s="27"/>
      <c r="O8" s="1363">
        <v>3</v>
      </c>
      <c r="P8" s="1364">
        <v>8.8794000000000004</v>
      </c>
      <c r="Q8" s="1365"/>
      <c r="R8" s="1366"/>
      <c r="S8" s="1367"/>
      <c r="T8" s="136">
        <v>2.5926666666666667</v>
      </c>
      <c r="U8" s="136">
        <v>3.2531524224656319</v>
      </c>
      <c r="V8" s="136">
        <v>0.32094780572992254</v>
      </c>
      <c r="W8" s="136">
        <v>3.4209653345113264E-2</v>
      </c>
    </row>
    <row r="9" spans="1:23" ht="15" customHeight="1">
      <c r="A9" s="965">
        <v>4.9400000000000004</v>
      </c>
      <c r="B9" s="6">
        <v>4.72</v>
      </c>
      <c r="C9" s="136">
        <v>4.8062598666221108</v>
      </c>
      <c r="D9" s="136">
        <v>1.3262229778602432</v>
      </c>
      <c r="E9" s="27"/>
      <c r="F9" s="27"/>
      <c r="G9" s="27"/>
      <c r="H9" s="27"/>
      <c r="I9" s="27"/>
      <c r="J9" s="27"/>
      <c r="K9" s="27"/>
      <c r="L9" s="27"/>
      <c r="M9" s="27"/>
      <c r="N9" s="27"/>
      <c r="O9" s="305">
        <v>4</v>
      </c>
      <c r="P9" s="666"/>
      <c r="Q9" s="667"/>
      <c r="R9" s="668"/>
      <c r="S9" s="669"/>
      <c r="T9" s="136">
        <v>2.6890000000000001</v>
      </c>
      <c r="U9" s="136">
        <v>3.2844135077174088</v>
      </c>
      <c r="V9" s="136">
        <v>0.32834816373567016</v>
      </c>
      <c r="W9" s="136">
        <v>4.2602336452420141E-2</v>
      </c>
    </row>
    <row r="10" spans="1:23" ht="15" customHeight="1">
      <c r="A10" s="6">
        <v>5.3</v>
      </c>
      <c r="B10" s="6">
        <v>5.13</v>
      </c>
      <c r="C10" s="136">
        <v>5.2990082402698375</v>
      </c>
      <c r="D10" s="136">
        <v>1.3779152934298462</v>
      </c>
      <c r="E10" s="27"/>
      <c r="F10" s="27"/>
      <c r="G10" s="27"/>
      <c r="H10" s="27"/>
      <c r="I10" s="27"/>
      <c r="J10" s="27"/>
      <c r="K10" s="27"/>
      <c r="L10" s="27"/>
      <c r="M10" s="27"/>
      <c r="N10" s="27"/>
      <c r="O10" s="305">
        <v>5</v>
      </c>
      <c r="P10" s="666"/>
      <c r="Q10" s="667"/>
      <c r="R10" s="668"/>
      <c r="S10" s="669"/>
      <c r="T10" s="136">
        <v>2.7853333333333334</v>
      </c>
      <c r="U10" s="136">
        <v>3.3164653012766245</v>
      </c>
      <c r="V10" s="136">
        <v>0.33736551214458443</v>
      </c>
      <c r="W10" s="136">
        <v>5.0994995633076266E-2</v>
      </c>
    </row>
    <row r="11" spans="1:23" ht="15" customHeight="1">
      <c r="A11" s="6">
        <v>5.4</v>
      </c>
      <c r="B11" s="6">
        <v>5.68</v>
      </c>
      <c r="C11" s="136">
        <v>5.4357929779809444</v>
      </c>
      <c r="D11" s="136">
        <v>1.3428081237254474</v>
      </c>
      <c r="E11" s="27"/>
      <c r="F11" s="27"/>
      <c r="G11" s="27"/>
      <c r="H11" s="27"/>
      <c r="I11" s="27"/>
      <c r="J11" s="27"/>
      <c r="K11" s="27"/>
      <c r="L11" s="27"/>
      <c r="M11" s="27"/>
      <c r="N11" s="27"/>
      <c r="O11" s="305">
        <v>6</v>
      </c>
      <c r="P11" s="666"/>
      <c r="Q11" s="667"/>
      <c r="R11" s="668"/>
      <c r="S11" s="669"/>
      <c r="T11" s="136">
        <v>2.8816666666666668</v>
      </c>
      <c r="U11" s="136">
        <v>3.3494635732188414</v>
      </c>
      <c r="V11" s="136">
        <v>0.34799985096127511</v>
      </c>
      <c r="W11" s="136">
        <v>5.9387702667322004E-2</v>
      </c>
    </row>
    <row r="12" spans="1:23" ht="15" customHeight="1">
      <c r="A12" s="6">
        <v>5.76</v>
      </c>
      <c r="B12" s="6">
        <v>6.05</v>
      </c>
      <c r="C12" s="136">
        <v>5.8830120309912015</v>
      </c>
      <c r="D12" s="136">
        <v>1.0994595702049301</v>
      </c>
      <c r="E12" s="27"/>
      <c r="F12" s="27"/>
      <c r="G12" s="27"/>
      <c r="H12" s="27"/>
      <c r="I12" s="27"/>
      <c r="J12" s="27"/>
      <c r="K12" s="27"/>
      <c r="L12" s="27"/>
      <c r="M12" s="27"/>
      <c r="N12" s="27"/>
      <c r="O12" s="305">
        <v>7</v>
      </c>
      <c r="P12" s="666"/>
      <c r="Q12" s="667"/>
      <c r="R12" s="668"/>
      <c r="S12" s="669"/>
      <c r="T12" s="136">
        <v>2.9779999999999998</v>
      </c>
      <c r="U12" s="136">
        <v>3.3835640936196212</v>
      </c>
      <c r="V12" s="136">
        <v>0.36025118018113245</v>
      </c>
      <c r="W12" s="136">
        <v>6.778038577491699E-2</v>
      </c>
    </row>
    <row r="13" spans="1:23" ht="15" customHeight="1">
      <c r="A13" s="6">
        <v>6.53</v>
      </c>
      <c r="B13" s="6">
        <v>6.53</v>
      </c>
      <c r="C13" s="136">
        <v>6.5199172302543964</v>
      </c>
      <c r="D13" s="136">
        <v>0.57863082636099683</v>
      </c>
      <c r="E13" s="27"/>
      <c r="F13" s="27"/>
      <c r="G13" s="27"/>
      <c r="H13" s="27"/>
      <c r="I13" s="27"/>
      <c r="J13" s="27"/>
      <c r="K13" s="27"/>
      <c r="L13" s="27"/>
      <c r="M13" s="27"/>
      <c r="N13" s="27"/>
      <c r="O13" s="305">
        <v>8</v>
      </c>
      <c r="P13" s="666"/>
      <c r="Q13" s="667"/>
      <c r="R13" s="668"/>
      <c r="S13" s="669"/>
      <c r="T13" s="136">
        <v>3.0743333333333331</v>
      </c>
      <c r="U13" s="136">
        <v>3.4189226325545268</v>
      </c>
      <c r="V13" s="136">
        <v>0.37411949979954634</v>
      </c>
      <c r="W13" s="136">
        <v>7.6173044955284999E-2</v>
      </c>
    </row>
    <row r="14" spans="1:23" ht="15" customHeight="1">
      <c r="A14" s="6">
        <v>7.55</v>
      </c>
      <c r="B14" s="6">
        <v>6.89</v>
      </c>
      <c r="C14" s="136">
        <v>6.9446244945249482</v>
      </c>
      <c r="D14" s="136">
        <v>0.33927140791211102</v>
      </c>
      <c r="E14" s="27"/>
      <c r="F14" s="27"/>
      <c r="G14" s="27"/>
      <c r="H14" s="27"/>
      <c r="I14" s="27"/>
      <c r="J14" s="27"/>
      <c r="K14" s="27"/>
      <c r="L14" s="27"/>
      <c r="M14" s="27"/>
      <c r="N14" s="27"/>
      <c r="O14" s="305">
        <v>9</v>
      </c>
      <c r="P14" s="666"/>
      <c r="Q14" s="667"/>
      <c r="R14" s="668"/>
      <c r="S14" s="669"/>
      <c r="T14" s="136">
        <v>3.1706666666666665</v>
      </c>
      <c r="U14" s="136">
        <v>3.45569496009912</v>
      </c>
      <c r="V14" s="136">
        <v>0.38960480982573681</v>
      </c>
      <c r="W14" s="136">
        <v>8.456572806288E-2</v>
      </c>
    </row>
    <row r="15" spans="1:23" ht="15" customHeight="1">
      <c r="A15" s="6">
        <v>9.1999999999999993</v>
      </c>
      <c r="B15" s="6">
        <v>7.59</v>
      </c>
      <c r="C15" s="136">
        <v>7.5722092115349513</v>
      </c>
      <c r="D15" s="136">
        <v>0.44116357137438866</v>
      </c>
      <c r="E15" s="27"/>
      <c r="F15" s="27"/>
      <c r="G15" s="27"/>
      <c r="H15" s="27"/>
      <c r="I15" s="27"/>
      <c r="J15" s="27"/>
      <c r="K15" s="27"/>
      <c r="L15" s="27"/>
      <c r="M15" s="27"/>
      <c r="N15" s="27"/>
      <c r="O15" s="305">
        <v>10</v>
      </c>
      <c r="P15" s="666"/>
      <c r="Q15" s="667"/>
      <c r="R15" s="668"/>
      <c r="S15" s="669"/>
      <c r="T15" s="136">
        <v>3.2669999999999999</v>
      </c>
      <c r="U15" s="136">
        <v>3.4940368463289633</v>
      </c>
      <c r="V15" s="136">
        <v>0.40670711025970369</v>
      </c>
      <c r="W15" s="136">
        <v>9.2958435096837599E-2</v>
      </c>
    </row>
    <row r="16" spans="1:23" ht="15" customHeight="1">
      <c r="A16" s="6">
        <v>10.63</v>
      </c>
      <c r="B16" s="6">
        <v>8.33</v>
      </c>
      <c r="C16" s="136">
        <v>8.3942155679295549</v>
      </c>
      <c r="D16" s="136">
        <v>0.78339064991775231</v>
      </c>
      <c r="E16" s="27"/>
      <c r="F16" s="27"/>
      <c r="G16" s="27"/>
      <c r="H16" s="27"/>
      <c r="I16" s="27"/>
      <c r="J16" s="27"/>
      <c r="K16" s="27"/>
      <c r="L16" s="27"/>
      <c r="M16" s="27"/>
      <c r="N16" s="27"/>
      <c r="O16" s="305">
        <v>11</v>
      </c>
      <c r="P16" s="666"/>
      <c r="Q16" s="667"/>
      <c r="R16" s="668"/>
      <c r="S16" s="669"/>
      <c r="T16" s="136">
        <v>3.3633333333333333</v>
      </c>
      <c r="U16" s="136">
        <v>3.5341042090915051</v>
      </c>
      <c r="V16" s="136">
        <v>0.42545989056178696</v>
      </c>
      <c r="W16" s="136">
        <v>0.1038447353992292</v>
      </c>
    </row>
    <row r="17" spans="1:23" ht="15" customHeight="1">
      <c r="A17" s="6">
        <v>11.1</v>
      </c>
      <c r="B17" s="6">
        <v>8.76</v>
      </c>
      <c r="C17" s="136">
        <v>8.795176199675927</v>
      </c>
      <c r="D17" s="136">
        <v>0.91718688841150864</v>
      </c>
      <c r="E17" s="27"/>
      <c r="F17" s="27"/>
      <c r="G17" s="27"/>
      <c r="H17" s="27"/>
      <c r="I17" s="27"/>
      <c r="J17" s="27"/>
      <c r="K17" s="27"/>
      <c r="L17" s="27"/>
      <c r="M17" s="27"/>
      <c r="N17" s="27"/>
      <c r="O17" s="305">
        <v>12</v>
      </c>
      <c r="P17" s="666"/>
      <c r="Q17" s="667"/>
      <c r="R17" s="668"/>
      <c r="S17" s="669"/>
      <c r="T17" s="136">
        <v>3.4596666666666667</v>
      </c>
      <c r="U17" s="136">
        <v>3.5761345993237805</v>
      </c>
      <c r="V17" s="136">
        <v>0.4480139523264815</v>
      </c>
      <c r="W17" s="136">
        <v>0.1302540408118896</v>
      </c>
    </row>
    <row r="18" spans="1:23" ht="15" customHeight="1">
      <c r="A18" s="6">
        <v>11.3</v>
      </c>
      <c r="B18" s="6">
        <v>8.98</v>
      </c>
      <c r="C18" s="136">
        <v>8.9811472373783641</v>
      </c>
      <c r="D18" s="136">
        <v>0.94152782166802951</v>
      </c>
      <c r="E18" s="27"/>
      <c r="F18" s="27"/>
      <c r="G18" s="27"/>
      <c r="H18" s="27"/>
      <c r="I18" s="27"/>
      <c r="J18" s="27"/>
      <c r="K18" s="27"/>
      <c r="L18" s="27"/>
      <c r="M18" s="27"/>
      <c r="N18" s="27"/>
      <c r="O18" s="305">
        <v>13</v>
      </c>
      <c r="P18" s="666"/>
      <c r="Q18" s="667"/>
      <c r="R18" s="668"/>
      <c r="S18" s="669"/>
      <c r="T18" s="136">
        <v>3.556</v>
      </c>
      <c r="U18" s="136">
        <v>3.6205825337480535</v>
      </c>
      <c r="V18" s="136">
        <v>0.47565620765777389</v>
      </c>
      <c r="W18" s="136">
        <v>0.15666337015148885</v>
      </c>
    </row>
    <row r="19" spans="1:23" ht="15" customHeight="1">
      <c r="A19" s="6">
        <v>12.06</v>
      </c>
      <c r="B19" s="6">
        <v>9.76</v>
      </c>
      <c r="C19" s="136">
        <v>9.6624788159927757</v>
      </c>
      <c r="D19" s="136">
        <v>0.7774761891023988</v>
      </c>
      <c r="E19" s="27"/>
      <c r="F19" s="27"/>
      <c r="G19" s="27"/>
      <c r="H19" s="27"/>
      <c r="I19" s="27"/>
      <c r="J19" s="27"/>
      <c r="K19" s="27"/>
      <c r="L19" s="27"/>
      <c r="M19" s="27"/>
      <c r="N19" s="27"/>
      <c r="O19" s="305">
        <v>14</v>
      </c>
      <c r="P19" s="666"/>
      <c r="Q19" s="667"/>
      <c r="R19" s="668"/>
      <c r="S19" s="669"/>
      <c r="T19" s="136">
        <v>3.6523333333333334</v>
      </c>
      <c r="U19" s="136">
        <v>3.667938175011126</v>
      </c>
      <c r="V19" s="136">
        <v>0.50838665655566417</v>
      </c>
      <c r="W19" s="136">
        <v>0.1830726994913762</v>
      </c>
    </row>
    <row r="20" spans="1:23" ht="15" customHeight="1" thickBot="1">
      <c r="A20" s="6">
        <v>12.6</v>
      </c>
      <c r="B20" s="6">
        <v>10.02</v>
      </c>
      <c r="C20" s="136">
        <v>10.021468028029229</v>
      </c>
      <c r="D20" s="136">
        <v>0.5481089548466429</v>
      </c>
      <c r="E20" s="27"/>
      <c r="F20" s="27"/>
      <c r="G20" s="27"/>
      <c r="H20" s="27"/>
      <c r="I20" s="27"/>
      <c r="J20" s="27"/>
      <c r="K20" s="27"/>
      <c r="L20" s="27"/>
      <c r="M20" s="27"/>
      <c r="N20" s="27"/>
      <c r="O20" s="670">
        <v>15</v>
      </c>
      <c r="P20" s="671"/>
      <c r="Q20" s="672"/>
      <c r="R20" s="673"/>
      <c r="S20" s="674"/>
      <c r="T20" s="136">
        <v>3.7486666666666668</v>
      </c>
      <c r="U20" s="136">
        <v>3.7186916857597989</v>
      </c>
      <c r="V20" s="136">
        <v>0.54620529901554238</v>
      </c>
      <c r="W20" s="136">
        <v>0.2094820049040366</v>
      </c>
    </row>
    <row r="21" spans="1:23" ht="15" customHeight="1" thickTop="1">
      <c r="A21" s="6">
        <v>15.08</v>
      </c>
      <c r="B21" s="6">
        <v>10.61</v>
      </c>
      <c r="C21" s="136">
        <v>10.628594303962199</v>
      </c>
      <c r="D21" s="136">
        <v>9.9442381835450414E-2</v>
      </c>
      <c r="E21" s="27"/>
      <c r="F21" s="27"/>
      <c r="G21" s="27"/>
      <c r="H21" s="27"/>
      <c r="I21" s="27"/>
      <c r="J21" s="27"/>
      <c r="K21" s="27"/>
      <c r="L21" s="27"/>
      <c r="M21" s="27"/>
      <c r="N21" s="27"/>
      <c r="O21" s="307"/>
      <c r="P21" s="453"/>
      <c r="Q21" s="675" t="s">
        <v>822</v>
      </c>
      <c r="R21" s="676"/>
      <c r="S21" s="677"/>
      <c r="T21" s="136">
        <v>3.8449999999999998</v>
      </c>
      <c r="U21" s="136">
        <v>3.7733332286408734</v>
      </c>
      <c r="V21" s="136">
        <v>0.58911213504201831</v>
      </c>
      <c r="W21" s="136">
        <v>0.23589133424334771</v>
      </c>
    </row>
    <row r="22" spans="1:23" ht="15" customHeight="1">
      <c r="A22" s="6">
        <v>18.420000000000002</v>
      </c>
      <c r="B22" s="6">
        <v>10.99</v>
      </c>
      <c r="C22" s="136">
        <v>10.98898425942806</v>
      </c>
      <c r="D22" s="136">
        <v>0.10124428240271666</v>
      </c>
      <c r="E22" s="27"/>
      <c r="F22" s="27"/>
      <c r="G22" s="27"/>
      <c r="H22" s="27"/>
      <c r="I22" s="27"/>
      <c r="J22" s="27"/>
      <c r="K22" s="27"/>
      <c r="L22" s="27"/>
      <c r="M22" s="27"/>
      <c r="N22" s="27"/>
      <c r="O22" s="123"/>
      <c r="P22" s="678"/>
      <c r="Q22" s="679" t="s">
        <v>823</v>
      </c>
      <c r="R22" s="680"/>
      <c r="S22" s="681"/>
      <c r="T22" s="136">
        <v>3.9413333333333336</v>
      </c>
      <c r="U22" s="136">
        <v>3.8323529663011522</v>
      </c>
      <c r="V22" s="136">
        <v>0.63710716462587236</v>
      </c>
      <c r="W22" s="136">
        <v>0.26230059180213039</v>
      </c>
    </row>
    <row r="23" spans="1:23" ht="15" customHeight="1">
      <c r="A23" s="6">
        <v>31.3</v>
      </c>
      <c r="B23" s="6">
        <v>11.58</v>
      </c>
      <c r="C23" s="136">
        <v>11.580111563282841</v>
      </c>
      <c r="D23" s="136">
        <v>1.8126429530207641E-2</v>
      </c>
      <c r="E23" s="27"/>
      <c r="F23" s="27"/>
      <c r="G23" s="27"/>
      <c r="H23" s="27"/>
      <c r="I23" s="27"/>
      <c r="J23" s="27"/>
      <c r="K23" s="27"/>
      <c r="L23" s="27"/>
      <c r="M23" s="27"/>
      <c r="N23" s="27"/>
      <c r="O23" s="408"/>
      <c r="P23" s="144"/>
      <c r="Q23" s="144"/>
      <c r="R23" s="144"/>
      <c r="S23" s="682"/>
      <c r="T23" s="136">
        <v>4.0376666666666665</v>
      </c>
      <c r="U23" s="136">
        <v>3.8962410613874345</v>
      </c>
      <c r="V23" s="136">
        <v>0.69019038778554409</v>
      </c>
      <c r="W23" s="136">
        <v>0.28870989721479073</v>
      </c>
    </row>
    <row r="24" spans="1:23" ht="15" customHeight="1">
      <c r="A24" s="6"/>
      <c r="B24" s="6"/>
      <c r="C24" s="136"/>
      <c r="D24" s="136"/>
      <c r="E24" s="27"/>
      <c r="F24" s="27"/>
      <c r="G24" s="27"/>
      <c r="H24" s="27"/>
      <c r="I24" s="27"/>
      <c r="J24" s="27"/>
      <c r="K24" s="27"/>
      <c r="L24" s="27"/>
      <c r="M24" s="27"/>
      <c r="N24" s="27"/>
      <c r="O24" s="683"/>
      <c r="P24" s="684"/>
      <c r="Q24" s="685" t="s">
        <v>1131</v>
      </c>
      <c r="R24" s="686">
        <v>20</v>
      </c>
      <c r="S24" s="687" t="s">
        <v>824</v>
      </c>
      <c r="T24" s="136">
        <v>4.1340000000000003</v>
      </c>
      <c r="U24" s="136">
        <v>3.9654876765465232</v>
      </c>
      <c r="V24" s="136">
        <v>0.7483618045072038</v>
      </c>
      <c r="W24" s="136">
        <v>0.31511920262745113</v>
      </c>
    </row>
    <row r="25" spans="1:23" ht="15" customHeight="1">
      <c r="A25" s="6"/>
      <c r="B25" s="6"/>
      <c r="C25" s="136"/>
      <c r="D25" s="136"/>
      <c r="E25" s="27"/>
      <c r="F25" s="27"/>
      <c r="G25" s="27"/>
      <c r="H25" s="27"/>
      <c r="I25" s="27"/>
      <c r="J25" s="27"/>
      <c r="K25" s="27"/>
      <c r="L25" s="27"/>
      <c r="M25" s="27"/>
      <c r="N25" s="27"/>
      <c r="O25" s="683"/>
      <c r="P25" s="684"/>
      <c r="Q25" s="688" t="s">
        <v>825</v>
      </c>
      <c r="R25" s="689">
        <v>0.1</v>
      </c>
      <c r="S25" s="687" t="s">
        <v>826</v>
      </c>
      <c r="T25" s="136">
        <v>4.2303333333333333</v>
      </c>
      <c r="U25" s="136">
        <v>4.0405829744252184</v>
      </c>
      <c r="V25" s="136">
        <v>0.81162141480007122</v>
      </c>
      <c r="W25" s="136">
        <v>0.34152855589398923</v>
      </c>
    </row>
    <row r="26" spans="1:23" ht="15" customHeight="1">
      <c r="A26" s="6"/>
      <c r="B26" s="6"/>
      <c r="C26" s="136"/>
      <c r="D26" s="136"/>
      <c r="E26" s="27"/>
      <c r="F26" s="27"/>
      <c r="G26" s="27"/>
      <c r="H26" s="27"/>
      <c r="I26" s="27"/>
      <c r="J26" s="27"/>
      <c r="K26" s="27"/>
      <c r="L26" s="27"/>
      <c r="M26" s="27"/>
      <c r="N26" s="27"/>
      <c r="O26" s="690"/>
      <c r="P26" s="691"/>
      <c r="Q26" s="692" t="s">
        <v>827</v>
      </c>
      <c r="R26" s="693"/>
      <c r="S26" s="694" t="s">
        <v>828</v>
      </c>
      <c r="T26" s="136">
        <v>4.3266666666666662</v>
      </c>
      <c r="U26" s="136">
        <v>4.1220171176703229</v>
      </c>
      <c r="V26" s="136">
        <v>0.87996921864570676</v>
      </c>
      <c r="W26" s="136">
        <v>0.36793781345277193</v>
      </c>
    </row>
    <row r="27" spans="1:23" ht="19.5" customHeight="1">
      <c r="A27" s="6"/>
      <c r="B27" s="6"/>
      <c r="C27" s="136"/>
      <c r="D27" s="136"/>
      <c r="E27" s="27"/>
      <c r="F27" s="27"/>
      <c r="G27" s="27"/>
      <c r="H27" s="27"/>
      <c r="I27" s="27"/>
      <c r="J27" s="27"/>
      <c r="K27" s="27"/>
      <c r="L27" s="27"/>
      <c r="M27" s="27"/>
      <c r="N27" s="27"/>
      <c r="O27" s="705" t="s">
        <v>821</v>
      </c>
      <c r="P27" s="706" t="s">
        <v>662</v>
      </c>
      <c r="Q27" s="707" t="s">
        <v>829</v>
      </c>
      <c r="R27" s="708" t="s">
        <v>830</v>
      </c>
      <c r="S27" s="709" t="s">
        <v>663</v>
      </c>
      <c r="T27" s="136">
        <v>4.423</v>
      </c>
      <c r="U27" s="136">
        <v>4.2102802689286376</v>
      </c>
      <c r="V27" s="136">
        <v>0.95340521606255002</v>
      </c>
      <c r="W27" s="136">
        <v>0.39434716671931003</v>
      </c>
    </row>
    <row r="28" spans="1:23" ht="15" customHeight="1">
      <c r="A28" s="6"/>
      <c r="B28" s="6"/>
      <c r="C28" s="136"/>
      <c r="D28" s="136"/>
      <c r="E28" s="27"/>
      <c r="F28" s="27"/>
      <c r="G28" s="27"/>
      <c r="H28" s="27"/>
      <c r="I28" s="27"/>
      <c r="J28" s="27"/>
      <c r="K28" s="27"/>
      <c r="L28" s="27"/>
      <c r="M28" s="27"/>
      <c r="N28" s="27"/>
      <c r="O28" s="695">
        <v>1</v>
      </c>
      <c r="P28" s="696">
        <v>10.015833332490743</v>
      </c>
      <c r="Q28" s="697">
        <f>IF(P28&lt;&gt;"",P28*0.001*$R$25,"")</f>
        <v>1.0015833332490743E-3</v>
      </c>
      <c r="R28" s="697">
        <f>IF(P28&lt;&gt;"",Q28,"")</f>
        <v>1.0015833332490743E-3</v>
      </c>
      <c r="S28" s="698">
        <f>IF(P28&lt;&gt;"",R28/$R$24/0.001,"")</f>
        <v>5.0079166662453711E-2</v>
      </c>
      <c r="T28" s="136">
        <v>4.5193333333333339</v>
      </c>
      <c r="U28" s="136">
        <v>4.3058625908469637</v>
      </c>
      <c r="V28" s="136">
        <v>1.0319294070506011</v>
      </c>
      <c r="W28" s="136">
        <v>0.42075647213197043</v>
      </c>
    </row>
    <row r="29" spans="1:23" ht="15" customHeight="1">
      <c r="A29" s="6"/>
      <c r="B29" s="6"/>
      <c r="C29" s="136"/>
      <c r="D29" s="136"/>
      <c r="E29" s="27"/>
      <c r="F29" s="27"/>
      <c r="G29" s="27"/>
      <c r="H29" s="27"/>
      <c r="I29" s="27"/>
      <c r="J29" s="27"/>
      <c r="K29" s="27"/>
      <c r="L29" s="27"/>
      <c r="M29" s="27"/>
      <c r="N29" s="27"/>
      <c r="O29" s="305">
        <v>2</v>
      </c>
      <c r="P29" s="699">
        <v>30.02916666411647</v>
      </c>
      <c r="Q29" s="700">
        <f t="shared" ref="Q29:Q37" si="0">IF(P29&lt;&gt;"",P29*0.001*$R$25,"")</f>
        <v>3.0029166664116472E-3</v>
      </c>
      <c r="R29" s="700">
        <f>IF(P29&lt;&gt;"",(Q29-Q28),"")</f>
        <v>2.0013333331625732E-3</v>
      </c>
      <c r="S29" s="701">
        <f t="shared" ref="S29:S37" si="1">IF(P29&lt;&gt;"",R29/$R$24/0.001,"")</f>
        <v>0.10006666665812866</v>
      </c>
      <c r="T29" s="136">
        <v>4.6156666666666668</v>
      </c>
      <c r="U29" s="136">
        <v>4.4091829111406717</v>
      </c>
      <c r="V29" s="136">
        <v>1.1122780520936129</v>
      </c>
      <c r="W29" s="136">
        <v>0.39753696198229904</v>
      </c>
    </row>
    <row r="30" spans="1:23" ht="15" customHeight="1">
      <c r="A30" s="6"/>
      <c r="B30" s="6"/>
      <c r="C30" s="136"/>
      <c r="D30" s="136"/>
      <c r="E30" s="27"/>
      <c r="F30" s="27"/>
      <c r="G30" s="27"/>
      <c r="H30" s="27"/>
      <c r="I30" s="27"/>
      <c r="J30" s="27"/>
      <c r="K30" s="27"/>
      <c r="L30" s="27"/>
      <c r="M30" s="27"/>
      <c r="N30" s="27"/>
      <c r="O30" s="305">
        <v>3</v>
      </c>
      <c r="P30" s="699"/>
      <c r="Q30" s="700" t="str">
        <f t="shared" si="0"/>
        <v/>
      </c>
      <c r="R30" s="700" t="str">
        <f t="shared" ref="R30:R37" si="2">IF(P30&lt;&gt;"",(Q30-Q29),"")</f>
        <v/>
      </c>
      <c r="S30" s="701" t="str">
        <f t="shared" si="1"/>
        <v/>
      </c>
      <c r="T30" s="136">
        <v>4.7119999999999997</v>
      </c>
      <c r="U30" s="136">
        <v>4.5198743407601469</v>
      </c>
      <c r="V30" s="136">
        <v>1.1843961933932585</v>
      </c>
      <c r="W30" s="136">
        <v>0.35114057947821153</v>
      </c>
    </row>
    <row r="31" spans="1:23" ht="15" customHeight="1">
      <c r="A31" s="6"/>
      <c r="B31" s="6"/>
      <c r="C31" s="136"/>
      <c r="D31" s="136"/>
      <c r="E31" s="27"/>
      <c r="F31" s="27"/>
      <c r="G31" s="27"/>
      <c r="H31" s="27"/>
      <c r="I31" s="27"/>
      <c r="J31" s="27"/>
      <c r="K31" s="27"/>
      <c r="L31" s="27"/>
      <c r="M31" s="27"/>
      <c r="N31" s="27"/>
      <c r="O31" s="305">
        <v>4</v>
      </c>
      <c r="P31" s="699"/>
      <c r="Q31" s="700" t="str">
        <f t="shared" si="0"/>
        <v/>
      </c>
      <c r="R31" s="700" t="str">
        <f t="shared" si="2"/>
        <v/>
      </c>
      <c r="S31" s="701" t="str">
        <f t="shared" si="1"/>
        <v/>
      </c>
      <c r="T31" s="136">
        <v>4.8083333333333336</v>
      </c>
      <c r="U31" s="136">
        <v>4.6370830185456438</v>
      </c>
      <c r="V31" s="136">
        <v>1.2475753033646078</v>
      </c>
      <c r="W31" s="136">
        <v>0.30474429268303199</v>
      </c>
    </row>
    <row r="32" spans="1:23" ht="15" customHeight="1">
      <c r="A32" s="6"/>
      <c r="B32" s="6"/>
      <c r="C32" s="136"/>
      <c r="D32" s="136"/>
      <c r="E32" s="27"/>
      <c r="F32" s="27"/>
      <c r="G32" s="27"/>
      <c r="H32" s="27"/>
      <c r="I32" s="27"/>
      <c r="J32" s="27"/>
      <c r="K32" s="27"/>
      <c r="L32" s="27"/>
      <c r="M32" s="27"/>
      <c r="N32" s="27"/>
      <c r="O32" s="305">
        <v>5</v>
      </c>
      <c r="P32" s="699"/>
      <c r="Q32" s="700" t="str">
        <f t="shared" si="0"/>
        <v/>
      </c>
      <c r="R32" s="700" t="str">
        <f t="shared" si="2"/>
        <v/>
      </c>
      <c r="S32" s="701" t="str">
        <f t="shared" si="1"/>
        <v/>
      </c>
      <c r="T32" s="136">
        <v>4.9046666666666674</v>
      </c>
      <c r="U32" s="136">
        <v>4.7599478178115788</v>
      </c>
      <c r="V32" s="136">
        <v>1.3018153819892206</v>
      </c>
      <c r="W32" s="136">
        <v>0.25834791018009695</v>
      </c>
    </row>
    <row r="33" spans="1:23" ht="15" customHeight="1">
      <c r="A33" s="6"/>
      <c r="B33" s="6"/>
      <c r="C33" s="136"/>
      <c r="D33" s="136"/>
      <c r="E33" s="27"/>
      <c r="F33" s="27"/>
      <c r="G33" s="27"/>
      <c r="H33" s="27"/>
      <c r="I33" s="27"/>
      <c r="J33" s="27"/>
      <c r="K33" s="27"/>
      <c r="L33" s="27"/>
      <c r="M33" s="27"/>
      <c r="N33" s="27"/>
      <c r="O33" s="305">
        <v>6</v>
      </c>
      <c r="P33" s="699"/>
      <c r="Q33" s="700" t="str">
        <f t="shared" si="0"/>
        <v/>
      </c>
      <c r="R33" s="700" t="str">
        <f t="shared" si="2"/>
        <v/>
      </c>
      <c r="S33" s="701" t="str">
        <f t="shared" si="1"/>
        <v/>
      </c>
      <c r="T33" s="136">
        <v>5.0009999999999994</v>
      </c>
      <c r="U33" s="136">
        <v>4.887578235331465</v>
      </c>
      <c r="V33" s="136">
        <v>1.3456693985642234</v>
      </c>
      <c r="W33" s="136">
        <v>0.18826716505494351</v>
      </c>
    </row>
    <row r="34" spans="1:23" ht="15" customHeight="1">
      <c r="A34" s="6"/>
      <c r="B34" s="6"/>
      <c r="C34" s="136"/>
      <c r="D34" s="136"/>
      <c r="E34" s="27"/>
      <c r="F34" s="27"/>
      <c r="G34" s="27"/>
      <c r="H34" s="27"/>
      <c r="I34" s="27"/>
      <c r="J34" s="27"/>
      <c r="K34" s="27"/>
      <c r="L34" s="27"/>
      <c r="M34" s="27"/>
      <c r="N34" s="27"/>
      <c r="O34" s="305">
        <v>7</v>
      </c>
      <c r="P34" s="699"/>
      <c r="Q34" s="700" t="str">
        <f t="shared" si="0"/>
        <v/>
      </c>
      <c r="R34" s="700" t="str">
        <f t="shared" si="2"/>
        <v/>
      </c>
      <c r="S34" s="701" t="str">
        <f t="shared" si="1"/>
        <v/>
      </c>
      <c r="T34" s="136">
        <v>5.0973333333333333</v>
      </c>
      <c r="U34" s="136">
        <v>5.0186972243166688</v>
      </c>
      <c r="V34" s="136">
        <v>1.3738614415987684</v>
      </c>
      <c r="W34" s="136">
        <v>0.10446757741450495</v>
      </c>
    </row>
    <row r="35" spans="1:23" ht="15" customHeight="1">
      <c r="A35" s="6"/>
      <c r="B35" s="6"/>
      <c r="C35" s="136"/>
      <c r="D35" s="136"/>
      <c r="E35" s="27"/>
      <c r="F35" s="27"/>
      <c r="G35" s="27"/>
      <c r="H35" s="27"/>
      <c r="I35" s="27"/>
      <c r="J35" s="27"/>
      <c r="K35" s="27"/>
      <c r="L35" s="27"/>
      <c r="M35" s="27"/>
      <c r="N35" s="27"/>
      <c r="O35" s="305">
        <v>8</v>
      </c>
      <c r="P35" s="699"/>
      <c r="Q35" s="700" t="str">
        <f t="shared" si="0"/>
        <v/>
      </c>
      <c r="R35" s="700" t="str">
        <f t="shared" si="2"/>
        <v/>
      </c>
      <c r="S35" s="701" t="str">
        <f t="shared" si="1"/>
        <v/>
      </c>
      <c r="T35" s="136">
        <v>5.1936666666666671</v>
      </c>
      <c r="U35" s="136">
        <v>5.1517551550681988</v>
      </c>
      <c r="V35" s="136">
        <v>1.3859080995444641</v>
      </c>
      <c r="W35" s="136">
        <v>2.0668037629672852E-2</v>
      </c>
    </row>
    <row r="36" spans="1:23" ht="15" customHeight="1">
      <c r="A36" s="6"/>
      <c r="B36" s="6"/>
      <c r="C36" s="136"/>
      <c r="D36" s="136"/>
      <c r="E36" s="27"/>
      <c r="F36" s="27"/>
      <c r="G36" s="27"/>
      <c r="H36" s="27"/>
      <c r="I36" s="27"/>
      <c r="J36" s="27"/>
      <c r="K36" s="27"/>
      <c r="L36" s="27"/>
      <c r="M36" s="27"/>
      <c r="N36" s="27"/>
      <c r="O36" s="305">
        <v>9</v>
      </c>
      <c r="P36" s="699"/>
      <c r="Q36" s="700" t="str">
        <f t="shared" si="0"/>
        <v/>
      </c>
      <c r="R36" s="700" t="str">
        <f t="shared" si="2"/>
        <v/>
      </c>
      <c r="S36" s="701" t="str">
        <f t="shared" si="1"/>
        <v/>
      </c>
      <c r="T36" s="136">
        <v>5.29</v>
      </c>
      <c r="U36" s="136">
        <v>5.2851966888221309</v>
      </c>
      <c r="V36" s="136">
        <v>1.3818093723920901</v>
      </c>
      <c r="W36" s="136">
        <v>-6.3131550010765702E-2</v>
      </c>
    </row>
    <row r="37" spans="1:23" ht="15" customHeight="1" thickBot="1">
      <c r="A37" s="6"/>
      <c r="B37" s="6"/>
      <c r="C37" s="136"/>
      <c r="D37" s="136"/>
      <c r="E37" s="27"/>
      <c r="F37" s="27"/>
      <c r="G37" s="27"/>
      <c r="H37" s="27"/>
      <c r="I37" s="27"/>
      <c r="J37" s="27"/>
      <c r="K37" s="27"/>
      <c r="L37" s="27"/>
      <c r="M37" s="27"/>
      <c r="N37" s="27"/>
      <c r="O37" s="670">
        <v>10</v>
      </c>
      <c r="P37" s="702"/>
      <c r="Q37" s="703" t="str">
        <f t="shared" si="0"/>
        <v/>
      </c>
      <c r="R37" s="703" t="str">
        <f t="shared" si="2"/>
        <v/>
      </c>
      <c r="S37" s="704" t="str">
        <f t="shared" si="1"/>
        <v/>
      </c>
      <c r="T37" s="136">
        <v>5.386333333333333</v>
      </c>
      <c r="U37" s="136">
        <v>5.4173033147619511</v>
      </c>
      <c r="V37" s="136">
        <v>1.3558888596339935</v>
      </c>
      <c r="W37" s="136">
        <v>-0.21260760420360159</v>
      </c>
    </row>
    <row r="38" spans="1:23" ht="15" customHeight="1" thickTop="1">
      <c r="A38" s="6"/>
      <c r="B38" s="6"/>
      <c r="C38" s="136"/>
      <c r="D38" s="136"/>
      <c r="E38" s="27"/>
      <c r="F38" s="27"/>
      <c r="G38" s="27"/>
      <c r="H38" s="27"/>
      <c r="I38" s="27"/>
      <c r="J38" s="27"/>
      <c r="K38" s="27"/>
      <c r="L38" s="27"/>
      <c r="M38" s="27"/>
      <c r="N38" s="27"/>
      <c r="O38" s="373" t="s">
        <v>664</v>
      </c>
      <c r="P38" s="373"/>
      <c r="Q38" s="373"/>
      <c r="R38" s="373"/>
      <c r="S38" s="373"/>
      <c r="T38" s="136">
        <v>5.4826666666666668</v>
      </c>
      <c r="U38" s="136">
        <v>5.5456706332884274</v>
      </c>
      <c r="V38" s="136">
        <v>1.3072994883531743</v>
      </c>
      <c r="W38" s="136">
        <v>-0.27882276174516191</v>
      </c>
    </row>
    <row r="39" spans="1:23" ht="15" customHeight="1">
      <c r="A39" s="6"/>
      <c r="B39" s="6"/>
      <c r="C39" s="136"/>
      <c r="D39" s="136"/>
      <c r="E39" s="27"/>
      <c r="F39" s="27"/>
      <c r="G39" s="27"/>
      <c r="H39" s="27"/>
      <c r="I39" s="27"/>
      <c r="J39" s="27"/>
      <c r="K39" s="27"/>
      <c r="L39" s="27"/>
      <c r="M39" s="27"/>
      <c r="N39" s="27"/>
      <c r="O39" s="711" t="s">
        <v>831</v>
      </c>
      <c r="P39" s="373"/>
      <c r="Q39" s="373"/>
      <c r="R39" s="373"/>
      <c r="S39" s="373"/>
      <c r="T39" s="136">
        <v>5.5790000000000006</v>
      </c>
      <c r="U39" s="136">
        <v>5.6688638744326081</v>
      </c>
      <c r="V39" s="136">
        <v>1.2486431517256702</v>
      </c>
      <c r="W39" s="136">
        <v>-0.33001534599757981</v>
      </c>
    </row>
    <row r="40" spans="1:23" ht="15" customHeight="1">
      <c r="A40" s="6"/>
      <c r="B40" s="6"/>
      <c r="C40" s="136"/>
      <c r="D40" s="136"/>
      <c r="E40" s="27"/>
      <c r="F40" s="27"/>
      <c r="G40" s="27"/>
      <c r="H40" s="27"/>
      <c r="I40" s="27"/>
      <c r="J40" s="27"/>
      <c r="K40" s="27"/>
      <c r="L40" s="27"/>
      <c r="M40" s="27"/>
      <c r="N40" s="27"/>
      <c r="O40" s="711" t="s">
        <v>955</v>
      </c>
      <c r="P40" s="373"/>
      <c r="Q40" s="373"/>
      <c r="R40" s="373"/>
      <c r="S40" s="373"/>
      <c r="T40" s="136">
        <v>5.6753333333333336</v>
      </c>
      <c r="U40" s="136">
        <v>5.7859319575431734</v>
      </c>
      <c r="V40" s="136">
        <v>1.180123714505855</v>
      </c>
      <c r="W40" s="136">
        <v>-0.38120797810445162</v>
      </c>
    </row>
    <row r="41" spans="1:23" ht="15" customHeight="1">
      <c r="A41" s="6"/>
      <c r="B41" s="6"/>
      <c r="C41" s="136"/>
      <c r="D41" s="136"/>
      <c r="E41" s="27"/>
      <c r="F41" s="27"/>
      <c r="G41" s="27"/>
      <c r="H41" s="27"/>
      <c r="I41" s="27"/>
      <c r="J41" s="27"/>
      <c r="K41" s="27"/>
      <c r="L41" s="27"/>
      <c r="M41" s="27"/>
      <c r="N41" s="27"/>
      <c r="O41" s="711" t="s">
        <v>956</v>
      </c>
      <c r="P41" s="373"/>
      <c r="Q41" s="373"/>
      <c r="R41" s="373"/>
      <c r="S41" s="373"/>
      <c r="T41" s="136">
        <v>5.7716666666666665</v>
      </c>
      <c r="U41" s="136">
        <v>5.8959251351210193</v>
      </c>
      <c r="V41" s="136">
        <v>1.1018443300918934</v>
      </c>
      <c r="W41" s="136">
        <v>-0.42363138894523228</v>
      </c>
    </row>
    <row r="42" spans="1:23" ht="15" customHeight="1">
      <c r="A42" s="6"/>
      <c r="B42" s="6"/>
      <c r="C42" s="136"/>
      <c r="D42" s="136"/>
      <c r="E42" s="27"/>
      <c r="F42" s="27"/>
      <c r="G42" s="27"/>
      <c r="H42" s="27"/>
      <c r="I42" s="27"/>
      <c r="J42" s="27"/>
      <c r="K42" s="27"/>
      <c r="L42" s="27"/>
      <c r="M42" s="27"/>
      <c r="N42" s="27"/>
      <c r="O42" s="27"/>
      <c r="P42" s="27"/>
      <c r="Q42" s="27"/>
      <c r="R42" s="27"/>
      <c r="S42" s="27"/>
      <c r="T42" s="136">
        <v>5.8680000000000003</v>
      </c>
      <c r="U42" s="136">
        <v>5.9982076840949885</v>
      </c>
      <c r="V42" s="136">
        <v>1.0222704678888428</v>
      </c>
      <c r="W42" s="136">
        <v>-0.40241609448516519</v>
      </c>
    </row>
    <row r="43" spans="1:23" ht="15" customHeight="1">
      <c r="A43" s="6"/>
      <c r="B43" s="6"/>
      <c r="C43" s="136"/>
      <c r="D43" s="136"/>
      <c r="E43" s="27"/>
      <c r="F43" s="27"/>
      <c r="G43" s="27"/>
      <c r="H43" s="27"/>
      <c r="I43" s="27"/>
      <c r="J43" s="27"/>
      <c r="K43" s="27"/>
      <c r="L43" s="27"/>
      <c r="M43" s="27"/>
      <c r="N43" s="27"/>
      <c r="O43" s="27"/>
      <c r="P43" s="373" t="s">
        <v>2</v>
      </c>
      <c r="Q43" s="373"/>
      <c r="R43" s="373"/>
      <c r="S43" s="27"/>
      <c r="T43" s="136">
        <v>5.9643333333333342</v>
      </c>
      <c r="U43" s="136">
        <v>6.0930213006120288</v>
      </c>
      <c r="V43" s="136">
        <v>0.94678407590506419</v>
      </c>
      <c r="W43" s="136">
        <v>-0.38120080002394563</v>
      </c>
    </row>
    <row r="44" spans="1:23" ht="15" customHeight="1">
      <c r="A44" s="6"/>
      <c r="B44" s="6"/>
      <c r="C44" s="136"/>
      <c r="D44" s="136"/>
      <c r="E44" s="27"/>
      <c r="F44" s="27"/>
      <c r="G44" s="27"/>
      <c r="H44" s="27"/>
      <c r="I44" s="27"/>
      <c r="J44" s="27"/>
      <c r="K44" s="27"/>
      <c r="L44" s="27"/>
      <c r="M44" s="27"/>
      <c r="N44" s="27"/>
      <c r="O44" s="27"/>
      <c r="P44" s="373" t="s">
        <v>4</v>
      </c>
      <c r="Q44" s="373"/>
      <c r="R44" s="373"/>
      <c r="S44" s="27"/>
      <c r="T44" s="136">
        <v>6.0606666666666662</v>
      </c>
      <c r="U44" s="136">
        <v>6.1807597443032583</v>
      </c>
      <c r="V44" s="136">
        <v>0.87538515413133777</v>
      </c>
      <c r="W44" s="136">
        <v>-0.35998564912493547</v>
      </c>
    </row>
    <row r="45" spans="1:23" ht="15" customHeight="1">
      <c r="A45" s="6"/>
      <c r="B45" s="6"/>
      <c r="C45" s="136"/>
      <c r="D45" s="136"/>
      <c r="E45" s="27"/>
      <c r="F45" s="27"/>
      <c r="G45" s="27"/>
      <c r="H45" s="27"/>
      <c r="I45" s="27"/>
      <c r="J45" s="27"/>
      <c r="K45" s="27"/>
      <c r="L45" s="27"/>
      <c r="M45" s="27"/>
      <c r="N45" s="27"/>
      <c r="O45" s="27"/>
      <c r="P45" s="373" t="s">
        <v>3</v>
      </c>
      <c r="Q45" s="373"/>
      <c r="R45" s="373"/>
      <c r="S45" s="27"/>
      <c r="T45" s="136">
        <v>6.157</v>
      </c>
      <c r="U45" s="136">
        <v>6.2618167747997973</v>
      </c>
      <c r="V45" s="136">
        <v>0.80807370258610312</v>
      </c>
      <c r="W45" s="136">
        <v>-0.33877035466486838</v>
      </c>
    </row>
    <row r="46" spans="1:23">
      <c r="A46" s="6"/>
      <c r="B46" s="6"/>
      <c r="C46" s="136"/>
      <c r="D46" s="136"/>
      <c r="E46" s="27"/>
      <c r="F46" s="27"/>
      <c r="G46" s="27"/>
      <c r="H46" s="27"/>
      <c r="I46" s="27"/>
      <c r="J46" s="27"/>
      <c r="K46" s="27"/>
      <c r="L46" s="27"/>
      <c r="M46" s="27"/>
      <c r="N46" s="27"/>
      <c r="O46" s="27"/>
      <c r="P46" s="27"/>
      <c r="Q46" s="27"/>
      <c r="R46" s="27"/>
      <c r="S46" s="27"/>
      <c r="T46" s="136">
        <v>6.2533333333333339</v>
      </c>
      <c r="U46" s="136">
        <v>6.3365861517327655</v>
      </c>
      <c r="V46" s="136">
        <v>0.7448497212417009</v>
      </c>
      <c r="W46" s="136">
        <v>-0.31755520376528196</v>
      </c>
    </row>
    <row r="47" spans="1:23">
      <c r="A47" s="6"/>
      <c r="B47" s="6"/>
      <c r="C47" s="136"/>
      <c r="D47" s="136"/>
      <c r="E47" s="27"/>
      <c r="F47" s="27"/>
      <c r="G47" s="27"/>
      <c r="H47" s="27"/>
      <c r="I47" s="27"/>
      <c r="J47" s="27"/>
      <c r="K47" s="27"/>
      <c r="L47" s="27"/>
      <c r="M47" s="27"/>
      <c r="N47" s="27"/>
      <c r="O47" s="27"/>
      <c r="P47" s="27"/>
      <c r="Q47" s="27"/>
      <c r="R47" s="27"/>
      <c r="S47" s="27"/>
      <c r="T47" s="136">
        <v>6.3496666666666668</v>
      </c>
      <c r="U47" s="136">
        <v>6.40546163473328</v>
      </c>
      <c r="V47" s="136">
        <v>0.6857132101350103</v>
      </c>
      <c r="W47" s="136">
        <v>-0.29633990930463866</v>
      </c>
    </row>
    <row r="48" spans="1:23">
      <c r="A48" s="6"/>
      <c r="B48" s="6"/>
      <c r="C48" s="136"/>
      <c r="D48" s="136"/>
      <c r="E48" s="27"/>
      <c r="F48" s="27"/>
      <c r="G48" s="27"/>
      <c r="H48" s="163"/>
      <c r="I48" s="163"/>
      <c r="J48" s="163"/>
      <c r="K48" s="27"/>
      <c r="L48" s="27"/>
      <c r="M48" s="27"/>
      <c r="N48" s="27"/>
      <c r="O48" s="27"/>
      <c r="P48" s="27"/>
      <c r="Q48" s="27"/>
      <c r="R48" s="27"/>
      <c r="S48" s="27"/>
      <c r="T48" s="136">
        <v>6.4459999999999997</v>
      </c>
      <c r="U48" s="136">
        <v>6.4688369834324613</v>
      </c>
      <c r="V48" s="136">
        <v>0.63066416923837176</v>
      </c>
      <c r="W48" s="136">
        <v>-0.27512471055232701</v>
      </c>
    </row>
    <row r="49" spans="1:23">
      <c r="A49" s="6"/>
      <c r="B49" s="6"/>
      <c r="C49" s="136"/>
      <c r="D49" s="136"/>
      <c r="E49" s="27"/>
      <c r="F49" s="27"/>
      <c r="G49" s="27"/>
      <c r="H49" s="27"/>
      <c r="I49" s="27"/>
      <c r="J49" s="27"/>
      <c r="K49" s="27"/>
      <c r="L49" s="27"/>
      <c r="M49" s="27"/>
      <c r="N49" s="27"/>
      <c r="O49" s="27"/>
      <c r="P49" s="27"/>
      <c r="Q49" s="27"/>
      <c r="R49" s="27"/>
      <c r="S49" s="27"/>
      <c r="T49" s="136">
        <v>6.5423333333333336</v>
      </c>
      <c r="U49" s="136">
        <v>6.5271059858421632</v>
      </c>
      <c r="V49" s="136">
        <v>0.57970955605902019</v>
      </c>
      <c r="W49" s="136">
        <v>-0.25334962154647844</v>
      </c>
    </row>
    <row r="50" spans="1:23">
      <c r="A50" s="6"/>
      <c r="B50" s="6"/>
      <c r="C50" s="136"/>
      <c r="D50" s="136"/>
      <c r="E50" s="27"/>
      <c r="F50" s="27"/>
      <c r="G50" s="27"/>
      <c r="H50" s="27"/>
      <c r="I50" s="27"/>
      <c r="J50" s="27"/>
      <c r="K50" s="27"/>
      <c r="L50" s="27"/>
      <c r="M50" s="27"/>
      <c r="N50" s="27"/>
      <c r="O50" s="27"/>
      <c r="P50" s="27"/>
      <c r="Q50" s="27"/>
      <c r="R50" s="27"/>
      <c r="S50" s="27"/>
      <c r="T50" s="136">
        <v>6.6386666666666674</v>
      </c>
      <c r="U50" s="136">
        <v>6.580681728494735</v>
      </c>
      <c r="V50" s="136">
        <v>0.53336488866117848</v>
      </c>
      <c r="W50" s="136">
        <v>-0.22776239772808121</v>
      </c>
    </row>
    <row r="51" spans="1:23">
      <c r="A51" s="6"/>
      <c r="B51" s="6"/>
      <c r="C51" s="136"/>
      <c r="D51" s="136"/>
      <c r="E51" s="27"/>
      <c r="F51" s="27"/>
      <c r="G51" s="27"/>
      <c r="H51" s="27"/>
      <c r="I51" s="27"/>
      <c r="J51" s="27"/>
      <c r="K51" s="27"/>
      <c r="L51" s="27"/>
      <c r="M51" s="27"/>
      <c r="N51" s="27"/>
      <c r="O51" s="27"/>
      <c r="P51" s="27"/>
      <c r="Q51" s="27"/>
      <c r="R51" s="27"/>
      <c r="S51" s="27"/>
      <c r="T51" s="136">
        <v>6.7349999999999994</v>
      </c>
      <c r="U51" s="136">
        <v>6.630030149855008</v>
      </c>
      <c r="V51" s="136">
        <v>0.49195002996300585</v>
      </c>
      <c r="W51" s="136">
        <v>-0.2021752217635617</v>
      </c>
    </row>
    <row r="52" spans="1:23">
      <c r="A52" s="6"/>
      <c r="B52" s="6"/>
      <c r="C52" s="136"/>
      <c r="D52" s="136"/>
      <c r="E52" s="27"/>
      <c r="F52" s="27"/>
      <c r="G52" s="27"/>
      <c r="H52" s="27"/>
      <c r="I52" s="27"/>
      <c r="J52" s="27"/>
      <c r="K52" s="27"/>
      <c r="L52" s="27"/>
      <c r="M52" s="27"/>
      <c r="N52" s="27"/>
      <c r="O52" s="27"/>
      <c r="P52" s="27"/>
      <c r="Q52" s="27"/>
      <c r="R52" s="27"/>
      <c r="S52" s="27"/>
      <c r="T52" s="136">
        <v>6.8313333333333333</v>
      </c>
      <c r="U52" s="136">
        <v>6.6756261548284295</v>
      </c>
      <c r="V52" s="136">
        <v>0.45546497998294194</v>
      </c>
      <c r="W52" s="136">
        <v>-0.17658799794516447</v>
      </c>
    </row>
    <row r="53" spans="1:23">
      <c r="A53" s="6"/>
      <c r="B53" s="6"/>
      <c r="C53" s="136"/>
      <c r="D53" s="136"/>
      <c r="E53" s="27"/>
      <c r="F53" s="27"/>
      <c r="G53" s="27"/>
      <c r="H53" s="27"/>
      <c r="I53" s="27"/>
      <c r="J53" s="27"/>
      <c r="K53" s="27"/>
      <c r="L53" s="27"/>
      <c r="M53" s="27"/>
      <c r="N53" s="27"/>
      <c r="O53" s="27"/>
      <c r="P53" s="27"/>
      <c r="Q53" s="27"/>
      <c r="R53" s="27"/>
      <c r="S53" s="27"/>
      <c r="T53" s="136">
        <v>6.9276666666666671</v>
      </c>
      <c r="U53" s="136">
        <v>6.7179446483204455</v>
      </c>
      <c r="V53" s="136">
        <v>0.42390973871176696</v>
      </c>
      <c r="W53" s="136">
        <v>-0.15100067841872367</v>
      </c>
    </row>
    <row r="54" spans="1:23">
      <c r="A54" s="6"/>
      <c r="B54" s="6"/>
      <c r="C54" s="136"/>
      <c r="D54" s="136"/>
      <c r="E54" s="27"/>
      <c r="F54" s="27"/>
      <c r="G54" s="27"/>
      <c r="H54" s="27"/>
      <c r="I54" s="27"/>
      <c r="J54" s="27"/>
      <c r="K54" s="27"/>
      <c r="L54" s="27"/>
      <c r="M54" s="27"/>
      <c r="N54" s="27"/>
      <c r="O54" s="27"/>
      <c r="P54" s="27"/>
      <c r="Q54" s="27"/>
      <c r="R54" s="27"/>
      <c r="S54" s="27"/>
      <c r="T54" s="136">
        <v>7.0240000000000009</v>
      </c>
      <c r="U54" s="136">
        <v>6.7574605352365031</v>
      </c>
      <c r="V54" s="136">
        <v>0.397284306140261</v>
      </c>
      <c r="W54" s="136">
        <v>-0.12541345460032643</v>
      </c>
    </row>
    <row r="55" spans="1:23">
      <c r="A55" s="6"/>
      <c r="B55" s="6"/>
      <c r="C55" s="136"/>
      <c r="D55" s="136"/>
      <c r="E55" s="27"/>
      <c r="F55" s="27"/>
      <c r="G55" s="27"/>
      <c r="H55" s="27"/>
      <c r="I55" s="27"/>
      <c r="J55" s="27"/>
      <c r="K55" s="27"/>
      <c r="L55" s="27"/>
      <c r="M55" s="27"/>
      <c r="N55" s="27"/>
      <c r="O55" s="27"/>
      <c r="P55" s="27"/>
      <c r="Q55" s="27"/>
      <c r="R55" s="27"/>
      <c r="S55" s="27"/>
      <c r="T55" s="136">
        <v>7.120333333333333</v>
      </c>
      <c r="U55" s="136">
        <v>6.7946487204820478</v>
      </c>
      <c r="V55" s="136">
        <v>0.37558868228686382</v>
      </c>
      <c r="W55" s="136">
        <v>-9.9826182927763379E-2</v>
      </c>
    </row>
    <row r="56" spans="1:23">
      <c r="A56" s="6"/>
      <c r="B56" s="6"/>
      <c r="C56" s="136"/>
      <c r="D56" s="136"/>
      <c r="E56" s="27"/>
      <c r="F56" s="27"/>
      <c r="G56" s="27"/>
      <c r="H56" s="27"/>
      <c r="I56" s="27"/>
      <c r="J56" s="27"/>
      <c r="K56" s="27"/>
      <c r="L56" s="27"/>
      <c r="M56" s="27"/>
      <c r="N56" s="27"/>
      <c r="O56" s="27"/>
      <c r="P56" s="27"/>
      <c r="Q56" s="27"/>
      <c r="R56" s="27"/>
      <c r="S56" s="27"/>
      <c r="T56" s="136">
        <v>7.2166666666666668</v>
      </c>
      <c r="U56" s="136">
        <v>6.8299841089625284</v>
      </c>
      <c r="V56" s="136">
        <v>0.35882286712391581</v>
      </c>
      <c r="W56" s="136">
        <v>-7.4238959109078032E-2</v>
      </c>
    </row>
    <row r="57" spans="1:23">
      <c r="A57" s="6"/>
      <c r="B57" s="6"/>
      <c r="C57" s="136"/>
      <c r="D57" s="136"/>
      <c r="E57" s="27"/>
      <c r="F57" s="27"/>
      <c r="G57" s="27"/>
      <c r="H57" s="27"/>
      <c r="I57" s="27"/>
      <c r="J57" s="27"/>
      <c r="K57" s="27"/>
      <c r="L57" s="27"/>
      <c r="M57" s="27"/>
      <c r="N57" s="27"/>
      <c r="O57" s="27"/>
      <c r="P57" s="27"/>
      <c r="Q57" s="27"/>
      <c r="R57" s="27"/>
      <c r="S57" s="27"/>
      <c r="T57" s="136">
        <v>7.3130000000000006</v>
      </c>
      <c r="U57" s="136">
        <v>6.8639416055833902</v>
      </c>
      <c r="V57" s="136">
        <v>0.34698686067907658</v>
      </c>
      <c r="W57" s="136">
        <v>-4.8651687436803079E-2</v>
      </c>
    </row>
    <row r="58" spans="1:23">
      <c r="A58" s="6"/>
      <c r="B58" s="6"/>
      <c r="C58" s="136"/>
      <c r="D58" s="136"/>
      <c r="E58" s="27"/>
      <c r="F58" s="27"/>
      <c r="G58" s="27"/>
      <c r="H58" s="27"/>
      <c r="I58" s="27"/>
      <c r="J58" s="27"/>
      <c r="K58" s="27"/>
      <c r="L58" s="27"/>
      <c r="M58" s="27"/>
      <c r="N58" s="27"/>
      <c r="O58" s="27"/>
      <c r="P58" s="27"/>
      <c r="Q58" s="27"/>
      <c r="R58" s="27"/>
      <c r="S58" s="27"/>
      <c r="T58" s="136">
        <v>7.4093333333333344</v>
      </c>
      <c r="U58" s="136">
        <v>6.8969961152500803</v>
      </c>
      <c r="V58" s="136">
        <v>0.34008066294312617</v>
      </c>
      <c r="W58" s="136">
        <v>-2.3064463618405848E-2</v>
      </c>
    </row>
    <row r="59" spans="1:23">
      <c r="A59" s="6"/>
      <c r="B59" s="6"/>
      <c r="C59" s="136"/>
      <c r="D59" s="136"/>
      <c r="E59" s="27"/>
      <c r="F59" s="27"/>
      <c r="G59" s="27"/>
      <c r="H59" s="27"/>
      <c r="I59" s="27"/>
      <c r="J59" s="27"/>
      <c r="K59" s="27"/>
      <c r="L59" s="27"/>
      <c r="M59" s="27"/>
      <c r="N59" s="27"/>
      <c r="O59" s="27"/>
      <c r="P59" s="27"/>
      <c r="Q59" s="27"/>
      <c r="R59" s="27"/>
      <c r="S59" s="27"/>
      <c r="T59" s="136">
        <v>7.5056666666666665</v>
      </c>
      <c r="U59" s="136">
        <v>6.929622542868044</v>
      </c>
      <c r="V59" s="136">
        <v>0.33810427390684489</v>
      </c>
      <c r="W59" s="136">
        <v>2.5228080541572235E-3</v>
      </c>
    </row>
    <row r="60" spans="1:23">
      <c r="A60" s="6"/>
      <c r="B60" s="6"/>
      <c r="C60" s="136"/>
      <c r="D60" s="136"/>
      <c r="E60" s="27"/>
      <c r="F60" s="27"/>
      <c r="G60" s="27"/>
      <c r="H60" s="27"/>
      <c r="I60" s="27"/>
      <c r="J60" s="27"/>
      <c r="K60" s="27"/>
      <c r="L60" s="27"/>
      <c r="M60" s="27"/>
      <c r="N60" s="27"/>
      <c r="O60" s="27"/>
      <c r="P60" s="27"/>
      <c r="Q60" s="27"/>
      <c r="R60" s="27"/>
      <c r="S60" s="27"/>
      <c r="T60" s="136">
        <v>7.6020000000000003</v>
      </c>
      <c r="U60" s="136">
        <v>6.9622842694334466</v>
      </c>
      <c r="V60" s="136">
        <v>0.34039162023764197</v>
      </c>
      <c r="W60" s="136">
        <v>1.5324626901656643E-2</v>
      </c>
    </row>
    <row r="61" spans="1:23">
      <c r="A61" s="6"/>
      <c r="B61" s="6"/>
      <c r="C61" s="136"/>
      <c r="D61" s="136"/>
      <c r="E61" s="27"/>
      <c r="F61" s="27"/>
      <c r="G61" s="27"/>
      <c r="H61" s="27"/>
      <c r="I61" s="27"/>
      <c r="J61" s="27"/>
      <c r="K61" s="27"/>
      <c r="L61" s="27"/>
      <c r="M61" s="27"/>
      <c r="N61" s="27"/>
      <c r="O61" s="27"/>
      <c r="P61" s="27"/>
      <c r="Q61" s="27"/>
      <c r="R61" s="27"/>
      <c r="S61" s="27"/>
      <c r="T61" s="136">
        <v>7.6983333333333341</v>
      </c>
      <c r="U61" s="136">
        <v>6.995223282492387</v>
      </c>
      <c r="V61" s="136">
        <v>0.34352751615428379</v>
      </c>
      <c r="W61" s="136">
        <v>1.7226052482944308E-2</v>
      </c>
    </row>
    <row r="62" spans="1:23">
      <c r="A62" s="6"/>
      <c r="B62" s="6"/>
      <c r="C62" s="136"/>
      <c r="D62" s="136"/>
      <c r="E62" s="27"/>
      <c r="F62" s="27"/>
      <c r="G62" s="27"/>
      <c r="H62" s="27"/>
      <c r="I62" s="27"/>
      <c r="J62" s="27"/>
      <c r="K62" s="27"/>
      <c r="L62" s="27"/>
      <c r="M62" s="27"/>
      <c r="N62" s="27"/>
      <c r="O62" s="27"/>
      <c r="P62" s="27"/>
      <c r="Q62" s="27"/>
      <c r="R62" s="27"/>
      <c r="S62" s="27"/>
      <c r="T62" s="136">
        <v>7.7946666666666662</v>
      </c>
      <c r="U62" s="136">
        <v>7.0284820150195442</v>
      </c>
      <c r="V62" s="136">
        <v>0.34702976100596611</v>
      </c>
      <c r="W62" s="136">
        <v>1.9127478064520094E-2</v>
      </c>
    </row>
    <row r="63" spans="1:23">
      <c r="A63" s="6"/>
      <c r="B63" s="6"/>
      <c r="C63" s="136"/>
      <c r="D63" s="136"/>
      <c r="E63" s="27"/>
      <c r="F63" s="27"/>
      <c r="G63" s="27"/>
      <c r="H63" s="27"/>
      <c r="I63" s="27"/>
      <c r="J63" s="27"/>
      <c r="K63" s="27"/>
      <c r="L63" s="27"/>
      <c r="M63" s="27"/>
      <c r="N63" s="27"/>
      <c r="O63" s="27"/>
      <c r="P63" s="27"/>
      <c r="Q63" s="27"/>
      <c r="R63" s="27"/>
      <c r="S63" s="27"/>
      <c r="T63" s="136">
        <v>7.891</v>
      </c>
      <c r="U63" s="136">
        <v>7.06209575862907</v>
      </c>
      <c r="V63" s="136">
        <v>0.35089835480190862</v>
      </c>
      <c r="W63" s="136">
        <v>2.1028999353275086E-2</v>
      </c>
    </row>
    <row r="64" spans="1:23">
      <c r="A64" s="6"/>
      <c r="B64" s="6"/>
      <c r="C64" s="136"/>
      <c r="D64" s="136"/>
      <c r="E64" s="27"/>
      <c r="F64" s="27"/>
      <c r="G64" s="27"/>
      <c r="H64" s="27"/>
      <c r="I64" s="27"/>
      <c r="J64" s="27"/>
      <c r="K64" s="27"/>
      <c r="L64" s="27"/>
      <c r="M64" s="27"/>
      <c r="N64" s="27"/>
      <c r="O64" s="27"/>
      <c r="P64" s="27"/>
      <c r="Q64" s="27"/>
      <c r="R64" s="27"/>
      <c r="S64" s="27"/>
      <c r="T64" s="136">
        <v>7.9873333333333338</v>
      </c>
      <c r="U64" s="136">
        <v>7.0960998049351183</v>
      </c>
      <c r="V64" s="136">
        <v>0.35513329753289163</v>
      </c>
      <c r="W64" s="136">
        <v>2.2930472788728597E-2</v>
      </c>
    </row>
    <row r="65" spans="1:23">
      <c r="A65" s="6"/>
      <c r="B65" s="6"/>
      <c r="C65" s="136"/>
      <c r="D65" s="136"/>
      <c r="E65" s="27"/>
      <c r="F65" s="27"/>
      <c r="G65" s="27"/>
      <c r="H65" s="27"/>
      <c r="I65" s="27"/>
      <c r="J65" s="27"/>
      <c r="K65" s="27"/>
      <c r="L65" s="27"/>
      <c r="M65" s="27"/>
      <c r="N65" s="27"/>
      <c r="O65" s="27"/>
      <c r="P65" s="27"/>
      <c r="Q65" s="27"/>
      <c r="R65" s="27"/>
      <c r="S65" s="27"/>
      <c r="T65" s="136">
        <v>8.0836666666666677</v>
      </c>
      <c r="U65" s="136">
        <v>7.13052944555184</v>
      </c>
      <c r="V65" s="136">
        <v>0.35973458919891499</v>
      </c>
      <c r="W65" s="136">
        <v>2.4831946223605864E-2</v>
      </c>
    </row>
    <row r="66" spans="1:23">
      <c r="A66" s="6"/>
      <c r="B66" s="6"/>
      <c r="C66" s="136"/>
      <c r="D66" s="136"/>
      <c r="E66" s="27"/>
      <c r="F66" s="27"/>
      <c r="G66" s="27"/>
      <c r="H66" s="27"/>
      <c r="I66" s="27"/>
      <c r="J66" s="27"/>
      <c r="K66" s="27"/>
      <c r="L66" s="27"/>
      <c r="M66" s="27"/>
      <c r="N66" s="27"/>
      <c r="O66" s="27"/>
      <c r="P66" s="27"/>
      <c r="Q66" s="27"/>
      <c r="R66" s="27"/>
      <c r="S66" s="27"/>
      <c r="T66" s="136">
        <v>8.18</v>
      </c>
      <c r="U66" s="136">
        <v>7.165419972093388</v>
      </c>
      <c r="V66" s="136">
        <v>0.36470222979997885</v>
      </c>
      <c r="W66" s="136">
        <v>2.6733419659059374E-2</v>
      </c>
    </row>
    <row r="67" spans="1:23">
      <c r="A67" s="6"/>
      <c r="B67" s="6"/>
      <c r="C67" s="136"/>
      <c r="D67" s="136"/>
      <c r="E67" s="27"/>
      <c r="F67" s="27"/>
      <c r="G67" s="27"/>
      <c r="H67" s="27"/>
      <c r="I67" s="27"/>
      <c r="J67" s="27"/>
      <c r="K67" s="27"/>
      <c r="L67" s="27"/>
      <c r="M67" s="27"/>
      <c r="N67" s="27"/>
      <c r="O67" s="27"/>
      <c r="P67" s="27"/>
      <c r="Q67" s="27"/>
      <c r="R67" s="27"/>
      <c r="S67" s="27"/>
      <c r="T67" s="136">
        <v>8.2763333333333335</v>
      </c>
      <c r="U67" s="136">
        <v>7.200806676173916</v>
      </c>
      <c r="V67" s="136">
        <v>0.37003621932686326</v>
      </c>
      <c r="W67" s="136">
        <v>2.863484524034704E-2</v>
      </c>
    </row>
    <row r="68" spans="1:23">
      <c r="A68" s="6"/>
      <c r="B68" s="6"/>
      <c r="C68" s="136"/>
      <c r="D68" s="136"/>
      <c r="E68" s="27"/>
      <c r="F68" s="27"/>
      <c r="G68" s="27"/>
      <c r="H68" s="27"/>
      <c r="I68" s="27"/>
      <c r="J68" s="27"/>
      <c r="K68" s="27"/>
      <c r="L68" s="27"/>
      <c r="M68" s="27"/>
      <c r="N68" s="27"/>
      <c r="O68" s="27"/>
      <c r="P68" s="27"/>
      <c r="Q68" s="27"/>
      <c r="R68" s="27"/>
      <c r="S68" s="27"/>
      <c r="T68" s="136">
        <v>8.3726666666666674</v>
      </c>
      <c r="U68" s="136">
        <v>7.2367248494075742</v>
      </c>
      <c r="V68" s="136">
        <v>0.37573655780722776</v>
      </c>
      <c r="W68" s="136">
        <v>3.0536366529390152E-2</v>
      </c>
    </row>
    <row r="69" spans="1:23">
      <c r="A69" s="6"/>
      <c r="B69" s="6"/>
      <c r="C69" s="136"/>
      <c r="D69" s="136"/>
      <c r="E69" s="27"/>
      <c r="F69" s="27"/>
      <c r="G69" s="27"/>
      <c r="H69" s="27"/>
      <c r="I69" s="27"/>
      <c r="J69" s="27"/>
      <c r="K69" s="27"/>
      <c r="L69" s="27"/>
      <c r="M69" s="27"/>
      <c r="N69" s="27"/>
      <c r="O69" s="27"/>
      <c r="P69" s="27"/>
      <c r="Q69" s="27"/>
      <c r="R69" s="27"/>
      <c r="S69" s="27"/>
      <c r="T69" s="136">
        <v>8.4690000000000012</v>
      </c>
      <c r="U69" s="136">
        <v>7.2732097834085172</v>
      </c>
      <c r="V69" s="136">
        <v>0.38180324520419301</v>
      </c>
      <c r="W69" s="136">
        <v>3.2437792110677821E-2</v>
      </c>
    </row>
    <row r="70" spans="1:23">
      <c r="A70" s="6"/>
      <c r="B70" s="6"/>
      <c r="C70" s="136"/>
      <c r="D70" s="136"/>
      <c r="E70" s="27"/>
      <c r="F70" s="27"/>
      <c r="G70" s="27"/>
      <c r="H70" s="27"/>
      <c r="I70" s="27"/>
      <c r="J70" s="27"/>
      <c r="K70" s="27"/>
      <c r="L70" s="27"/>
      <c r="M70" s="27"/>
      <c r="N70" s="27"/>
      <c r="O70" s="27"/>
      <c r="P70" s="27"/>
      <c r="Q70" s="27"/>
      <c r="R70" s="27"/>
      <c r="S70" s="27"/>
      <c r="T70" s="136">
        <v>8.5653333333333332</v>
      </c>
      <c r="U70" s="136">
        <v>7.3102967697908952</v>
      </c>
      <c r="V70" s="136">
        <v>0.38823628154541856</v>
      </c>
      <c r="W70" s="136">
        <v>3.4339217691965483E-2</v>
      </c>
    </row>
    <row r="71" spans="1:23">
      <c r="A71" s="6"/>
      <c r="B71" s="6"/>
      <c r="C71" s="136"/>
      <c r="D71" s="136"/>
      <c r="E71" s="27"/>
      <c r="F71" s="27"/>
      <c r="G71" s="27"/>
      <c r="H71" s="27"/>
      <c r="I71" s="27"/>
      <c r="J71" s="27"/>
      <c r="K71" s="27"/>
      <c r="L71" s="27"/>
      <c r="M71" s="27"/>
      <c r="N71" s="27"/>
      <c r="O71" s="27"/>
      <c r="P71" s="27"/>
      <c r="Q71" s="27"/>
      <c r="R71" s="27"/>
      <c r="S71" s="27"/>
      <c r="T71" s="136">
        <v>8.6616666666666671</v>
      </c>
      <c r="U71" s="136">
        <v>7.3480211001688618</v>
      </c>
      <c r="V71" s="136">
        <v>0.39503566683090435</v>
      </c>
      <c r="W71" s="136">
        <v>3.6240738981008595E-2</v>
      </c>
    </row>
    <row r="72" spans="1:23">
      <c r="A72" s="6"/>
      <c r="B72" s="6"/>
      <c r="C72" s="136"/>
      <c r="D72" s="136"/>
      <c r="E72" s="27"/>
      <c r="F72" s="27"/>
      <c r="G72" s="27"/>
      <c r="H72" s="27"/>
      <c r="I72" s="27"/>
      <c r="J72" s="27"/>
      <c r="K72" s="27"/>
      <c r="L72" s="27"/>
      <c r="M72" s="27"/>
      <c r="N72" s="27"/>
      <c r="O72" s="27"/>
      <c r="P72" s="27"/>
      <c r="Q72" s="27"/>
      <c r="R72" s="27"/>
      <c r="S72" s="27"/>
      <c r="T72" s="136">
        <v>8.7580000000000009</v>
      </c>
      <c r="U72" s="136">
        <v>7.3864180661565699</v>
      </c>
      <c r="V72" s="136">
        <v>0.4022014010329909</v>
      </c>
      <c r="W72" s="136">
        <v>3.814211670870666E-2</v>
      </c>
    </row>
    <row r="73" spans="1:23">
      <c r="A73" s="6"/>
      <c r="B73" s="6"/>
      <c r="C73" s="136"/>
      <c r="D73" s="136"/>
      <c r="E73" s="27"/>
      <c r="F73" s="27"/>
      <c r="G73" s="27"/>
      <c r="H73" s="27"/>
      <c r="I73" s="27"/>
      <c r="J73" s="27"/>
      <c r="K73" s="27"/>
      <c r="L73" s="27"/>
      <c r="M73" s="27"/>
      <c r="N73" s="27"/>
      <c r="O73" s="27"/>
      <c r="P73" s="27"/>
      <c r="Q73" s="27"/>
      <c r="R73" s="27"/>
      <c r="S73" s="27"/>
      <c r="T73" s="136">
        <v>8.8543333333333329</v>
      </c>
      <c r="U73" s="136">
        <v>7.4255229593681698</v>
      </c>
      <c r="V73" s="136">
        <v>0.40973348418855754</v>
      </c>
      <c r="W73" s="136">
        <v>4.0043637997461655E-2</v>
      </c>
    </row>
    <row r="74" spans="1:23">
      <c r="A74" s="6"/>
      <c r="B74" s="6"/>
      <c r="C74" s="136"/>
      <c r="D74" s="136"/>
      <c r="E74" s="27"/>
      <c r="F74" s="27"/>
      <c r="G74" s="27"/>
      <c r="H74" s="27"/>
      <c r="I74" s="27"/>
      <c r="J74" s="27"/>
      <c r="K74" s="27"/>
      <c r="L74" s="27"/>
      <c r="M74" s="27"/>
      <c r="N74" s="27"/>
      <c r="O74" s="27"/>
      <c r="P74" s="27"/>
      <c r="Q74" s="27"/>
      <c r="R74" s="27"/>
      <c r="S74" s="27"/>
      <c r="T74" s="136">
        <v>8.9506666666666668</v>
      </c>
      <c r="U74" s="136">
        <v>7.4653710714178168</v>
      </c>
      <c r="V74" s="136">
        <v>0.41763191627916463</v>
      </c>
      <c r="W74" s="136">
        <v>4.1945111432915162E-2</v>
      </c>
    </row>
    <row r="75" spans="1:23">
      <c r="A75" s="6"/>
      <c r="B75" s="6"/>
      <c r="C75" s="136"/>
      <c r="D75" s="136"/>
      <c r="E75" s="27"/>
      <c r="F75" s="27"/>
      <c r="G75" s="27"/>
      <c r="H75" s="27"/>
      <c r="I75" s="27"/>
      <c r="J75" s="27"/>
      <c r="K75" s="27"/>
      <c r="L75" s="27"/>
      <c r="M75" s="27"/>
      <c r="N75" s="27"/>
      <c r="O75" s="27"/>
      <c r="P75" s="27"/>
      <c r="Q75" s="27"/>
      <c r="R75" s="27"/>
      <c r="S75" s="27"/>
      <c r="T75" s="136">
        <v>9.0470000000000006</v>
      </c>
      <c r="U75" s="136">
        <v>7.505997693919662</v>
      </c>
      <c r="V75" s="136">
        <v>0.42589669729559226</v>
      </c>
      <c r="W75" s="136">
        <v>4.3846537013914708E-2</v>
      </c>
    </row>
    <row r="76" spans="1:23">
      <c r="A76" s="6"/>
      <c r="B76" s="6"/>
      <c r="C76" s="136"/>
      <c r="D76" s="136"/>
      <c r="E76" s="27"/>
      <c r="F76" s="27"/>
      <c r="G76" s="27"/>
      <c r="H76" s="27"/>
      <c r="I76" s="27"/>
      <c r="J76" s="27"/>
      <c r="K76" s="27"/>
      <c r="L76" s="27"/>
      <c r="M76" s="27"/>
      <c r="N76" s="27"/>
      <c r="O76" s="27"/>
      <c r="P76" s="27"/>
      <c r="Q76" s="27"/>
      <c r="R76" s="27"/>
      <c r="S76" s="27"/>
      <c r="T76" s="136">
        <v>9.1433333333333344</v>
      </c>
      <c r="U76" s="136">
        <v>7.5474381184878565</v>
      </c>
      <c r="V76" s="136">
        <v>0.4345278272562802</v>
      </c>
      <c r="W76" s="136">
        <v>4.574805830295782E-2</v>
      </c>
    </row>
    <row r="77" spans="1:23">
      <c r="A77" s="6"/>
      <c r="B77" s="6"/>
      <c r="C77" s="136"/>
      <c r="D77" s="136"/>
      <c r="E77" s="27"/>
      <c r="F77" s="27"/>
      <c r="G77" s="27"/>
      <c r="H77" s="27"/>
      <c r="I77" s="27"/>
      <c r="J77" s="27"/>
      <c r="K77" s="27"/>
      <c r="L77" s="27"/>
      <c r="M77" s="27"/>
      <c r="N77" s="27"/>
      <c r="O77" s="27"/>
      <c r="P77" s="27"/>
      <c r="Q77" s="27"/>
      <c r="R77" s="27"/>
      <c r="S77" s="27"/>
      <c r="T77" s="136">
        <v>9.2396666666666665</v>
      </c>
      <c r="U77" s="136">
        <v>7.5897293027353552</v>
      </c>
      <c r="V77" s="136">
        <v>0.44365161230554934</v>
      </c>
      <c r="W77" s="136">
        <v>5.082597577210865E-2</v>
      </c>
    </row>
    <row r="78" spans="1:23">
      <c r="A78" s="6"/>
      <c r="B78" s="6"/>
      <c r="C78" s="136"/>
      <c r="D78" s="136"/>
      <c r="E78" s="27"/>
      <c r="F78" s="27"/>
      <c r="G78" s="27"/>
      <c r="H78" s="27"/>
      <c r="I78" s="27"/>
      <c r="J78" s="27"/>
      <c r="K78" s="27"/>
      <c r="L78" s="27"/>
      <c r="M78" s="27"/>
      <c r="N78" s="27"/>
      <c r="O78" s="27"/>
      <c r="P78" s="27"/>
      <c r="Q78" s="27"/>
      <c r="R78" s="27"/>
      <c r="S78" s="27"/>
      <c r="T78" s="136">
        <v>9.3360000000000003</v>
      </c>
      <c r="U78" s="136">
        <v>7.632968685374462</v>
      </c>
      <c r="V78" s="136">
        <v>0.45437132516456247</v>
      </c>
      <c r="W78" s="136">
        <v>6.0441731958505232E-2</v>
      </c>
    </row>
    <row r="79" spans="1:23">
      <c r="A79" s="6"/>
      <c r="B79" s="6"/>
      <c r="C79" s="136"/>
      <c r="D79" s="136"/>
      <c r="E79" s="27"/>
      <c r="F79" s="27"/>
      <c r="G79" s="27"/>
      <c r="H79" s="27"/>
      <c r="I79" s="27"/>
      <c r="J79" s="27"/>
      <c r="K79" s="27"/>
      <c r="L79" s="27"/>
      <c r="M79" s="27"/>
      <c r="N79" s="27"/>
      <c r="O79" s="27"/>
      <c r="P79" s="27"/>
      <c r="Q79" s="27"/>
      <c r="R79" s="27"/>
      <c r="S79" s="27"/>
      <c r="T79" s="136">
        <v>9.4323333333333341</v>
      </c>
      <c r="U79" s="136">
        <v>7.6773298796341098</v>
      </c>
      <c r="V79" s="136">
        <v>0.46694367159492683</v>
      </c>
      <c r="W79" s="136">
        <v>7.0057440291024092E-2</v>
      </c>
    </row>
    <row r="80" spans="1:23">
      <c r="A80" s="6"/>
      <c r="B80" s="6"/>
      <c r="C80" s="136"/>
      <c r="D80" s="136"/>
      <c r="E80" s="27"/>
      <c r="F80" s="27"/>
      <c r="G80" s="27"/>
      <c r="H80" s="27"/>
      <c r="I80" s="27"/>
      <c r="J80" s="27"/>
      <c r="K80" s="27"/>
      <c r="L80" s="27"/>
      <c r="M80" s="27"/>
      <c r="N80" s="27"/>
      <c r="O80" s="27"/>
      <c r="P80" s="27"/>
      <c r="Q80" s="27"/>
      <c r="R80" s="27"/>
      <c r="S80" s="27"/>
      <c r="T80" s="136">
        <v>9.528666666666668</v>
      </c>
      <c r="U80" s="136">
        <v>7.7229913558825949</v>
      </c>
      <c r="V80" s="136">
        <v>0.4813686516058624</v>
      </c>
      <c r="W80" s="136">
        <v>7.9673148623542939E-2</v>
      </c>
    </row>
    <row r="81" spans="1:23">
      <c r="A81" s="6"/>
      <c r="B81" s="6"/>
      <c r="C81" s="136"/>
      <c r="D81" s="136"/>
      <c r="E81" s="27"/>
      <c r="F81" s="27"/>
      <c r="G81" s="27"/>
      <c r="H81" s="27"/>
      <c r="I81" s="27"/>
      <c r="J81" s="27"/>
      <c r="K81" s="27"/>
      <c r="L81" s="27"/>
      <c r="M81" s="27"/>
      <c r="N81" s="27"/>
      <c r="O81" s="27"/>
      <c r="P81" s="27"/>
      <c r="Q81" s="27"/>
      <c r="R81" s="27"/>
      <c r="S81" s="27"/>
      <c r="T81" s="136">
        <v>9.625</v>
      </c>
      <c r="U81" s="136">
        <v>7.7701315844882126</v>
      </c>
      <c r="V81" s="136">
        <v>0.49764626519736904</v>
      </c>
      <c r="W81" s="136">
        <v>8.9288904809939521E-2</v>
      </c>
    </row>
    <row r="82" spans="1:23">
      <c r="A82" s="6"/>
      <c r="B82" s="6"/>
      <c r="C82" s="136"/>
      <c r="D82" s="136"/>
      <c r="E82" s="27"/>
      <c r="F82" s="27"/>
      <c r="G82" s="27"/>
      <c r="H82" s="27"/>
      <c r="I82" s="27"/>
      <c r="J82" s="27"/>
      <c r="K82" s="27"/>
      <c r="L82" s="27"/>
      <c r="M82" s="27"/>
      <c r="N82" s="27"/>
      <c r="O82" s="27"/>
      <c r="P82" s="27"/>
      <c r="Q82" s="27"/>
      <c r="R82" s="27"/>
      <c r="S82" s="27"/>
      <c r="T82" s="136">
        <v>9.7213333333333338</v>
      </c>
      <c r="U82" s="136">
        <v>7.8189290358192611</v>
      </c>
      <c r="V82" s="136">
        <v>0.51577651238788658</v>
      </c>
      <c r="W82" s="136">
        <v>9.8904708850790057E-2</v>
      </c>
    </row>
    <row r="83" spans="1:23">
      <c r="A83" s="6"/>
      <c r="B83" s="6"/>
      <c r="C83" s="136"/>
      <c r="D83" s="136"/>
      <c r="E83" s="27"/>
      <c r="F83" s="27"/>
      <c r="G83" s="27"/>
      <c r="H83" s="27"/>
      <c r="I83" s="27"/>
      <c r="J83" s="27"/>
      <c r="K83" s="27"/>
      <c r="L83" s="27"/>
      <c r="M83" s="27"/>
      <c r="N83" s="27"/>
      <c r="O83" s="27"/>
      <c r="P83" s="27"/>
      <c r="Q83" s="27"/>
      <c r="R83" s="27"/>
      <c r="S83" s="27"/>
      <c r="T83" s="136">
        <v>9.8176666666666677</v>
      </c>
      <c r="U83" s="136">
        <v>7.8695621802440376</v>
      </c>
      <c r="V83" s="136">
        <v>0.53575939314053544</v>
      </c>
      <c r="W83" s="136">
        <v>0.1085204171830208</v>
      </c>
    </row>
    <row r="84" spans="1:23">
      <c r="A84" s="6"/>
      <c r="B84" s="6"/>
      <c r="C84" s="136"/>
      <c r="D84" s="136"/>
      <c r="E84" s="27"/>
      <c r="F84" s="27"/>
      <c r="G84" s="27"/>
      <c r="H84" s="27"/>
      <c r="I84" s="27"/>
      <c r="J84" s="27"/>
      <c r="K84" s="27"/>
      <c r="L84" s="27"/>
      <c r="M84" s="27"/>
      <c r="N84" s="27"/>
      <c r="O84" s="27"/>
      <c r="P84" s="27"/>
      <c r="Q84" s="27"/>
      <c r="R84" s="27"/>
      <c r="S84" s="27"/>
      <c r="T84" s="136">
        <v>9.9139999999999997</v>
      </c>
      <c r="U84" s="136">
        <v>7.9222094881308367</v>
      </c>
      <c r="V84" s="136">
        <v>0.55759490748297535</v>
      </c>
      <c r="W84" s="136">
        <v>0.1181361733697055</v>
      </c>
    </row>
    <row r="85" spans="1:23">
      <c r="A85" s="6"/>
      <c r="B85" s="6"/>
      <c r="C85" s="136"/>
      <c r="D85" s="136"/>
      <c r="E85" s="27"/>
      <c r="F85" s="27"/>
      <c r="G85" s="27"/>
      <c r="H85" s="27"/>
      <c r="I85" s="27"/>
      <c r="J85" s="27"/>
      <c r="K85" s="27"/>
      <c r="L85" s="27"/>
      <c r="M85" s="27"/>
      <c r="N85" s="27"/>
      <c r="O85" s="27"/>
      <c r="P85" s="27"/>
      <c r="Q85" s="27"/>
      <c r="R85" s="27"/>
      <c r="S85" s="27"/>
      <c r="T85" s="136">
        <v>10.010333333333334</v>
      </c>
      <c r="U85" s="136">
        <v>7.9770494298479564</v>
      </c>
      <c r="V85" s="136">
        <v>0.58128305540598635</v>
      </c>
      <c r="W85" s="136">
        <v>0.12775197740969169</v>
      </c>
    </row>
    <row r="86" spans="1:23">
      <c r="A86" s="6"/>
      <c r="B86" s="6"/>
      <c r="C86" s="136"/>
      <c r="D86" s="136"/>
      <c r="E86" s="27"/>
      <c r="F86" s="27"/>
      <c r="G86" s="27"/>
      <c r="H86" s="27"/>
      <c r="I86" s="27"/>
      <c r="J86" s="27"/>
      <c r="K86" s="27"/>
      <c r="L86" s="27"/>
      <c r="M86" s="27"/>
      <c r="N86" s="27"/>
      <c r="O86" s="27"/>
      <c r="P86" s="27"/>
      <c r="Q86" s="27"/>
      <c r="R86" s="27"/>
      <c r="S86" s="27"/>
      <c r="T86" s="136">
        <v>10.106666666666667</v>
      </c>
      <c r="U86" s="136">
        <v>8.0342604757636948</v>
      </c>
      <c r="V86" s="136">
        <v>0.60682383689112873</v>
      </c>
      <c r="W86" s="136">
        <v>0.13736759003416696</v>
      </c>
    </row>
    <row r="87" spans="1:23">
      <c r="A87" s="6"/>
      <c r="B87" s="6"/>
      <c r="C87" s="136"/>
      <c r="D87" s="136"/>
      <c r="E87" s="27"/>
      <c r="F87" s="27"/>
      <c r="G87" s="27"/>
      <c r="H87" s="27"/>
      <c r="I87" s="27"/>
      <c r="J87" s="27"/>
      <c r="K87" s="27"/>
      <c r="L87" s="27"/>
      <c r="M87" s="27"/>
      <c r="N87" s="27"/>
      <c r="O87" s="27"/>
      <c r="P87" s="27"/>
      <c r="Q87" s="27"/>
      <c r="R87" s="27"/>
      <c r="S87" s="27"/>
      <c r="T87" s="136">
        <v>10.203000000000001</v>
      </c>
      <c r="U87" s="136">
        <v>8.0940210962463439</v>
      </c>
      <c r="V87" s="136">
        <v>0.63421725198450185</v>
      </c>
      <c r="W87" s="136">
        <v>0.14698344192860713</v>
      </c>
    </row>
    <row r="88" spans="1:23">
      <c r="A88" s="6"/>
      <c r="B88" s="6"/>
      <c r="C88" s="136"/>
      <c r="D88" s="136"/>
      <c r="E88" s="27"/>
      <c r="F88" s="27"/>
      <c r="G88" s="27"/>
      <c r="H88" s="27"/>
      <c r="I88" s="27"/>
      <c r="J88" s="27"/>
      <c r="K88" s="27"/>
      <c r="L88" s="27"/>
      <c r="M88" s="27"/>
      <c r="N88" s="27"/>
      <c r="O88" s="27"/>
      <c r="P88" s="27"/>
      <c r="Q88" s="27"/>
      <c r="R88" s="27"/>
      <c r="S88" s="27"/>
      <c r="T88" s="136">
        <v>10.299333333333333</v>
      </c>
      <c r="U88" s="136">
        <v>8.1565097616642053</v>
      </c>
      <c r="V88" s="136">
        <v>0.66346330064922621</v>
      </c>
      <c r="W88" s="136">
        <v>0.15659910240696012</v>
      </c>
    </row>
    <row r="89" spans="1:23">
      <c r="A89" s="6"/>
      <c r="B89" s="6"/>
      <c r="C89" s="136"/>
      <c r="D89" s="136"/>
      <c r="E89" s="27"/>
      <c r="F89" s="27"/>
      <c r="G89" s="27"/>
      <c r="H89" s="27"/>
      <c r="I89" s="27"/>
      <c r="J89" s="27"/>
      <c r="K89" s="27"/>
      <c r="L89" s="27"/>
      <c r="M89" s="27"/>
      <c r="N89" s="27"/>
      <c r="O89" s="27"/>
      <c r="P89" s="27"/>
      <c r="Q89" s="27"/>
      <c r="R89" s="27"/>
      <c r="S89" s="27"/>
      <c r="T89" s="136">
        <v>10.395666666666667</v>
      </c>
      <c r="U89" s="136">
        <v>8.2219049423855726</v>
      </c>
      <c r="V89" s="136">
        <v>0.69456198288530191</v>
      </c>
      <c r="W89" s="136">
        <v>0.16621485859364482</v>
      </c>
    </row>
    <row r="90" spans="1:23">
      <c r="A90" s="6"/>
      <c r="B90" s="6"/>
      <c r="C90" s="136"/>
      <c r="D90" s="136"/>
      <c r="E90" s="27"/>
      <c r="F90" s="27"/>
      <c r="G90" s="27"/>
      <c r="H90" s="27"/>
      <c r="I90" s="27"/>
      <c r="J90" s="27"/>
      <c r="K90" s="27"/>
      <c r="L90" s="27"/>
      <c r="M90" s="27"/>
      <c r="N90" s="27"/>
      <c r="O90" s="27"/>
      <c r="P90" s="27"/>
      <c r="Q90" s="27"/>
      <c r="R90" s="27"/>
      <c r="S90" s="27"/>
      <c r="T90" s="136">
        <v>10.492000000000001</v>
      </c>
      <c r="U90" s="136">
        <v>8.290385108778743</v>
      </c>
      <c r="V90" s="136">
        <v>0.72751329871116854</v>
      </c>
      <c r="W90" s="136">
        <v>0.17583061478032952</v>
      </c>
    </row>
    <row r="91" spans="1:23">
      <c r="A91" s="6"/>
      <c r="B91" s="6"/>
      <c r="C91" s="136"/>
      <c r="D91" s="136"/>
      <c r="E91" s="27"/>
      <c r="F91" s="27"/>
      <c r="G91" s="27"/>
      <c r="H91" s="27"/>
      <c r="I91" s="27"/>
      <c r="J91" s="27"/>
      <c r="K91" s="27"/>
      <c r="L91" s="27"/>
      <c r="M91" s="27"/>
      <c r="N91" s="27"/>
      <c r="O91" s="27"/>
      <c r="P91" s="27"/>
      <c r="Q91" s="27"/>
      <c r="R91" s="27"/>
      <c r="S91" s="27"/>
      <c r="T91" s="136">
        <v>10.588333333333335</v>
      </c>
      <c r="U91" s="136">
        <v>8.3621287312120138</v>
      </c>
      <c r="V91" s="136">
        <v>0.76231724812682611</v>
      </c>
      <c r="W91" s="136">
        <v>0.18544646667419343</v>
      </c>
    </row>
    <row r="92" spans="1:23">
      <c r="A92" s="6"/>
      <c r="B92" s="6"/>
      <c r="C92" s="136"/>
      <c r="D92" s="136"/>
      <c r="E92" s="27"/>
      <c r="F92" s="27"/>
      <c r="G92" s="27"/>
      <c r="H92" s="27"/>
      <c r="I92" s="27"/>
      <c r="J92" s="27"/>
      <c r="K92" s="27"/>
      <c r="L92" s="27"/>
      <c r="M92" s="27"/>
      <c r="N92" s="27"/>
      <c r="O92" s="27"/>
      <c r="P92" s="27"/>
      <c r="Q92" s="27"/>
      <c r="R92" s="27"/>
      <c r="S92" s="27"/>
      <c r="T92" s="136">
        <v>10.684666666666667</v>
      </c>
      <c r="U92" s="136">
        <v>8.4372985398453366</v>
      </c>
      <c r="V92" s="136">
        <v>0.79810851611540257</v>
      </c>
      <c r="W92" s="136">
        <v>0.17926097143592382</v>
      </c>
    </row>
    <row r="93" spans="1:23">
      <c r="A93" s="6"/>
      <c r="B93" s="6"/>
      <c r="C93" s="136"/>
      <c r="D93" s="136"/>
      <c r="E93" s="27"/>
      <c r="F93" s="27"/>
      <c r="G93" s="27"/>
      <c r="H93" s="27"/>
      <c r="I93" s="27"/>
      <c r="J93" s="27"/>
      <c r="K93" s="27"/>
      <c r="L93" s="27"/>
      <c r="M93" s="27"/>
      <c r="N93" s="27"/>
      <c r="O93" s="27"/>
      <c r="P93" s="27"/>
      <c r="Q93" s="27"/>
      <c r="R93" s="27"/>
      <c r="S93" s="27"/>
      <c r="T93" s="136">
        <v>10.781000000000001</v>
      </c>
      <c r="U93" s="136">
        <v>8.5157885042347168</v>
      </c>
      <c r="V93" s="136">
        <v>0.83088835012290474</v>
      </c>
      <c r="W93" s="136">
        <v>0.16103228471609865</v>
      </c>
    </row>
    <row r="94" spans="1:23">
      <c r="A94" s="6"/>
      <c r="B94" s="6"/>
      <c r="C94" s="136"/>
      <c r="D94" s="136"/>
      <c r="E94" s="27"/>
      <c r="F94" s="27"/>
      <c r="G94" s="27"/>
      <c r="H94" s="27"/>
      <c r="I94" s="27"/>
      <c r="J94" s="27"/>
      <c r="K94" s="27"/>
      <c r="L94" s="27"/>
      <c r="M94" s="27"/>
      <c r="N94" s="27"/>
      <c r="O94" s="27"/>
      <c r="P94" s="27"/>
      <c r="Q94" s="27"/>
      <c r="R94" s="27"/>
      <c r="S94" s="27"/>
      <c r="T94" s="136">
        <v>10.877333333333334</v>
      </c>
      <c r="U94" s="136">
        <v>8.5972672629311493</v>
      </c>
      <c r="V94" s="136">
        <v>0.86015609691881023</v>
      </c>
      <c r="W94" s="136">
        <v>0.14280340658018637</v>
      </c>
    </row>
    <row r="95" spans="1:23">
      <c r="A95" s="6"/>
      <c r="B95" s="6"/>
      <c r="C95" s="136"/>
      <c r="D95" s="136"/>
      <c r="E95" s="27"/>
      <c r="F95" s="27"/>
      <c r="G95" s="27"/>
      <c r="H95" s="27"/>
      <c r="I95" s="27"/>
      <c r="J95" s="27"/>
      <c r="K95" s="27"/>
      <c r="L95" s="27"/>
      <c r="M95" s="27"/>
      <c r="N95" s="27"/>
      <c r="O95" s="27"/>
      <c r="P95" s="27"/>
      <c r="Q95" s="27"/>
      <c r="R95" s="27"/>
      <c r="S95" s="27"/>
      <c r="T95" s="136">
        <v>10.973666666666668</v>
      </c>
      <c r="U95" s="136">
        <v>8.681396484867685</v>
      </c>
      <c r="V95" s="136">
        <v>0.88591175652155862</v>
      </c>
      <c r="W95" s="136">
        <v>0.1245746241520295</v>
      </c>
    </row>
    <row r="96" spans="1:23">
      <c r="A96" s="6"/>
      <c r="B96" s="6"/>
      <c r="C96" s="136"/>
      <c r="D96" s="136"/>
      <c r="E96" s="27"/>
      <c r="F96" s="27"/>
      <c r="G96" s="27"/>
      <c r="H96" s="27"/>
      <c r="I96" s="27"/>
      <c r="J96" s="27"/>
      <c r="K96" s="27"/>
      <c r="L96" s="27"/>
      <c r="M96" s="27"/>
      <c r="N96" s="27"/>
      <c r="O96" s="27"/>
      <c r="P96" s="27"/>
      <c r="Q96" s="27"/>
      <c r="R96" s="27"/>
      <c r="S96" s="27"/>
      <c r="T96" s="136">
        <v>11.07</v>
      </c>
      <c r="U96" s="136">
        <v>8.7678378389773819</v>
      </c>
      <c r="V96" s="136">
        <v>0.90815532891271045</v>
      </c>
      <c r="W96" s="136">
        <v>0.10634574601669344</v>
      </c>
    </row>
    <row r="97" spans="1:23">
      <c r="A97" s="6"/>
      <c r="B97" s="6"/>
      <c r="C97" s="136"/>
      <c r="D97" s="136"/>
      <c r="E97" s="27"/>
      <c r="F97" s="27"/>
      <c r="G97" s="27"/>
      <c r="H97" s="27"/>
      <c r="I97" s="27"/>
      <c r="J97" s="27"/>
      <c r="K97" s="27"/>
      <c r="L97" s="27"/>
      <c r="M97" s="27"/>
      <c r="N97" s="27"/>
      <c r="O97" s="27"/>
      <c r="P97" s="27"/>
      <c r="Q97" s="27"/>
      <c r="R97" s="27"/>
      <c r="S97" s="27"/>
      <c r="T97" s="136">
        <v>11.166333333333334</v>
      </c>
      <c r="U97" s="136">
        <v>8.8562375897236159</v>
      </c>
      <c r="V97" s="136">
        <v>0.92618911728075293</v>
      </c>
      <c r="W97" s="136">
        <v>7.7614092401592699E-2</v>
      </c>
    </row>
    <row r="98" spans="1:23">
      <c r="A98" s="6"/>
      <c r="B98" s="6"/>
      <c r="C98" s="136"/>
      <c r="D98" s="136"/>
      <c r="E98" s="27"/>
      <c r="F98" s="27"/>
      <c r="G98" s="27"/>
      <c r="H98" s="27"/>
      <c r="I98" s="27"/>
      <c r="J98" s="27"/>
      <c r="K98" s="27"/>
      <c r="L98" s="27"/>
      <c r="M98" s="27"/>
      <c r="N98" s="27"/>
      <c r="O98" s="27"/>
      <c r="P98" s="27"/>
      <c r="Q98" s="27"/>
      <c r="R98" s="27"/>
      <c r="S98" s="27"/>
      <c r="T98" s="136">
        <v>11.262666666666668</v>
      </c>
      <c r="U98" s="136">
        <v>8.9460764515353244</v>
      </c>
      <c r="V98" s="136">
        <v>0.937914158315721</v>
      </c>
      <c r="W98" s="136">
        <v>4.4132463873669842E-2</v>
      </c>
    </row>
    <row r="99" spans="1:23">
      <c r="A99" s="6"/>
      <c r="B99" s="6"/>
      <c r="C99" s="136"/>
      <c r="D99" s="136"/>
      <c r="E99" s="27"/>
      <c r="F99" s="27"/>
      <c r="G99" s="27"/>
      <c r="H99" s="27"/>
      <c r="I99" s="27"/>
      <c r="J99" s="27"/>
      <c r="K99" s="27"/>
      <c r="L99" s="27"/>
      <c r="M99" s="27"/>
      <c r="N99" s="27"/>
      <c r="O99" s="27"/>
      <c r="P99" s="27"/>
      <c r="Q99" s="27"/>
      <c r="R99" s="27"/>
      <c r="S99" s="27"/>
      <c r="T99" s="136">
        <v>11.359000000000002</v>
      </c>
      <c r="U99" s="136">
        <v>9.0367340697614544</v>
      </c>
      <c r="V99" s="136">
        <v>0.94317040419025922</v>
      </c>
      <c r="W99" s="136">
        <v>1.0346389039634788E-2</v>
      </c>
    </row>
    <row r="100" spans="1:23">
      <c r="A100" s="6"/>
      <c r="B100" s="6"/>
      <c r="C100" s="136"/>
      <c r="D100" s="136"/>
      <c r="E100" s="27"/>
      <c r="F100" s="27"/>
      <c r="G100" s="27"/>
      <c r="H100" s="27"/>
      <c r="I100" s="27"/>
      <c r="J100" s="27"/>
      <c r="K100" s="27"/>
      <c r="L100" s="27"/>
      <c r="M100" s="27"/>
      <c r="N100" s="27"/>
      <c r="O100" s="27"/>
      <c r="P100" s="27"/>
      <c r="Q100" s="27"/>
      <c r="R100" s="27"/>
      <c r="S100" s="27"/>
      <c r="T100" s="136">
        <v>11.455333333333334</v>
      </c>
      <c r="U100" s="136">
        <v>9.1275836274871427</v>
      </c>
      <c r="V100" s="136">
        <v>0.94188719555978673</v>
      </c>
      <c r="W100" s="136">
        <v>-2.3632728297375002E-2</v>
      </c>
    </row>
    <row r="101" spans="1:23">
      <c r="A101" s="6"/>
      <c r="B101" s="6"/>
      <c r="C101" s="136"/>
      <c r="D101" s="136"/>
      <c r="E101" s="27"/>
      <c r="F101" s="27"/>
      <c r="G101" s="27"/>
      <c r="H101" s="27"/>
      <c r="I101" s="27"/>
      <c r="J101" s="27"/>
      <c r="K101" s="27"/>
      <c r="L101" s="27"/>
      <c r="M101" s="27"/>
      <c r="N101" s="27"/>
      <c r="O101" s="27"/>
      <c r="P101" s="27"/>
      <c r="Q101" s="27"/>
      <c r="R101" s="27"/>
      <c r="S101" s="27"/>
      <c r="T101" s="136">
        <v>11.551666666666668</v>
      </c>
      <c r="U101" s="136">
        <v>9.2179945552764782</v>
      </c>
      <c r="V101" s="136">
        <v>0.93405735366844389</v>
      </c>
      <c r="W101" s="136">
        <v>-5.7611941342716473E-2</v>
      </c>
    </row>
    <row r="102" spans="1:23">
      <c r="A102" s="6"/>
      <c r="B102" s="6"/>
      <c r="C102" s="136"/>
      <c r="D102" s="136"/>
      <c r="E102" s="27"/>
      <c r="F102" s="27"/>
      <c r="G102" s="27"/>
      <c r="H102" s="27"/>
      <c r="I102" s="27"/>
      <c r="J102" s="27"/>
      <c r="K102" s="27"/>
      <c r="L102" s="27"/>
      <c r="M102" s="27"/>
      <c r="N102" s="27"/>
      <c r="O102" s="27"/>
      <c r="P102" s="27"/>
      <c r="Q102" s="27"/>
      <c r="R102" s="27"/>
      <c r="S102" s="27"/>
      <c r="T102" s="136">
        <v>11.648000000000001</v>
      </c>
      <c r="U102" s="136">
        <v>9.3073361941269699</v>
      </c>
      <c r="V102" s="136">
        <v>0.91968087855311009</v>
      </c>
      <c r="W102" s="136">
        <v>-9.1590962971970821E-2</v>
      </c>
    </row>
    <row r="103" spans="1:23">
      <c r="A103" s="6"/>
      <c r="B103" s="6"/>
      <c r="C103" s="136"/>
      <c r="D103" s="136"/>
      <c r="E103" s="27"/>
      <c r="F103" s="27"/>
      <c r="G103" s="27"/>
      <c r="H103" s="27"/>
      <c r="I103" s="27"/>
      <c r="J103" s="27"/>
      <c r="K103" s="27"/>
      <c r="L103" s="27"/>
      <c r="M103" s="27"/>
      <c r="N103" s="27"/>
      <c r="O103" s="27"/>
      <c r="P103" s="27"/>
      <c r="Q103" s="27"/>
      <c r="R103" s="27"/>
      <c r="S103" s="27"/>
      <c r="T103" s="136">
        <v>11.744333333333334</v>
      </c>
      <c r="U103" s="136">
        <v>9.3949778850361287</v>
      </c>
      <c r="V103" s="136">
        <v>0.89875777019534575</v>
      </c>
      <c r="W103" s="136">
        <v>-0.12556998460122515</v>
      </c>
    </row>
    <row r="104" spans="1:23">
      <c r="A104" s="6"/>
      <c r="B104" s="6"/>
      <c r="C104" s="136"/>
      <c r="D104" s="136"/>
      <c r="E104" s="27"/>
      <c r="F104" s="27"/>
      <c r="G104" s="27"/>
      <c r="H104" s="27"/>
      <c r="I104" s="27"/>
      <c r="J104" s="27"/>
      <c r="K104" s="27"/>
      <c r="L104" s="27"/>
      <c r="M104" s="27"/>
      <c r="N104" s="27"/>
      <c r="O104" s="27"/>
      <c r="P104" s="27"/>
      <c r="Q104" s="27"/>
      <c r="R104" s="27"/>
      <c r="S104" s="27"/>
      <c r="T104" s="136">
        <v>11.840666666666667</v>
      </c>
      <c r="U104" s="136">
        <v>9.4802889690014709</v>
      </c>
      <c r="V104" s="136">
        <v>0.87128802859515064</v>
      </c>
      <c r="W104" s="136">
        <v>-0.15954910193881119</v>
      </c>
    </row>
    <row r="105" spans="1:23">
      <c r="A105" s="6"/>
      <c r="B105" s="6"/>
      <c r="C105" s="136"/>
      <c r="D105" s="136"/>
      <c r="E105" s="27"/>
      <c r="F105" s="27"/>
      <c r="G105" s="27"/>
      <c r="H105" s="27"/>
      <c r="I105" s="27"/>
      <c r="J105" s="27"/>
      <c r="K105" s="27"/>
      <c r="L105" s="27"/>
      <c r="M105" s="27"/>
      <c r="N105" s="27"/>
      <c r="O105" s="27"/>
      <c r="P105" s="27"/>
      <c r="Q105" s="27"/>
      <c r="R105" s="27"/>
      <c r="S105" s="27"/>
      <c r="T105" s="136">
        <v>11.937000000000001</v>
      </c>
      <c r="U105" s="136">
        <v>9.5626387870205054</v>
      </c>
      <c r="V105" s="136">
        <v>0.83727165373408541</v>
      </c>
      <c r="W105" s="136">
        <v>-0.19352821927582098</v>
      </c>
    </row>
    <row r="106" spans="1:23">
      <c r="A106" s="6"/>
      <c r="B106" s="6"/>
      <c r="C106" s="136"/>
      <c r="D106" s="136"/>
      <c r="E106" s="27"/>
      <c r="F106" s="27"/>
      <c r="G106" s="27"/>
      <c r="H106" s="27"/>
      <c r="I106" s="27"/>
      <c r="J106" s="27"/>
      <c r="K106" s="27"/>
      <c r="L106" s="27"/>
      <c r="M106" s="27"/>
      <c r="N106" s="27"/>
      <c r="O106" s="27"/>
      <c r="P106" s="27"/>
      <c r="Q106" s="27"/>
      <c r="R106" s="27"/>
      <c r="S106" s="27"/>
      <c r="T106" s="136">
        <v>12.033333333333335</v>
      </c>
      <c r="U106" s="136">
        <v>9.6413966800907431</v>
      </c>
      <c r="V106" s="136">
        <v>0.7967086456674688</v>
      </c>
      <c r="W106" s="136">
        <v>-0.22750704948956441</v>
      </c>
    </row>
    <row r="107" spans="1:23">
      <c r="A107" s="6"/>
      <c r="B107" s="6"/>
      <c r="C107" s="136"/>
      <c r="D107" s="136"/>
      <c r="E107" s="27"/>
      <c r="F107" s="27"/>
      <c r="G107" s="27"/>
      <c r="H107" s="27"/>
      <c r="I107" s="27"/>
      <c r="J107" s="27"/>
      <c r="K107" s="27"/>
      <c r="L107" s="27"/>
      <c r="M107" s="27"/>
      <c r="N107" s="27"/>
      <c r="O107" s="27"/>
      <c r="P107" s="27"/>
      <c r="Q107" s="27"/>
      <c r="R107" s="27"/>
      <c r="S107" s="27"/>
      <c r="T107" s="136">
        <v>12.129666666666667</v>
      </c>
      <c r="U107" s="136">
        <v>9.7159814631417589</v>
      </c>
      <c r="V107" s="136">
        <v>0.7517324080312896</v>
      </c>
      <c r="W107" s="136">
        <v>-0.23090543976233074</v>
      </c>
    </row>
    <row r="108" spans="1:23">
      <c r="A108" s="6"/>
      <c r="B108" s="6"/>
      <c r="C108" s="136"/>
      <c r="D108" s="136"/>
      <c r="E108" s="27"/>
      <c r="F108" s="27"/>
      <c r="G108" s="27"/>
      <c r="H108" s="27"/>
      <c r="I108" s="27"/>
      <c r="J108" s="27"/>
      <c r="K108" s="27"/>
      <c r="L108" s="27"/>
      <c r="M108" s="27"/>
      <c r="N108" s="27"/>
      <c r="O108" s="27"/>
      <c r="P108" s="27"/>
      <c r="Q108" s="27"/>
      <c r="R108" s="27"/>
      <c r="S108" s="27"/>
      <c r="T108" s="136">
        <v>12.226000000000001</v>
      </c>
      <c r="U108" s="136">
        <v>9.7862833627311314</v>
      </c>
      <c r="V108" s="136">
        <v>0.70804566668340518</v>
      </c>
      <c r="W108" s="136">
        <v>-0.22259839115105795</v>
      </c>
    </row>
    <row r="109" spans="1:23">
      <c r="A109" s="6"/>
      <c r="B109" s="6"/>
      <c r="C109" s="136"/>
      <c r="D109" s="136"/>
      <c r="E109" s="27"/>
      <c r="F109" s="27"/>
      <c r="G109" s="27"/>
      <c r="H109" s="27"/>
      <c r="I109" s="27"/>
      <c r="J109" s="27"/>
      <c r="K109" s="27"/>
      <c r="L109" s="27"/>
      <c r="M109" s="27"/>
      <c r="N109" s="27"/>
      <c r="O109" s="27"/>
      <c r="P109" s="27"/>
      <c r="Q109" s="27"/>
      <c r="R109" s="27"/>
      <c r="S109" s="27"/>
      <c r="T109" s="136">
        <v>12.322333333333335</v>
      </c>
      <c r="U109" s="136">
        <v>9.8524537874146407</v>
      </c>
      <c r="V109" s="136">
        <v>0.66595944301469512</v>
      </c>
      <c r="W109" s="136">
        <v>-0.21429124683260592</v>
      </c>
    </row>
    <row r="110" spans="1:23">
      <c r="A110" s="6"/>
      <c r="B110" s="6"/>
      <c r="C110" s="136"/>
      <c r="D110" s="136"/>
      <c r="E110" s="27"/>
      <c r="F110" s="27"/>
      <c r="G110" s="27"/>
      <c r="H110" s="27"/>
      <c r="I110" s="27"/>
      <c r="J110" s="27"/>
      <c r="K110" s="27"/>
      <c r="L110" s="27"/>
      <c r="M110" s="27"/>
      <c r="N110" s="27"/>
      <c r="O110" s="27"/>
      <c r="P110" s="27"/>
      <c r="Q110" s="27"/>
      <c r="R110" s="27"/>
      <c r="S110" s="27"/>
      <c r="T110" s="136">
        <v>12.418666666666669</v>
      </c>
      <c r="U110" s="136">
        <v>9.9146469203937428</v>
      </c>
      <c r="V110" s="136">
        <v>0.6254737370251594</v>
      </c>
      <c r="W110" s="136">
        <v>-0.20598391109806677</v>
      </c>
    </row>
    <row r="111" spans="1:23">
      <c r="A111" s="6"/>
      <c r="B111" s="6"/>
      <c r="C111" s="136"/>
      <c r="D111" s="136"/>
      <c r="E111" s="27"/>
      <c r="F111" s="27"/>
      <c r="G111" s="27"/>
      <c r="H111" s="27"/>
      <c r="I111" s="27"/>
      <c r="J111" s="27"/>
      <c r="K111" s="27"/>
      <c r="L111" s="27"/>
      <c r="M111" s="27"/>
      <c r="N111" s="27"/>
      <c r="O111" s="27"/>
      <c r="P111" s="27"/>
      <c r="Q111" s="27"/>
      <c r="R111" s="27"/>
      <c r="S111" s="27"/>
      <c r="T111" s="136">
        <v>12.515000000000001</v>
      </c>
      <c r="U111" s="136">
        <v>9.9730169448698955</v>
      </c>
      <c r="V111" s="136">
        <v>0.58658854867791865</v>
      </c>
      <c r="W111" s="136">
        <v>-0.19767667107185932</v>
      </c>
    </row>
    <row r="112" spans="1:23">
      <c r="A112" s="6"/>
      <c r="B112" s="6"/>
      <c r="C112" s="136"/>
      <c r="D112" s="136"/>
      <c r="E112" s="27"/>
      <c r="F112" s="27"/>
      <c r="G112" s="27"/>
      <c r="H112" s="27"/>
      <c r="I112" s="27"/>
      <c r="J112" s="27"/>
      <c r="K112" s="27"/>
      <c r="L112" s="27"/>
      <c r="M112" s="27"/>
      <c r="N112" s="27"/>
      <c r="O112" s="27"/>
      <c r="P112" s="27"/>
      <c r="Q112" s="27"/>
      <c r="R112" s="27"/>
      <c r="S112" s="27"/>
      <c r="T112" s="136">
        <v>12.611333333333334</v>
      </c>
      <c r="U112" s="136">
        <v>10.027718040838216</v>
      </c>
      <c r="V112" s="136">
        <v>0.54930302200254566</v>
      </c>
      <c r="W112" s="136">
        <v>-0.18944456161754253</v>
      </c>
    </row>
    <row r="113" spans="1:23">
      <c r="A113" s="6"/>
      <c r="B113" s="6"/>
      <c r="C113" s="136"/>
      <c r="D113" s="136"/>
      <c r="E113" s="27"/>
      <c r="F113" s="27"/>
      <c r="G113" s="27"/>
      <c r="H113" s="27"/>
      <c r="I113" s="27"/>
      <c r="J113" s="27"/>
      <c r="K113" s="27"/>
      <c r="L113" s="27"/>
      <c r="M113" s="27"/>
      <c r="N113" s="27"/>
      <c r="O113" s="27"/>
      <c r="P113" s="27"/>
      <c r="Q113" s="27"/>
      <c r="R113" s="27"/>
      <c r="S113" s="27"/>
      <c r="T113" s="136">
        <v>12.707666666666668</v>
      </c>
      <c r="U113" s="136">
        <v>10.0789016520826</v>
      </c>
      <c r="V113" s="136">
        <v>0.51354305785929832</v>
      </c>
      <c r="W113" s="136">
        <v>-0.18177387373912107</v>
      </c>
    </row>
    <row r="114" spans="1:23">
      <c r="A114" s="6"/>
      <c r="B114" s="6"/>
      <c r="C114" s="136"/>
      <c r="D114" s="136"/>
      <c r="E114" s="27"/>
      <c r="F114" s="27"/>
      <c r="G114" s="27"/>
      <c r="H114" s="27"/>
      <c r="I114" s="27"/>
      <c r="J114" s="27"/>
      <c r="K114" s="27"/>
      <c r="L114" s="27"/>
      <c r="M114" s="27"/>
      <c r="N114" s="27"/>
      <c r="O114" s="27"/>
      <c r="P114" s="27"/>
      <c r="Q114" s="27"/>
      <c r="R114" s="27"/>
      <c r="S114" s="27"/>
      <c r="T114" s="136">
        <v>12.804</v>
      </c>
      <c r="U114" s="136">
        <v>10.126711499914734</v>
      </c>
      <c r="V114" s="136">
        <v>0.47926096883014818</v>
      </c>
      <c r="W114" s="136">
        <v>-0.17410328156931942</v>
      </c>
    </row>
    <row r="115" spans="1:23">
      <c r="A115" s="6"/>
      <c r="B115" s="6"/>
      <c r="C115" s="136"/>
      <c r="D115" s="136"/>
      <c r="E115" s="27"/>
      <c r="F115" s="27"/>
      <c r="G115" s="27"/>
      <c r="H115" s="27"/>
      <c r="I115" s="27"/>
      <c r="J115" s="27"/>
      <c r="K115" s="27"/>
      <c r="L115" s="27"/>
      <c r="M115" s="27"/>
      <c r="N115" s="27"/>
      <c r="O115" s="27"/>
      <c r="P115" s="27"/>
      <c r="Q115" s="27"/>
      <c r="R115" s="27"/>
      <c r="S115" s="27"/>
      <c r="T115" s="136">
        <v>12.900333333333334</v>
      </c>
      <c r="U115" s="136">
        <v>10.171289952971215</v>
      </c>
      <c r="V115" s="136">
        <v>0.44645675493353504</v>
      </c>
      <c r="W115" s="136">
        <v>-0.16643259369205043</v>
      </c>
    </row>
    <row r="116" spans="1:23">
      <c r="A116" s="6"/>
      <c r="B116" s="6"/>
      <c r="C116" s="136"/>
      <c r="D116" s="136"/>
      <c r="E116" s="27"/>
      <c r="F116" s="27"/>
      <c r="G116" s="27"/>
      <c r="H116" s="27"/>
      <c r="I116" s="27"/>
      <c r="J116" s="27"/>
      <c r="K116" s="27"/>
      <c r="L116" s="27"/>
      <c r="M116" s="27"/>
      <c r="N116" s="27"/>
      <c r="O116" s="27"/>
      <c r="P116" s="27"/>
      <c r="Q116" s="27"/>
      <c r="R116" s="27"/>
      <c r="S116" s="27"/>
      <c r="T116" s="136">
        <v>12.996666666666668</v>
      </c>
      <c r="U116" s="136">
        <v>10.212779379888635</v>
      </c>
      <c r="V116" s="136">
        <v>0.41513041615101925</v>
      </c>
      <c r="W116" s="136">
        <v>-0.15876190581420521</v>
      </c>
    </row>
    <row r="117" spans="1:23">
      <c r="A117" s="6"/>
      <c r="B117" s="6"/>
      <c r="C117" s="136"/>
      <c r="D117" s="136"/>
      <c r="E117" s="27"/>
      <c r="F117" s="27"/>
      <c r="G117" s="27"/>
      <c r="H117" s="27"/>
      <c r="I117" s="27"/>
      <c r="J117" s="27"/>
      <c r="K117" s="27"/>
      <c r="L117" s="27"/>
      <c r="M117" s="27"/>
      <c r="N117" s="27"/>
      <c r="O117" s="27"/>
      <c r="P117" s="27"/>
      <c r="Q117" s="27"/>
      <c r="R117" s="27"/>
      <c r="S117" s="27"/>
      <c r="T117" s="136">
        <v>13.093000000000002</v>
      </c>
      <c r="U117" s="136">
        <v>10.25132214930359</v>
      </c>
      <c r="V117" s="136">
        <v>0.38528195248260078</v>
      </c>
      <c r="W117" s="136">
        <v>-0.15109131364411546</v>
      </c>
    </row>
    <row r="118" spans="1:23">
      <c r="A118" s="6"/>
      <c r="B118" s="6"/>
      <c r="C118" s="136"/>
      <c r="D118" s="136"/>
      <c r="E118" s="27"/>
      <c r="F118" s="27"/>
      <c r="G118" s="27"/>
      <c r="H118" s="27"/>
      <c r="I118" s="27"/>
      <c r="J118" s="27"/>
      <c r="K118" s="27"/>
      <c r="L118" s="27"/>
      <c r="M118" s="27"/>
      <c r="N118" s="27"/>
      <c r="O118" s="27"/>
      <c r="P118" s="27"/>
      <c r="Q118" s="27"/>
      <c r="R118" s="27"/>
      <c r="S118" s="27"/>
      <c r="T118" s="136">
        <v>13.189333333333334</v>
      </c>
      <c r="U118" s="136">
        <v>10.287060629852673</v>
      </c>
      <c r="V118" s="136">
        <v>0.3569113639282796</v>
      </c>
      <c r="W118" s="136">
        <v>-0.14342072147431381</v>
      </c>
    </row>
    <row r="119" spans="1:23">
      <c r="A119" s="6"/>
      <c r="B119" s="6"/>
      <c r="C119" s="136"/>
      <c r="D119" s="136"/>
      <c r="E119" s="27"/>
      <c r="F119" s="27"/>
      <c r="G119" s="27"/>
      <c r="H119" s="27"/>
      <c r="I119" s="27"/>
      <c r="J119" s="27"/>
      <c r="K119" s="27"/>
      <c r="L119" s="27"/>
      <c r="M119" s="27"/>
      <c r="N119" s="27"/>
      <c r="O119" s="27"/>
      <c r="P119" s="27"/>
      <c r="Q119" s="27"/>
      <c r="R119" s="27"/>
      <c r="S119" s="27"/>
      <c r="T119" s="136">
        <v>13.285666666666668</v>
      </c>
      <c r="U119" s="136">
        <v>10.320137190172481</v>
      </c>
      <c r="V119" s="136">
        <v>0.33001865048805573</v>
      </c>
      <c r="W119" s="136">
        <v>-0.13575022501197948</v>
      </c>
    </row>
    <row r="120" spans="1:23">
      <c r="A120" s="6"/>
      <c r="B120" s="6"/>
      <c r="C120" s="136"/>
      <c r="D120" s="136"/>
      <c r="E120" s="27"/>
      <c r="F120" s="27"/>
      <c r="G120" s="27"/>
      <c r="H120" s="27"/>
      <c r="I120" s="27"/>
      <c r="J120" s="27"/>
      <c r="K120" s="27"/>
      <c r="L120" s="27"/>
      <c r="M120" s="27"/>
      <c r="N120" s="27"/>
      <c r="O120" s="27"/>
      <c r="P120" s="27"/>
      <c r="Q120" s="27"/>
      <c r="R120" s="27"/>
      <c r="S120" s="27"/>
      <c r="T120" s="136">
        <v>13.382000000000001</v>
      </c>
      <c r="U120" s="136">
        <v>10.350694198899605</v>
      </c>
      <c r="V120" s="136">
        <v>0.30460381219880855</v>
      </c>
      <c r="W120" s="136">
        <v>-0.12807944142666694</v>
      </c>
    </row>
    <row r="121" spans="1:23">
      <c r="A121" s="6"/>
      <c r="B121" s="6"/>
      <c r="C121" s="136"/>
      <c r="D121" s="136"/>
      <c r="E121" s="27"/>
      <c r="F121" s="27"/>
      <c r="G121" s="27"/>
      <c r="H121" s="27"/>
      <c r="I121" s="27"/>
      <c r="J121" s="27"/>
      <c r="K121" s="27"/>
      <c r="L121" s="27"/>
      <c r="M121" s="27"/>
      <c r="N121" s="27"/>
      <c r="O121" s="27"/>
      <c r="P121" s="27"/>
      <c r="Q121" s="27"/>
      <c r="R121" s="27"/>
      <c r="S121" s="27"/>
      <c r="T121" s="136">
        <v>13.478333333333335</v>
      </c>
      <c r="U121" s="136">
        <v>10.37887402467064</v>
      </c>
      <c r="V121" s="136">
        <v>0.28066684902365874</v>
      </c>
      <c r="W121" s="136">
        <v>-0.12040875354882172</v>
      </c>
    </row>
    <row r="122" spans="1:23">
      <c r="A122" s="6"/>
      <c r="B122" s="6"/>
      <c r="C122" s="136"/>
      <c r="D122" s="136"/>
      <c r="E122" s="27"/>
      <c r="F122" s="27"/>
      <c r="G122" s="27"/>
      <c r="H122" s="27"/>
      <c r="I122" s="27"/>
      <c r="J122" s="27"/>
      <c r="K122" s="27"/>
      <c r="L122" s="27"/>
      <c r="M122" s="27"/>
      <c r="N122" s="27"/>
      <c r="O122" s="27"/>
      <c r="P122" s="27"/>
      <c r="Q122" s="27"/>
      <c r="R122" s="27"/>
      <c r="S122" s="27"/>
      <c r="T122" s="136">
        <v>13.574666666666667</v>
      </c>
      <c r="U122" s="136">
        <v>10.404819036122182</v>
      </c>
      <c r="V122" s="136">
        <v>0.25820776094416648</v>
      </c>
      <c r="W122" s="136">
        <v>-0.11273825708677551</v>
      </c>
    </row>
    <row r="123" spans="1:23">
      <c r="A123" s="6"/>
      <c r="B123" s="6"/>
      <c r="C123" s="136"/>
      <c r="D123" s="136"/>
      <c r="E123" s="27"/>
      <c r="F123" s="27"/>
      <c r="G123" s="27"/>
      <c r="H123" s="27"/>
      <c r="I123" s="27"/>
      <c r="J123" s="27"/>
      <c r="K123" s="27"/>
      <c r="L123" s="27"/>
      <c r="M123" s="27"/>
      <c r="N123" s="27"/>
      <c r="O123" s="27"/>
      <c r="P123" s="27"/>
      <c r="Q123" s="27"/>
      <c r="R123" s="27"/>
      <c r="S123" s="27"/>
      <c r="T123" s="136">
        <v>13.671000000000001</v>
      </c>
      <c r="U123" s="136">
        <v>10.428671601890825</v>
      </c>
      <c r="V123" s="136">
        <v>0.23722654801565096</v>
      </c>
      <c r="W123" s="136">
        <v>-0.10506747350117485</v>
      </c>
    </row>
    <row r="124" spans="1:23">
      <c r="A124" s="6"/>
      <c r="B124" s="6"/>
      <c r="C124" s="136"/>
      <c r="D124" s="136"/>
      <c r="E124" s="27"/>
      <c r="F124" s="27"/>
      <c r="G124" s="27"/>
      <c r="H124" s="27"/>
      <c r="I124" s="27"/>
      <c r="J124" s="27"/>
      <c r="K124" s="27"/>
      <c r="L124" s="27"/>
      <c r="M124" s="27"/>
      <c r="N124" s="27"/>
      <c r="O124" s="27"/>
      <c r="P124" s="27"/>
      <c r="Q124" s="27"/>
      <c r="R124" s="27"/>
      <c r="S124" s="27"/>
      <c r="T124" s="136">
        <v>13.767333333333335</v>
      </c>
      <c r="U124" s="136">
        <v>10.450574090613163</v>
      </c>
      <c r="V124" s="136">
        <v>0.21772321018279303</v>
      </c>
      <c r="W124" s="136">
        <v>-9.7396977038984589E-2</v>
      </c>
    </row>
    <row r="125" spans="1:23">
      <c r="A125" s="6"/>
      <c r="B125" s="6"/>
      <c r="C125" s="136"/>
      <c r="D125" s="136"/>
      <c r="E125" s="27"/>
      <c r="F125" s="27"/>
      <c r="G125" s="27"/>
      <c r="H125" s="27"/>
      <c r="I125" s="27"/>
      <c r="J125" s="27"/>
      <c r="K125" s="27"/>
      <c r="L125" s="27"/>
      <c r="M125" s="27"/>
      <c r="N125" s="27"/>
      <c r="O125" s="27"/>
      <c r="P125" s="27"/>
      <c r="Q125" s="27"/>
      <c r="R125" s="27"/>
      <c r="S125" s="27"/>
      <c r="T125" s="136">
        <v>13.863666666666667</v>
      </c>
      <c r="U125" s="136">
        <v>10.470668870925788</v>
      </c>
      <c r="V125" s="136">
        <v>0.19969774748247213</v>
      </c>
      <c r="W125" s="136">
        <v>-8.9726289161283432E-2</v>
      </c>
    </row>
    <row r="126" spans="1:23">
      <c r="A126" s="6"/>
      <c r="B126" s="6"/>
      <c r="C126" s="136"/>
      <c r="D126" s="136"/>
      <c r="E126" s="27"/>
      <c r="F126" s="27"/>
      <c r="G126" s="27"/>
      <c r="H126" s="27"/>
      <c r="I126" s="27"/>
      <c r="J126" s="27"/>
      <c r="K126" s="27"/>
      <c r="L126" s="27"/>
      <c r="M126" s="27"/>
      <c r="N126" s="27"/>
      <c r="O126" s="27"/>
      <c r="P126" s="27"/>
      <c r="Q126" s="27"/>
      <c r="R126" s="27"/>
      <c r="S126" s="27"/>
      <c r="T126" s="136">
        <v>13.96</v>
      </c>
      <c r="U126" s="136">
        <v>10.489098311465298</v>
      </c>
      <c r="V126" s="136">
        <v>0.18315015989624853</v>
      </c>
      <c r="W126" s="136">
        <v>-8.2055601283582275E-2</v>
      </c>
    </row>
    <row r="127" spans="1:23">
      <c r="A127" s="6"/>
      <c r="B127" s="6"/>
      <c r="C127" s="136"/>
      <c r="D127" s="136"/>
      <c r="E127" s="27"/>
      <c r="F127" s="27"/>
      <c r="G127" s="27"/>
      <c r="H127" s="27"/>
      <c r="I127" s="27"/>
      <c r="J127" s="27"/>
      <c r="K127" s="27"/>
      <c r="L127" s="27"/>
      <c r="M127" s="27"/>
      <c r="N127" s="27"/>
      <c r="O127" s="27"/>
      <c r="P127" s="27"/>
      <c r="Q127" s="27"/>
      <c r="R127" s="27"/>
      <c r="S127" s="27"/>
      <c r="T127" s="136">
        <v>14.056333333333335</v>
      </c>
      <c r="U127" s="136">
        <v>10.506004780868286</v>
      </c>
      <c r="V127" s="136">
        <v>0.16808044744256195</v>
      </c>
      <c r="W127" s="136">
        <v>-7.4385009113492495E-2</v>
      </c>
    </row>
    <row r="128" spans="1:23">
      <c r="A128" s="6"/>
      <c r="B128" s="6"/>
      <c r="C128" s="136"/>
      <c r="D128" s="136"/>
      <c r="E128" s="27"/>
      <c r="F128" s="27"/>
      <c r="G128" s="27"/>
      <c r="H128" s="27"/>
      <c r="I128" s="27"/>
      <c r="J128" s="27"/>
      <c r="K128" s="27"/>
      <c r="L128" s="27"/>
      <c r="M128" s="27"/>
      <c r="N128" s="27"/>
      <c r="O128" s="27"/>
      <c r="P128" s="27"/>
      <c r="Q128" s="27"/>
      <c r="R128" s="27"/>
      <c r="S128" s="27"/>
      <c r="T128" s="136">
        <v>14.152666666666669</v>
      </c>
      <c r="U128" s="136">
        <v>10.521530647771346</v>
      </c>
      <c r="V128" s="136">
        <v>0.15448861010297266</v>
      </c>
      <c r="W128" s="136">
        <v>-6.6714321235935403E-2</v>
      </c>
    </row>
    <row r="129" spans="1:23">
      <c r="A129" s="6"/>
      <c r="B129" s="6"/>
      <c r="C129" s="136"/>
      <c r="D129" s="136"/>
      <c r="E129" s="27"/>
      <c r="F129" s="27"/>
      <c r="G129" s="27"/>
      <c r="H129" s="27"/>
      <c r="I129" s="27"/>
      <c r="J129" s="27"/>
      <c r="K129" s="27"/>
      <c r="L129" s="27"/>
      <c r="M129" s="27"/>
      <c r="N129" s="27"/>
      <c r="O129" s="27"/>
      <c r="P129" s="27"/>
      <c r="Q129" s="27"/>
      <c r="R129" s="27"/>
      <c r="S129" s="27"/>
      <c r="T129" s="136">
        <v>14.249000000000001</v>
      </c>
      <c r="U129" s="136">
        <v>10.535818280811073</v>
      </c>
      <c r="V129" s="136">
        <v>0.14237464787748069</v>
      </c>
      <c r="W129" s="136">
        <v>-5.9043729065989696E-2</v>
      </c>
    </row>
    <row r="130" spans="1:23">
      <c r="A130" s="6"/>
      <c r="B130" s="6"/>
      <c r="C130" s="136"/>
      <c r="D130" s="136"/>
      <c r="E130" s="27"/>
      <c r="F130" s="27"/>
      <c r="G130" s="27"/>
      <c r="H130" s="27"/>
      <c r="I130" s="27"/>
      <c r="J130" s="27"/>
      <c r="K130" s="27"/>
      <c r="L130" s="27"/>
      <c r="M130" s="27"/>
      <c r="N130" s="27"/>
      <c r="O130" s="27"/>
      <c r="P130" s="27"/>
      <c r="Q130" s="27"/>
      <c r="R130" s="27"/>
      <c r="S130" s="27"/>
      <c r="T130" s="136">
        <v>14.345333333333334</v>
      </c>
      <c r="U130" s="136">
        <v>10.54901004862406</v>
      </c>
      <c r="V130" s="136">
        <v>0.13173856076608606</v>
      </c>
      <c r="W130" s="136">
        <v>-5.1373136895899923E-2</v>
      </c>
    </row>
    <row r="131" spans="1:23">
      <c r="A131" s="6"/>
      <c r="B131" s="6"/>
      <c r="C131" s="136"/>
      <c r="D131" s="136"/>
      <c r="E131" s="27"/>
      <c r="F131" s="27"/>
      <c r="G131" s="27"/>
      <c r="H131" s="27"/>
      <c r="I131" s="27"/>
      <c r="J131" s="27"/>
      <c r="K131" s="27"/>
      <c r="L131" s="27"/>
      <c r="M131" s="27"/>
      <c r="N131" s="27"/>
      <c r="O131" s="27"/>
      <c r="P131" s="27"/>
      <c r="Q131" s="27"/>
      <c r="R131" s="27"/>
      <c r="S131" s="27"/>
      <c r="T131" s="136">
        <v>14.441666666666668</v>
      </c>
      <c r="U131" s="136">
        <v>10.561248319846904</v>
      </c>
      <c r="V131" s="136">
        <v>0.1225803487872284</v>
      </c>
      <c r="W131" s="136">
        <v>-4.3702449018270799E-2</v>
      </c>
    </row>
    <row r="132" spans="1:23">
      <c r="A132" s="6"/>
      <c r="B132" s="6"/>
      <c r="C132" s="136"/>
      <c r="D132" s="136"/>
      <c r="E132" s="27"/>
      <c r="F132" s="27"/>
      <c r="G132" s="27"/>
      <c r="H132" s="27"/>
      <c r="I132" s="27"/>
      <c r="J132" s="27"/>
      <c r="K132" s="27"/>
      <c r="L132" s="27"/>
      <c r="M132" s="27"/>
      <c r="N132" s="27"/>
      <c r="O132" s="27"/>
      <c r="P132" s="27"/>
      <c r="Q132" s="27"/>
      <c r="R132" s="27"/>
      <c r="S132" s="27"/>
      <c r="T132" s="136">
        <v>14.538000000000002</v>
      </c>
      <c r="U132" s="136">
        <v>10.572675463116196</v>
      </c>
      <c r="V132" s="136">
        <v>0.11490001192246807</v>
      </c>
      <c r="W132" s="136">
        <v>-3.6031856848253052E-2</v>
      </c>
    </row>
    <row r="133" spans="1:23">
      <c r="A133" s="6"/>
      <c r="B133" s="6"/>
      <c r="C133" s="136"/>
      <c r="D133" s="136"/>
      <c r="E133" s="27"/>
      <c r="F133" s="27"/>
      <c r="G133" s="27"/>
      <c r="H133" s="27"/>
      <c r="I133" s="27"/>
      <c r="J133" s="27"/>
      <c r="K133" s="27"/>
      <c r="L133" s="27"/>
      <c r="M133" s="27"/>
      <c r="N133" s="27"/>
      <c r="O133" s="27"/>
      <c r="P133" s="27"/>
      <c r="Q133" s="27"/>
      <c r="R133" s="27"/>
      <c r="S133" s="27"/>
      <c r="T133" s="136">
        <v>14.634333333333334</v>
      </c>
      <c r="U133" s="136">
        <v>10.583433847068532</v>
      </c>
      <c r="V133" s="136">
        <v>0.10869755019024473</v>
      </c>
      <c r="W133" s="136">
        <v>-2.8361168970623928E-2</v>
      </c>
    </row>
    <row r="134" spans="1:23">
      <c r="A134" s="6"/>
      <c r="B134" s="6"/>
      <c r="C134" s="136"/>
      <c r="D134" s="136"/>
      <c r="E134" s="27"/>
      <c r="F134" s="27"/>
      <c r="G134" s="27"/>
      <c r="H134" s="27"/>
      <c r="I134" s="27"/>
      <c r="J134" s="27"/>
      <c r="K134" s="27"/>
      <c r="L134" s="27"/>
      <c r="M134" s="27"/>
      <c r="N134" s="27"/>
      <c r="O134" s="27"/>
      <c r="P134" s="27"/>
      <c r="Q134" s="27"/>
      <c r="R134" s="27"/>
      <c r="S134" s="27"/>
      <c r="T134" s="136">
        <v>14.730666666666668</v>
      </c>
      <c r="U134" s="136">
        <v>10.593665840340508</v>
      </c>
      <c r="V134" s="136">
        <v>0.10397296355367902</v>
      </c>
      <c r="W134" s="136">
        <v>-2.0690672508361634E-2</v>
      </c>
    </row>
    <row r="135" spans="1:23">
      <c r="A135" s="6"/>
      <c r="B135" s="6"/>
      <c r="C135" s="136"/>
      <c r="D135" s="136"/>
      <c r="E135" s="27"/>
      <c r="F135" s="27"/>
      <c r="G135" s="27"/>
      <c r="H135" s="27"/>
      <c r="I135" s="27"/>
      <c r="J135" s="27"/>
      <c r="K135" s="27"/>
      <c r="L135" s="27"/>
      <c r="M135" s="27"/>
      <c r="N135" s="27"/>
      <c r="O135" s="27"/>
      <c r="P135" s="27"/>
      <c r="Q135" s="27"/>
      <c r="R135" s="27"/>
      <c r="S135" s="27"/>
      <c r="T135" s="136">
        <v>14.827000000000002</v>
      </c>
      <c r="U135" s="136">
        <v>10.603513811568716</v>
      </c>
      <c r="V135" s="136">
        <v>0.10072625206809001</v>
      </c>
      <c r="W135" s="136">
        <v>-1.3019984630660477E-2</v>
      </c>
    </row>
    <row r="136" spans="1:23">
      <c r="A136" s="6"/>
      <c r="B136" s="6"/>
      <c r="C136" s="136"/>
      <c r="D136" s="136"/>
      <c r="E136" s="27"/>
      <c r="F136" s="27"/>
      <c r="G136" s="27"/>
      <c r="H136" s="27"/>
      <c r="I136" s="27"/>
      <c r="J136" s="27"/>
      <c r="K136" s="27"/>
      <c r="L136" s="27"/>
      <c r="M136" s="27"/>
      <c r="N136" s="27"/>
      <c r="O136" s="27"/>
      <c r="P136" s="27"/>
      <c r="Q136" s="27"/>
      <c r="R136" s="27"/>
      <c r="S136" s="27"/>
      <c r="T136" s="136">
        <v>14.923333333333334</v>
      </c>
      <c r="U136" s="136">
        <v>10.613120129389749</v>
      </c>
      <c r="V136" s="136">
        <v>9.89574156965983E-2</v>
      </c>
      <c r="W136" s="136">
        <v>-5.3492010452759042E-3</v>
      </c>
    </row>
    <row r="137" spans="1:23">
      <c r="A137" s="6"/>
      <c r="B137" s="6"/>
      <c r="C137" s="136"/>
      <c r="D137" s="136"/>
      <c r="E137" s="27"/>
      <c r="F137" s="27"/>
      <c r="G137" s="27"/>
      <c r="H137" s="27"/>
      <c r="I137" s="27"/>
      <c r="J137" s="27"/>
      <c r="K137" s="27"/>
      <c r="L137" s="27"/>
      <c r="M137" s="27"/>
      <c r="N137" s="27"/>
      <c r="O137" s="27"/>
      <c r="P137" s="27"/>
      <c r="Q137" s="27"/>
      <c r="R137" s="27"/>
      <c r="S137" s="27"/>
      <c r="T137" s="136">
        <v>15.019666666666668</v>
      </c>
      <c r="U137" s="136">
        <v>10.622627162440205</v>
      </c>
      <c r="V137" s="136">
        <v>9.866645443920391E-2</v>
      </c>
      <c r="W137" s="136">
        <v>2.3213911246698065E-3</v>
      </c>
    </row>
    <row r="138" spans="1:23">
      <c r="A138" s="6"/>
      <c r="B138" s="6"/>
      <c r="C138" s="136"/>
      <c r="D138" s="136"/>
      <c r="E138" s="27"/>
      <c r="F138" s="27"/>
      <c r="G138" s="27"/>
      <c r="H138" s="27"/>
      <c r="I138" s="27"/>
      <c r="J138" s="27"/>
      <c r="K138" s="27"/>
      <c r="L138" s="27"/>
      <c r="M138" s="27"/>
      <c r="N138" s="27"/>
      <c r="O138" s="27"/>
      <c r="P138" s="27"/>
      <c r="Q138" s="27"/>
      <c r="R138" s="27"/>
      <c r="S138" s="27"/>
      <c r="T138" s="136">
        <v>15.116000000000001</v>
      </c>
      <c r="U138" s="136">
        <v>10.632175977719942</v>
      </c>
      <c r="V138" s="136">
        <v>9.9744608033288495E-2</v>
      </c>
      <c r="W138" s="136">
        <v>6.9788166577115117E-3</v>
      </c>
    </row>
    <row r="139" spans="1:23">
      <c r="A139" s="6"/>
      <c r="B139" s="6"/>
      <c r="C139" s="136"/>
      <c r="D139" s="136"/>
      <c r="E139" s="27"/>
      <c r="F139" s="27"/>
      <c r="G139" s="27"/>
      <c r="H139" s="27"/>
      <c r="I139" s="27"/>
      <c r="J139" s="27"/>
      <c r="K139" s="27"/>
      <c r="L139" s="27"/>
      <c r="M139" s="27"/>
      <c r="N139" s="27"/>
      <c r="O139" s="27"/>
      <c r="P139" s="27"/>
      <c r="Q139" s="27"/>
      <c r="R139" s="27"/>
      <c r="S139" s="27"/>
      <c r="T139" s="136">
        <v>15.212333333333335</v>
      </c>
      <c r="U139" s="136">
        <v>10.641848195571903</v>
      </c>
      <c r="V139" s="136">
        <v>0.10105140029016224</v>
      </c>
      <c r="W139" s="136">
        <v>6.5867977730852756E-3</v>
      </c>
    </row>
    <row r="140" spans="1:23">
      <c r="A140" s="6"/>
      <c r="B140" s="6"/>
      <c r="C140" s="136"/>
      <c r="D140" s="136"/>
      <c r="E140" s="27"/>
      <c r="F140" s="27"/>
      <c r="G140" s="27"/>
      <c r="H140" s="27"/>
      <c r="I140" s="27"/>
      <c r="J140" s="27"/>
      <c r="K140" s="27"/>
      <c r="L140" s="27"/>
      <c r="M140" s="27"/>
      <c r="N140" s="27"/>
      <c r="O140" s="27"/>
      <c r="P140" s="27"/>
      <c r="Q140" s="27"/>
      <c r="R140" s="27"/>
      <c r="S140" s="27"/>
      <c r="T140" s="136">
        <v>15.308666666666667</v>
      </c>
      <c r="U140" s="136">
        <v>10.651642666344019</v>
      </c>
      <c r="V140" s="136">
        <v>0.10228265542491932</v>
      </c>
      <c r="W140" s="136">
        <v>6.1947788884590396E-3</v>
      </c>
    </row>
    <row r="141" spans="1:23">
      <c r="A141" s="6"/>
      <c r="B141" s="6"/>
      <c r="C141" s="136"/>
      <c r="D141" s="136"/>
      <c r="E141" s="27"/>
      <c r="F141" s="27"/>
      <c r="G141" s="27"/>
      <c r="H141" s="27"/>
      <c r="I141" s="27"/>
      <c r="J141" s="27"/>
      <c r="K141" s="27"/>
      <c r="L141" s="27"/>
      <c r="M141" s="27"/>
      <c r="N141" s="27"/>
      <c r="O141" s="27"/>
      <c r="P141" s="27"/>
      <c r="Q141" s="27"/>
      <c r="R141" s="27"/>
      <c r="S141" s="27"/>
      <c r="T141" s="136">
        <v>15.405000000000001</v>
      </c>
      <c r="U141" s="136">
        <v>10.661552113294283</v>
      </c>
      <c r="V141" s="136">
        <v>0.10343837343755971</v>
      </c>
      <c r="W141" s="136">
        <v>5.8027600037607735E-3</v>
      </c>
    </row>
    <row r="142" spans="1:23">
      <c r="A142" s="6"/>
      <c r="B142" s="6"/>
      <c r="C142" s="136"/>
      <c r="D142" s="136"/>
      <c r="E142" s="27"/>
      <c r="F142" s="27"/>
      <c r="G142" s="27"/>
      <c r="H142" s="27"/>
      <c r="I142" s="27"/>
      <c r="J142" s="27"/>
      <c r="K142" s="27"/>
      <c r="L142" s="27"/>
      <c r="M142" s="27"/>
      <c r="N142" s="27"/>
      <c r="O142" s="27"/>
      <c r="P142" s="27"/>
      <c r="Q142" s="27"/>
      <c r="R142" s="27"/>
      <c r="S142" s="27"/>
      <c r="T142" s="136">
        <v>15.501333333333335</v>
      </c>
      <c r="U142" s="136">
        <v>10.671569259680686</v>
      </c>
      <c r="V142" s="136">
        <v>0.10451855434652313</v>
      </c>
      <c r="W142" s="136">
        <v>5.4107411192065684E-3</v>
      </c>
    </row>
    <row r="143" spans="1:23">
      <c r="A143" s="6"/>
      <c r="B143" s="6"/>
      <c r="C143" s="136"/>
      <c r="D143" s="136"/>
      <c r="E143" s="27"/>
      <c r="F143" s="27"/>
      <c r="G143" s="27"/>
      <c r="H143" s="27"/>
      <c r="I143" s="27"/>
      <c r="J143" s="27"/>
      <c r="K143" s="27"/>
      <c r="L143" s="27"/>
      <c r="M143" s="27"/>
      <c r="N143" s="27"/>
      <c r="O143" s="27"/>
      <c r="P143" s="27"/>
      <c r="Q143" s="27"/>
      <c r="R143" s="27"/>
      <c r="S143" s="27"/>
      <c r="T143" s="136">
        <v>15.597666666666669</v>
      </c>
      <c r="U143" s="136">
        <v>10.681686828761222</v>
      </c>
      <c r="V143" s="136">
        <v>0.10552319811493018</v>
      </c>
      <c r="W143" s="136">
        <v>5.0185308190694392E-3</v>
      </c>
    </row>
    <row r="144" spans="1:23">
      <c r="A144" s="6"/>
      <c r="B144" s="6"/>
      <c r="C144" s="136"/>
      <c r="D144" s="136"/>
      <c r="E144" s="27"/>
      <c r="F144" s="27"/>
      <c r="G144" s="27"/>
      <c r="H144" s="27"/>
      <c r="I144" s="27"/>
      <c r="J144" s="27"/>
      <c r="K144" s="27"/>
      <c r="L144" s="27"/>
      <c r="M144" s="27"/>
      <c r="N144" s="27"/>
      <c r="O144" s="27"/>
      <c r="P144" s="27"/>
      <c r="Q144" s="27"/>
      <c r="R144" s="27"/>
      <c r="S144" s="27"/>
      <c r="T144" s="136">
        <v>15.694000000000001</v>
      </c>
      <c r="U144" s="136">
        <v>10.69189754379388</v>
      </c>
      <c r="V144" s="136">
        <v>0.10645230477966024</v>
      </c>
      <c r="W144" s="136">
        <v>4.6264162266877575E-3</v>
      </c>
    </row>
    <row r="145" spans="1:23">
      <c r="A145" s="6"/>
      <c r="B145" s="6"/>
      <c r="C145" s="136"/>
      <c r="D145" s="136"/>
      <c r="E145" s="27"/>
      <c r="F145" s="27"/>
      <c r="G145" s="27"/>
      <c r="H145" s="27"/>
      <c r="I145" s="27"/>
      <c r="J145" s="27"/>
      <c r="K145" s="27"/>
      <c r="L145" s="27"/>
      <c r="M145" s="27"/>
      <c r="N145" s="27"/>
      <c r="O145" s="27"/>
      <c r="P145" s="27"/>
      <c r="Q145" s="27"/>
      <c r="R145" s="27"/>
      <c r="S145" s="27"/>
      <c r="T145" s="136">
        <v>15.790333333333335</v>
      </c>
      <c r="U145" s="136">
        <v>10.702194128036654</v>
      </c>
      <c r="V145" s="136">
        <v>0.10730587435915299</v>
      </c>
      <c r="W145" s="136">
        <v>4.2345887575003837E-3</v>
      </c>
    </row>
    <row r="146" spans="1:23">
      <c r="A146" s="6"/>
      <c r="B146" s="6"/>
      <c r="C146" s="136"/>
      <c r="D146" s="136"/>
      <c r="E146" s="27"/>
      <c r="F146" s="27"/>
      <c r="G146" s="27"/>
      <c r="H146" s="27"/>
      <c r="I146" s="27"/>
      <c r="J146" s="27"/>
      <c r="K146" s="27"/>
      <c r="L146" s="27"/>
      <c r="M146" s="27"/>
      <c r="N146" s="27"/>
      <c r="O146" s="27"/>
      <c r="P146" s="27"/>
      <c r="Q146" s="27"/>
      <c r="R146" s="27"/>
      <c r="S146" s="27"/>
      <c r="T146" s="136">
        <v>15.886666666666668</v>
      </c>
      <c r="U146" s="136">
        <v>10.712569304747536</v>
      </c>
      <c r="V146" s="136">
        <v>0.10808390679808939</v>
      </c>
      <c r="W146" s="136">
        <v>3.8424741651187015E-3</v>
      </c>
    </row>
    <row r="147" spans="1:23">
      <c r="A147" s="6"/>
      <c r="B147" s="6"/>
      <c r="C147" s="136"/>
      <c r="D147" s="136"/>
      <c r="E147" s="27"/>
      <c r="F147" s="27"/>
      <c r="G147" s="27"/>
      <c r="H147" s="27"/>
      <c r="I147" s="27"/>
      <c r="J147" s="27"/>
      <c r="K147" s="27"/>
      <c r="L147" s="27"/>
      <c r="M147" s="27"/>
      <c r="N147" s="27"/>
      <c r="O147" s="27"/>
      <c r="P147" s="27"/>
      <c r="Q147" s="27"/>
      <c r="R147" s="27"/>
      <c r="S147" s="27"/>
      <c r="T147" s="136">
        <v>15.983000000000001</v>
      </c>
      <c r="U147" s="136">
        <v>10.723015797184518</v>
      </c>
      <c r="V147" s="136">
        <v>0.10878640211490911</v>
      </c>
      <c r="W147" s="136">
        <v>3.4502638649815728E-3</v>
      </c>
    </row>
    <row r="148" spans="1:23">
      <c r="A148" s="6"/>
      <c r="B148" s="6"/>
      <c r="C148" s="136"/>
      <c r="D148" s="136"/>
      <c r="E148" s="27"/>
      <c r="F148" s="27"/>
      <c r="G148" s="27"/>
      <c r="H148" s="27"/>
      <c r="I148" s="27"/>
      <c r="J148" s="27"/>
      <c r="K148" s="27"/>
      <c r="L148" s="27"/>
      <c r="M148" s="27"/>
      <c r="N148" s="27"/>
      <c r="O148" s="27"/>
      <c r="P148" s="27"/>
      <c r="Q148" s="27"/>
      <c r="R148" s="27"/>
      <c r="S148" s="27"/>
      <c r="T148" s="136">
        <v>16.079333333333334</v>
      </c>
      <c r="U148" s="136">
        <v>10.73352632860559</v>
      </c>
      <c r="V148" s="136">
        <v>0.10941336034649154</v>
      </c>
      <c r="W148" s="136">
        <v>3.0583406881107833E-3</v>
      </c>
    </row>
    <row r="149" spans="1:23">
      <c r="A149" s="6"/>
      <c r="B149" s="6"/>
      <c r="C149" s="136"/>
      <c r="D149" s="136"/>
      <c r="E149" s="27"/>
      <c r="F149" s="27"/>
      <c r="G149" s="27"/>
      <c r="H149" s="27"/>
      <c r="I149" s="27"/>
      <c r="J149" s="27"/>
      <c r="K149" s="27"/>
      <c r="L149" s="27"/>
      <c r="M149" s="27"/>
      <c r="N149" s="27"/>
      <c r="O149" s="27"/>
      <c r="P149" s="27"/>
      <c r="Q149" s="27"/>
      <c r="R149" s="27"/>
      <c r="S149" s="27"/>
      <c r="T149" s="136">
        <v>16.175666666666668</v>
      </c>
      <c r="U149" s="136">
        <v>10.744093622268748</v>
      </c>
      <c r="V149" s="136">
        <v>0.10996478143751762</v>
      </c>
      <c r="W149" s="136">
        <v>2.6662260958011312E-3</v>
      </c>
    </row>
    <row r="150" spans="1:23">
      <c r="A150" s="6"/>
      <c r="B150" s="6"/>
      <c r="C150" s="136"/>
      <c r="D150" s="136"/>
      <c r="E150" s="27"/>
      <c r="F150" s="27"/>
      <c r="G150" s="27"/>
      <c r="H150" s="27"/>
      <c r="I150" s="27"/>
      <c r="J150" s="27"/>
      <c r="K150" s="27"/>
      <c r="L150" s="27"/>
      <c r="M150" s="27"/>
      <c r="N150" s="27"/>
      <c r="O150" s="27"/>
      <c r="P150" s="27"/>
      <c r="Q150" s="27"/>
      <c r="R150" s="27"/>
      <c r="S150" s="27"/>
      <c r="T150" s="136">
        <v>16.272000000000002</v>
      </c>
      <c r="U150" s="136">
        <v>10.75471040143198</v>
      </c>
      <c r="V150" s="136">
        <v>0.11044066542486669</v>
      </c>
      <c r="W150" s="136">
        <v>2.274111503419449E-3</v>
      </c>
    </row>
    <row r="151" spans="1:23">
      <c r="A151" s="6"/>
      <c r="B151" s="6"/>
      <c r="C151" s="136"/>
      <c r="D151" s="136"/>
      <c r="E151" s="27"/>
      <c r="F151" s="27"/>
      <c r="G151" s="27"/>
      <c r="H151" s="27"/>
      <c r="I151" s="27"/>
      <c r="J151" s="27"/>
      <c r="K151" s="27"/>
      <c r="L151" s="27"/>
      <c r="M151" s="27"/>
      <c r="N151" s="27"/>
      <c r="O151" s="27"/>
      <c r="P151" s="27"/>
      <c r="Q151" s="27"/>
      <c r="R151" s="27"/>
      <c r="S151" s="27"/>
      <c r="T151" s="136">
        <v>16.368333333333332</v>
      </c>
      <c r="U151" s="136">
        <v>10.76536938935328</v>
      </c>
      <c r="V151" s="136">
        <v>0.11084101229009909</v>
      </c>
      <c r="W151" s="136">
        <v>1.8820926187211829E-3</v>
      </c>
    </row>
    <row r="152" spans="1:23">
      <c r="A152" s="6"/>
      <c r="B152" s="6"/>
      <c r="C152" s="136"/>
      <c r="D152" s="136"/>
      <c r="E152" s="27"/>
      <c r="F152" s="27"/>
      <c r="G152" s="27"/>
      <c r="H152" s="27"/>
      <c r="I152" s="27"/>
      <c r="J152" s="27"/>
      <c r="K152" s="27"/>
      <c r="L152" s="27"/>
      <c r="M152" s="27"/>
      <c r="N152" s="27"/>
      <c r="O152" s="27"/>
      <c r="P152" s="27"/>
      <c r="Q152" s="27"/>
      <c r="R152" s="27"/>
      <c r="S152" s="27"/>
      <c r="T152" s="136">
        <v>16.464666666666666</v>
      </c>
      <c r="U152" s="136">
        <v>10.77606330929064</v>
      </c>
      <c r="V152" s="136">
        <v>0.1111658220516545</v>
      </c>
      <c r="W152" s="136">
        <v>1.4899780263395008E-3</v>
      </c>
    </row>
    <row r="153" spans="1:23">
      <c r="A153" s="6"/>
      <c r="B153" s="6"/>
      <c r="C153" s="136"/>
      <c r="D153" s="136"/>
      <c r="E153" s="27"/>
      <c r="F153" s="27"/>
      <c r="G153" s="27"/>
      <c r="H153" s="27"/>
      <c r="I153" s="27"/>
      <c r="J153" s="27"/>
      <c r="K153" s="27"/>
      <c r="L153" s="27"/>
      <c r="M153" s="27"/>
      <c r="N153" s="27"/>
      <c r="O153" s="27"/>
      <c r="P153" s="27"/>
      <c r="Q153" s="27"/>
      <c r="R153" s="27"/>
      <c r="S153" s="27"/>
      <c r="T153" s="136">
        <v>16.561</v>
      </c>
      <c r="U153" s="136">
        <v>10.786784884502051</v>
      </c>
      <c r="V153" s="136">
        <v>0.11141509469109324</v>
      </c>
      <c r="W153" s="136">
        <v>1.0979591417852948E-3</v>
      </c>
    </row>
    <row r="154" spans="1:23">
      <c r="A154" s="6"/>
      <c r="B154" s="6"/>
      <c r="C154" s="136"/>
      <c r="D154" s="136"/>
      <c r="E154" s="27"/>
      <c r="F154" s="27"/>
      <c r="G154" s="27"/>
      <c r="H154" s="27"/>
      <c r="I154" s="27"/>
      <c r="J154" s="27"/>
      <c r="K154" s="27"/>
      <c r="L154" s="27"/>
      <c r="M154" s="27"/>
      <c r="N154" s="27"/>
      <c r="O154" s="27"/>
      <c r="P154" s="27"/>
      <c r="Q154" s="27"/>
      <c r="R154" s="27"/>
      <c r="S154" s="27"/>
      <c r="T154" s="136">
        <v>16.657333333333334</v>
      </c>
      <c r="U154" s="136">
        <v>10.797526838245506</v>
      </c>
      <c r="V154" s="136">
        <v>0.11158883022685499</v>
      </c>
      <c r="W154" s="136">
        <v>7.0594025708702892E-4</v>
      </c>
    </row>
    <row r="155" spans="1:23">
      <c r="A155" s="6"/>
      <c r="B155" s="6"/>
      <c r="C155" s="136"/>
      <c r="D155" s="136"/>
      <c r="E155" s="27"/>
      <c r="F155" s="27"/>
      <c r="G155" s="27"/>
      <c r="H155" s="27"/>
      <c r="I155" s="27"/>
      <c r="J155" s="27"/>
      <c r="K155" s="27"/>
      <c r="L155" s="27"/>
      <c r="M155" s="27"/>
      <c r="N155" s="27"/>
      <c r="O155" s="27"/>
      <c r="P155" s="27"/>
      <c r="Q155" s="27"/>
      <c r="R155" s="27"/>
      <c r="S155" s="27"/>
      <c r="T155" s="136">
        <v>16.753666666666668</v>
      </c>
      <c r="U155" s="136">
        <v>10.808281893778998</v>
      </c>
      <c r="V155" s="136">
        <v>0.11168702864050008</v>
      </c>
      <c r="W155" s="136">
        <v>3.1382566477737675E-4</v>
      </c>
    </row>
    <row r="156" spans="1:23">
      <c r="A156" s="6"/>
      <c r="B156" s="6"/>
      <c r="C156" s="136"/>
      <c r="D156" s="136"/>
      <c r="E156" s="27"/>
      <c r="F156" s="27"/>
      <c r="G156" s="27"/>
      <c r="H156" s="27"/>
      <c r="I156" s="27"/>
      <c r="J156" s="27"/>
      <c r="K156" s="27"/>
      <c r="L156" s="27"/>
      <c r="M156" s="27"/>
      <c r="N156" s="27"/>
      <c r="O156" s="27"/>
      <c r="P156" s="27"/>
      <c r="Q156" s="27"/>
      <c r="R156" s="27"/>
      <c r="S156" s="27"/>
      <c r="T156" s="136">
        <v>16.850000000000001</v>
      </c>
      <c r="U156" s="136">
        <v>10.819042774360517</v>
      </c>
      <c r="V156" s="136">
        <v>0.11170968995046816</v>
      </c>
      <c r="W156" s="136">
        <v>-7.8193219920889213E-5</v>
      </c>
    </row>
    <row r="157" spans="1:23">
      <c r="A157" s="6"/>
      <c r="B157" s="6"/>
      <c r="C157" s="136"/>
      <c r="D157" s="136"/>
      <c r="E157" s="27"/>
      <c r="F157" s="27"/>
      <c r="G157" s="27"/>
      <c r="H157" s="27"/>
      <c r="I157" s="27"/>
      <c r="J157" s="27"/>
      <c r="K157" s="27"/>
      <c r="L157" s="27"/>
      <c r="M157" s="27"/>
      <c r="N157" s="27"/>
      <c r="O157" s="27"/>
      <c r="P157" s="27"/>
      <c r="Q157" s="27"/>
      <c r="R157" s="27"/>
      <c r="S157" s="27"/>
      <c r="T157" s="136">
        <v>16.946333333333335</v>
      </c>
      <c r="U157" s="136">
        <v>10.829802203248056</v>
      </c>
      <c r="V157" s="136">
        <v>0.11165681411987989</v>
      </c>
      <c r="W157" s="136">
        <v>-4.703078123025715E-4</v>
      </c>
    </row>
    <row r="158" spans="1:23">
      <c r="A158" s="6"/>
      <c r="B158" s="6"/>
      <c r="C158" s="136"/>
      <c r="D158" s="136"/>
      <c r="E158" s="27"/>
      <c r="F158" s="27"/>
      <c r="G158" s="27"/>
      <c r="H158" s="27"/>
      <c r="I158" s="27"/>
      <c r="J158" s="27"/>
      <c r="K158" s="27"/>
      <c r="L158" s="27"/>
      <c r="M158" s="27"/>
      <c r="N158" s="27"/>
      <c r="O158" s="27"/>
      <c r="P158" s="27"/>
      <c r="Q158" s="27"/>
      <c r="R158" s="27"/>
      <c r="S158" s="27"/>
      <c r="T158" s="136">
        <v>17.042666666666666</v>
      </c>
      <c r="U158" s="136">
        <v>10.840552903699606</v>
      </c>
      <c r="V158" s="136">
        <v>0.11152840118561463</v>
      </c>
      <c r="W158" s="136">
        <v>-8.6251811236767002E-4</v>
      </c>
    </row>
    <row r="159" spans="1:23">
      <c r="A159" s="6"/>
      <c r="B159" s="6"/>
      <c r="C159" s="136"/>
      <c r="D159" s="136"/>
      <c r="E159" s="27"/>
      <c r="F159" s="27"/>
      <c r="G159" s="27"/>
      <c r="H159" s="27"/>
      <c r="I159" s="27"/>
      <c r="J159" s="27"/>
      <c r="K159" s="27"/>
      <c r="L159" s="27"/>
      <c r="M159" s="27"/>
      <c r="N159" s="27"/>
      <c r="O159" s="27"/>
      <c r="P159" s="27"/>
      <c r="Q159" s="27"/>
      <c r="R159" s="27"/>
      <c r="S159" s="27"/>
      <c r="T159" s="136">
        <v>17.138999999999999</v>
      </c>
      <c r="U159" s="136">
        <v>10.85128759897316</v>
      </c>
      <c r="V159" s="136">
        <v>0.11132445114767239</v>
      </c>
      <c r="W159" s="136">
        <v>-1.2544412892384596E-3</v>
      </c>
    </row>
    <row r="160" spans="1:23">
      <c r="A160" s="6"/>
      <c r="B160" s="6"/>
      <c r="C160" s="136"/>
      <c r="D160" s="136"/>
      <c r="E160" s="27"/>
      <c r="F160" s="27"/>
      <c r="G160" s="27"/>
      <c r="H160" s="27"/>
      <c r="I160" s="27"/>
      <c r="J160" s="27"/>
      <c r="K160" s="27"/>
      <c r="L160" s="27"/>
      <c r="M160" s="27"/>
      <c r="N160" s="27"/>
      <c r="O160" s="27"/>
      <c r="P160" s="27"/>
      <c r="Q160" s="27"/>
      <c r="R160" s="27"/>
      <c r="S160" s="27"/>
      <c r="T160" s="136">
        <v>17.235333333333333</v>
      </c>
      <c r="U160" s="136">
        <v>10.861999012326709</v>
      </c>
      <c r="V160" s="136">
        <v>0.11104496400605315</v>
      </c>
      <c r="W160" s="136">
        <v>-1.6464601739367255E-3</v>
      </c>
    </row>
    <row r="161" spans="1:23">
      <c r="A161" s="6"/>
      <c r="B161" s="6"/>
      <c r="C161" s="136"/>
      <c r="D161" s="136"/>
      <c r="E161" s="27"/>
      <c r="F161" s="27"/>
      <c r="G161" s="27"/>
      <c r="H161" s="27"/>
      <c r="I161" s="27"/>
      <c r="J161" s="27"/>
      <c r="K161" s="27"/>
      <c r="L161" s="27"/>
      <c r="M161" s="27"/>
      <c r="N161" s="27"/>
      <c r="O161" s="27"/>
      <c r="P161" s="27"/>
      <c r="Q161" s="27"/>
      <c r="R161" s="27"/>
      <c r="S161" s="27"/>
      <c r="T161" s="136">
        <v>17.331666666666667</v>
      </c>
      <c r="U161" s="136">
        <v>10.872679867018247</v>
      </c>
      <c r="V161" s="136">
        <v>0.11068993974231725</v>
      </c>
      <c r="W161" s="136">
        <v>-2.0384790585629615E-3</v>
      </c>
    </row>
    <row r="162" spans="1:23">
      <c r="A162" s="6"/>
      <c r="B162" s="6"/>
      <c r="C162" s="136"/>
      <c r="D162" s="136"/>
      <c r="E162" s="27"/>
      <c r="F162" s="27"/>
      <c r="G162" s="27"/>
      <c r="H162" s="27"/>
      <c r="I162" s="27"/>
      <c r="J162" s="27"/>
      <c r="K162" s="27"/>
      <c r="L162" s="27"/>
      <c r="M162" s="27"/>
      <c r="N162" s="27"/>
      <c r="O162" s="27"/>
      <c r="P162" s="27"/>
      <c r="Q162" s="27"/>
      <c r="R162" s="27"/>
      <c r="S162" s="27"/>
      <c r="T162" s="136">
        <v>17.428000000000001</v>
      </c>
      <c r="U162" s="136">
        <v>10.883322886305766</v>
      </c>
      <c r="V162" s="136">
        <v>0.11025937833802497</v>
      </c>
      <c r="W162" s="136">
        <v>-2.4306893587000902E-3</v>
      </c>
    </row>
    <row r="163" spans="1:23">
      <c r="A163" s="6"/>
      <c r="B163" s="6"/>
      <c r="C163" s="136"/>
      <c r="D163" s="136"/>
      <c r="E163" s="27"/>
      <c r="F163" s="27"/>
      <c r="G163" s="27"/>
      <c r="H163" s="27"/>
      <c r="I163" s="27"/>
      <c r="J163" s="27"/>
      <c r="K163" s="27"/>
      <c r="L163" s="27"/>
      <c r="M163" s="27"/>
      <c r="N163" s="27"/>
      <c r="O163" s="27"/>
      <c r="P163" s="27"/>
      <c r="Q163" s="27"/>
      <c r="R163" s="27"/>
      <c r="S163" s="27"/>
      <c r="T163" s="136">
        <v>17.524333333333335</v>
      </c>
      <c r="U163" s="136">
        <v>10.893920793447254</v>
      </c>
      <c r="V163" s="136">
        <v>0.10975327984849541</v>
      </c>
      <c r="W163" s="136">
        <v>-2.8226125355708797E-3</v>
      </c>
    </row>
    <row r="164" spans="1:23">
      <c r="A164" s="6"/>
      <c r="B164" s="6"/>
      <c r="C164" s="136"/>
      <c r="D164" s="136"/>
      <c r="E164" s="27"/>
      <c r="F164" s="27"/>
      <c r="G164" s="27"/>
      <c r="H164" s="27"/>
      <c r="I164" s="27"/>
      <c r="J164" s="27"/>
      <c r="K164" s="27"/>
      <c r="L164" s="27"/>
      <c r="M164" s="27"/>
      <c r="N164" s="27"/>
      <c r="O164" s="27"/>
      <c r="P164" s="27"/>
      <c r="Q164" s="27"/>
      <c r="R164" s="27"/>
      <c r="S164" s="27"/>
      <c r="T164" s="136">
        <v>17.620666666666668</v>
      </c>
      <c r="U164" s="136">
        <v>10.904466311700709</v>
      </c>
      <c r="V164" s="136">
        <v>0.10917164421840947</v>
      </c>
      <c r="W164" s="136">
        <v>-3.2148228357080084E-3</v>
      </c>
    </row>
    <row r="165" spans="1:23">
      <c r="A165" s="6"/>
      <c r="B165" s="6"/>
      <c r="C165" s="136"/>
      <c r="D165" s="136"/>
      <c r="E165" s="27"/>
      <c r="F165" s="27"/>
      <c r="G165" s="27"/>
      <c r="H165" s="27"/>
      <c r="I165" s="27"/>
      <c r="J165" s="27"/>
      <c r="K165" s="27"/>
      <c r="L165" s="27"/>
      <c r="M165" s="27"/>
      <c r="N165" s="27"/>
      <c r="O165" s="27"/>
      <c r="P165" s="27"/>
      <c r="Q165" s="27"/>
      <c r="R165" s="27"/>
      <c r="S165" s="27"/>
      <c r="T165" s="136">
        <v>17.717000000000002</v>
      </c>
      <c r="U165" s="136">
        <v>10.914952164324118</v>
      </c>
      <c r="V165" s="136">
        <v>0.10851447150308624</v>
      </c>
      <c r="W165" s="136">
        <v>-3.606841720334244E-3</v>
      </c>
    </row>
    <row r="166" spans="1:23">
      <c r="A166" s="6"/>
      <c r="B166" s="6"/>
      <c r="C166" s="136"/>
      <c r="D166" s="136"/>
      <c r="E166" s="27"/>
      <c r="F166" s="27"/>
      <c r="G166" s="27"/>
      <c r="H166" s="27"/>
      <c r="I166" s="27"/>
      <c r="J166" s="27"/>
      <c r="K166" s="27"/>
      <c r="L166" s="27"/>
      <c r="M166" s="27"/>
      <c r="N166" s="27"/>
      <c r="O166" s="27"/>
      <c r="P166" s="27"/>
      <c r="Q166" s="27"/>
      <c r="R166" s="27"/>
      <c r="S166" s="27"/>
      <c r="T166" s="136">
        <v>17.813333333333333</v>
      </c>
      <c r="U166" s="136">
        <v>10.925371074575475</v>
      </c>
      <c r="V166" s="136">
        <v>0.10778176166564635</v>
      </c>
      <c r="W166" s="136">
        <v>-3.9988606049604801E-3</v>
      </c>
    </row>
    <row r="167" spans="1:23">
      <c r="A167" s="6"/>
      <c r="B167" s="6"/>
      <c r="C167" s="136"/>
      <c r="D167" s="136"/>
      <c r="E167" s="27"/>
      <c r="F167" s="27"/>
      <c r="G167" s="27"/>
      <c r="H167" s="27"/>
      <c r="I167" s="27"/>
      <c r="J167" s="27"/>
      <c r="K167" s="27"/>
      <c r="L167" s="27"/>
      <c r="M167" s="27"/>
      <c r="N167" s="27"/>
      <c r="O167" s="27"/>
      <c r="P167" s="27"/>
      <c r="Q167" s="27"/>
      <c r="R167" s="27"/>
      <c r="S167" s="27"/>
      <c r="T167" s="136">
        <v>17.909666666666666</v>
      </c>
      <c r="U167" s="136">
        <v>10.935715765712771</v>
      </c>
      <c r="V167" s="136">
        <v>0.10697351470608976</v>
      </c>
      <c r="W167" s="136">
        <v>-4.3908794895867161E-3</v>
      </c>
    </row>
    <row r="168" spans="1:23">
      <c r="A168" s="6"/>
      <c r="B168" s="6"/>
      <c r="C168" s="136"/>
      <c r="D168" s="136"/>
      <c r="E168" s="27"/>
      <c r="F168" s="27"/>
      <c r="G168" s="27"/>
      <c r="H168" s="27"/>
      <c r="I168" s="27"/>
      <c r="J168" s="27"/>
      <c r="K168" s="27"/>
      <c r="L168" s="27"/>
      <c r="M168" s="27"/>
      <c r="N168" s="27"/>
      <c r="O168" s="27"/>
      <c r="P168" s="27"/>
      <c r="Q168" s="27"/>
      <c r="R168" s="27"/>
      <c r="S168" s="27"/>
      <c r="T168" s="136">
        <v>18.006</v>
      </c>
      <c r="U168" s="136">
        <v>10.945978960994001</v>
      </c>
      <c r="V168" s="136">
        <v>0.10608973062441651</v>
      </c>
      <c r="W168" s="136">
        <v>-4.7830897896518143E-3</v>
      </c>
    </row>
    <row r="169" spans="1:23">
      <c r="A169" s="6"/>
      <c r="B169" s="6"/>
      <c r="C169" s="136"/>
      <c r="D169" s="136"/>
      <c r="E169" s="27"/>
      <c r="F169" s="27"/>
      <c r="G169" s="27"/>
      <c r="H169" s="27"/>
      <c r="I169" s="27"/>
      <c r="J169" s="27"/>
      <c r="K169" s="27"/>
      <c r="L169" s="27"/>
      <c r="M169" s="27"/>
      <c r="N169" s="27"/>
      <c r="O169" s="27"/>
      <c r="P169" s="27"/>
      <c r="Q169" s="27"/>
      <c r="R169" s="27"/>
      <c r="S169" s="27"/>
      <c r="T169" s="136">
        <v>18.102333333333334</v>
      </c>
      <c r="U169" s="136">
        <v>10.956153383677153</v>
      </c>
      <c r="V169" s="136">
        <v>0.10513040945750596</v>
      </c>
      <c r="W169" s="136">
        <v>-5.1750129665946339E-3</v>
      </c>
    </row>
    <row r="170" spans="1:23">
      <c r="A170" s="6"/>
      <c r="B170" s="6"/>
      <c r="C170" s="136"/>
      <c r="D170" s="136"/>
      <c r="E170" s="27"/>
      <c r="F170" s="27"/>
      <c r="G170" s="27"/>
      <c r="H170" s="27"/>
      <c r="I170" s="27"/>
      <c r="J170" s="27"/>
      <c r="K170" s="27"/>
      <c r="L170" s="27"/>
      <c r="M170" s="27"/>
      <c r="N170" s="27"/>
      <c r="O170" s="27"/>
      <c r="P170" s="27"/>
      <c r="Q170" s="27"/>
      <c r="R170" s="27"/>
      <c r="S170" s="27"/>
      <c r="T170" s="136">
        <v>18.198666666666668</v>
      </c>
      <c r="U170" s="136">
        <v>10.966231757020223</v>
      </c>
      <c r="V170" s="136">
        <v>0.10409555115003903</v>
      </c>
      <c r="W170" s="136">
        <v>-5.5671275589763165E-3</v>
      </c>
    </row>
    <row r="171" spans="1:23">
      <c r="A171" s="6"/>
      <c r="B171" s="6"/>
      <c r="C171" s="136"/>
      <c r="D171" s="136"/>
      <c r="E171" s="27"/>
      <c r="F171" s="27"/>
      <c r="G171" s="27"/>
      <c r="H171" s="27"/>
      <c r="I171" s="27"/>
      <c r="J171" s="27"/>
      <c r="K171" s="27"/>
      <c r="L171" s="27"/>
      <c r="M171" s="27"/>
      <c r="N171" s="27"/>
      <c r="O171" s="27"/>
      <c r="P171" s="27"/>
      <c r="Q171" s="27"/>
      <c r="R171" s="27"/>
      <c r="S171" s="27"/>
      <c r="T171" s="136">
        <v>18.295000000000002</v>
      </c>
      <c r="U171" s="136">
        <v>10.976206804281199</v>
      </c>
      <c r="V171" s="136">
        <v>0.10298515573889513</v>
      </c>
      <c r="W171" s="136">
        <v>-5.9591464436025525E-3</v>
      </c>
    </row>
    <row r="172" spans="1:23">
      <c r="A172" s="6"/>
      <c r="B172" s="6"/>
      <c r="C172" s="136"/>
      <c r="D172" s="136"/>
      <c r="E172" s="27"/>
      <c r="F172" s="27"/>
      <c r="G172" s="27"/>
      <c r="H172" s="27"/>
      <c r="I172" s="27"/>
      <c r="J172" s="27"/>
      <c r="K172" s="27"/>
      <c r="L172" s="27"/>
      <c r="M172" s="27"/>
      <c r="N172" s="27"/>
      <c r="O172" s="27"/>
      <c r="P172" s="27"/>
      <c r="Q172" s="27"/>
      <c r="R172" s="27"/>
      <c r="S172" s="27"/>
      <c r="T172" s="136">
        <v>18.391333333333336</v>
      </c>
      <c r="U172" s="136">
        <v>10.986071248718076</v>
      </c>
      <c r="V172" s="136">
        <v>0.10179922320563456</v>
      </c>
      <c r="W172" s="136">
        <v>-6.3512610359842342E-3</v>
      </c>
    </row>
    <row r="173" spans="1:23">
      <c r="A173" s="6"/>
      <c r="B173" s="6"/>
      <c r="C173" s="136"/>
      <c r="D173" s="136"/>
      <c r="E173" s="27"/>
      <c r="F173" s="27"/>
      <c r="G173" s="27"/>
      <c r="H173" s="27"/>
      <c r="I173" s="27"/>
      <c r="J173" s="27"/>
      <c r="K173" s="27"/>
      <c r="L173" s="27"/>
      <c r="M173" s="27"/>
      <c r="N173" s="27"/>
      <c r="O173" s="27"/>
      <c r="P173" s="27"/>
      <c r="Q173" s="27"/>
      <c r="R173" s="27"/>
      <c r="S173" s="27"/>
      <c r="T173" s="136">
        <v>18.487666666666666</v>
      </c>
      <c r="U173" s="136">
        <v>10.995818285770943</v>
      </c>
      <c r="V173" s="136">
        <v>0.10055871757892487</v>
      </c>
      <c r="W173" s="136">
        <v>-6.4338568117912956E-3</v>
      </c>
    </row>
    <row r="174" spans="1:23">
      <c r="A174" s="6"/>
      <c r="B174" s="6"/>
      <c r="C174" s="136"/>
      <c r="D174" s="136"/>
      <c r="E174" s="27"/>
      <c r="F174" s="27"/>
      <c r="G174" s="27"/>
      <c r="H174" s="27"/>
      <c r="I174" s="27"/>
      <c r="J174" s="27"/>
      <c r="K174" s="27"/>
      <c r="L174" s="27"/>
      <c r="M174" s="27"/>
      <c r="N174" s="27"/>
      <c r="O174" s="27"/>
      <c r="P174" s="27"/>
      <c r="Q174" s="27"/>
      <c r="R174" s="27"/>
      <c r="S174" s="27"/>
      <c r="T174" s="136">
        <v>18.584</v>
      </c>
      <c r="U174" s="136">
        <v>11.005445944433275</v>
      </c>
      <c r="V174" s="136">
        <v>9.9323787616712789E-2</v>
      </c>
      <c r="W174" s="136">
        <v>-6.385620112986475E-3</v>
      </c>
    </row>
    <row r="175" spans="1:23">
      <c r="A175" s="6"/>
      <c r="B175" s="6"/>
      <c r="C175" s="136"/>
      <c r="D175" s="136"/>
      <c r="E175" s="27"/>
      <c r="F175" s="27"/>
      <c r="G175" s="27"/>
      <c r="H175" s="27"/>
      <c r="I175" s="27"/>
      <c r="J175" s="27"/>
      <c r="K175" s="27"/>
      <c r="L175" s="27"/>
      <c r="M175" s="27"/>
      <c r="N175" s="27"/>
      <c r="O175" s="27"/>
      <c r="P175" s="27"/>
      <c r="Q175" s="27"/>
      <c r="R175" s="27"/>
      <c r="S175" s="27"/>
      <c r="T175" s="136">
        <v>18.680333333333333</v>
      </c>
      <c r="U175" s="136">
        <v>11.014955086655046</v>
      </c>
      <c r="V175" s="136">
        <v>9.8098177959121041E-2</v>
      </c>
      <c r="W175" s="136">
        <v>-6.3370962911314041E-3</v>
      </c>
    </row>
    <row r="176" spans="1:23">
      <c r="A176" s="6"/>
      <c r="B176" s="6"/>
      <c r="C176" s="136"/>
      <c r="D176" s="136"/>
      <c r="E176" s="27"/>
      <c r="F176" s="27"/>
      <c r="G176" s="27"/>
      <c r="H176" s="27"/>
      <c r="I176" s="27"/>
      <c r="J176" s="27"/>
      <c r="K176" s="27"/>
      <c r="L176" s="27"/>
      <c r="M176" s="27"/>
      <c r="N176" s="27"/>
      <c r="O176" s="27"/>
      <c r="P176" s="27"/>
      <c r="Q176" s="27"/>
      <c r="R176" s="27"/>
      <c r="S176" s="27"/>
      <c r="T176" s="136">
        <v>18.776666666666667</v>
      </c>
      <c r="U176" s="136">
        <v>11.024346610288084</v>
      </c>
      <c r="V176" s="136">
        <v>9.6881888532390908E-2</v>
      </c>
      <c r="W176" s="136">
        <v>-6.2887638847151971E-3</v>
      </c>
    </row>
    <row r="177" spans="1:23">
      <c r="A177" s="6"/>
      <c r="B177" s="6"/>
      <c r="C177" s="136"/>
      <c r="D177" s="136"/>
      <c r="E177" s="27"/>
      <c r="F177" s="27"/>
      <c r="G177" s="27"/>
      <c r="H177" s="27"/>
      <c r="I177" s="27"/>
      <c r="J177" s="27"/>
      <c r="K177" s="27"/>
      <c r="L177" s="27"/>
      <c r="M177" s="27"/>
      <c r="N177" s="27"/>
      <c r="O177" s="27"/>
      <c r="P177" s="27"/>
      <c r="Q177" s="27"/>
      <c r="R177" s="27"/>
      <c r="S177" s="27"/>
      <c r="T177" s="136">
        <v>18.873000000000001</v>
      </c>
      <c r="U177" s="136">
        <v>11.033621413184209</v>
      </c>
      <c r="V177" s="136">
        <v>9.5674919373401737E-2</v>
      </c>
      <c r="W177" s="136">
        <v>-6.2404314782989892E-3</v>
      </c>
    </row>
    <row r="178" spans="1:23">
      <c r="A178" s="6"/>
      <c r="B178" s="6"/>
      <c r="C178" s="136"/>
      <c r="D178" s="136"/>
      <c r="E178" s="27"/>
      <c r="F178" s="27"/>
      <c r="G178" s="27"/>
      <c r="H178" s="27"/>
      <c r="I178" s="27"/>
      <c r="J178" s="27"/>
      <c r="K178" s="27"/>
      <c r="L178" s="27"/>
      <c r="M178" s="27"/>
      <c r="N178" s="27"/>
      <c r="O178" s="27"/>
      <c r="P178" s="27"/>
      <c r="Q178" s="27"/>
      <c r="R178" s="27"/>
      <c r="S178" s="27"/>
      <c r="T178" s="136">
        <v>18.969333333333331</v>
      </c>
      <c r="U178" s="136">
        <v>11.042780393195242</v>
      </c>
      <c r="V178" s="136">
        <v>9.4477270482153555E-2</v>
      </c>
      <c r="W178" s="136">
        <v>-6.1920033641273357E-3</v>
      </c>
    </row>
    <row r="179" spans="1:23">
      <c r="A179" s="6"/>
      <c r="B179" s="6"/>
      <c r="C179" s="136"/>
      <c r="D179" s="136"/>
      <c r="E179" s="27"/>
      <c r="F179" s="27"/>
      <c r="G179" s="27"/>
      <c r="H179" s="27"/>
      <c r="I179" s="27"/>
      <c r="J179" s="27"/>
      <c r="K179" s="27"/>
      <c r="L179" s="27"/>
      <c r="M179" s="27"/>
      <c r="N179" s="27"/>
      <c r="O179" s="27"/>
      <c r="P179" s="27"/>
      <c r="Q179" s="27"/>
      <c r="R179" s="27"/>
      <c r="S179" s="27"/>
      <c r="T179" s="136">
        <v>19.065666666666665</v>
      </c>
      <c r="U179" s="136">
        <v>11.051824448173008</v>
      </c>
      <c r="V179" s="136">
        <v>9.3288941840206654E-2</v>
      </c>
      <c r="W179" s="136">
        <v>-6.1437666653945443E-3</v>
      </c>
    </row>
    <row r="180" spans="1:23">
      <c r="A180" s="6"/>
      <c r="B180" s="6"/>
      <c r="C180" s="136"/>
      <c r="D180" s="136"/>
      <c r="E180" s="27"/>
      <c r="F180" s="27"/>
      <c r="G180" s="27"/>
      <c r="H180" s="27"/>
      <c r="I180" s="27"/>
      <c r="J180" s="27"/>
      <c r="K180" s="27"/>
      <c r="L180" s="27"/>
      <c r="M180" s="27"/>
      <c r="N180" s="27"/>
      <c r="O180" s="27"/>
      <c r="P180" s="27"/>
      <c r="Q180" s="27"/>
      <c r="R180" s="27"/>
      <c r="S180" s="27"/>
      <c r="T180" s="136">
        <v>19.161999999999999</v>
      </c>
      <c r="U180" s="136">
        <v>11.060754475969325</v>
      </c>
      <c r="V180" s="136">
        <v>9.2109933484440423E-2</v>
      </c>
      <c r="W180" s="136">
        <v>-6.0951471357840277E-3</v>
      </c>
    </row>
    <row r="181" spans="1:23">
      <c r="A181" s="6"/>
      <c r="B181" s="6"/>
      <c r="C181" s="136"/>
      <c r="D181" s="136"/>
      <c r="E181" s="27"/>
      <c r="F181" s="27"/>
      <c r="G181" s="27"/>
      <c r="H181" s="27"/>
      <c r="I181" s="27"/>
      <c r="J181" s="27"/>
      <c r="K181" s="27"/>
      <c r="L181" s="27"/>
      <c r="M181" s="27"/>
      <c r="N181" s="27"/>
      <c r="O181" s="27"/>
      <c r="P181" s="27"/>
      <c r="Q181" s="27"/>
      <c r="R181" s="27"/>
      <c r="S181" s="27"/>
      <c r="T181" s="136">
        <v>19.258333333333333</v>
      </c>
      <c r="U181" s="136">
        <v>11.069571374436022</v>
      </c>
      <c r="V181" s="136">
        <v>9.0940245359535793E-2</v>
      </c>
      <c r="W181" s="136">
        <v>-6.0469104370512363E-3</v>
      </c>
    </row>
    <row r="182" spans="1:23">
      <c r="A182" s="6"/>
      <c r="B182" s="6"/>
      <c r="C182" s="136"/>
      <c r="D182" s="136"/>
      <c r="E182" s="27"/>
      <c r="F182" s="27"/>
      <c r="G182" s="27"/>
      <c r="H182" s="27"/>
      <c r="I182" s="27"/>
      <c r="J182" s="27"/>
      <c r="K182" s="27"/>
      <c r="L182" s="27"/>
      <c r="M182" s="27"/>
      <c r="N182" s="27"/>
      <c r="O182" s="27"/>
      <c r="P182" s="27"/>
      <c r="Q182" s="27"/>
      <c r="R182" s="27"/>
      <c r="S182" s="27"/>
      <c r="T182" s="136">
        <v>19.354666666666667</v>
      </c>
      <c r="U182" s="136">
        <v>11.078276041424916</v>
      </c>
      <c r="V182" s="136">
        <v>8.9779877520811818E-2</v>
      </c>
      <c r="W182" s="136">
        <v>-5.9984823229516128E-3</v>
      </c>
    </row>
    <row r="183" spans="1:23">
      <c r="A183" s="6"/>
      <c r="B183" s="6"/>
      <c r="C183" s="136"/>
      <c r="D183" s="136"/>
      <c r="E183" s="27"/>
      <c r="F183" s="27"/>
      <c r="G183" s="27"/>
      <c r="H183" s="27"/>
      <c r="I183" s="27"/>
      <c r="J183" s="27"/>
      <c r="K183" s="27"/>
      <c r="L183" s="27"/>
      <c r="M183" s="27"/>
      <c r="N183" s="27"/>
      <c r="O183" s="27"/>
      <c r="P183" s="27"/>
      <c r="Q183" s="27"/>
      <c r="R183" s="27"/>
      <c r="S183" s="27"/>
      <c r="T183" s="136">
        <v>19.451000000000001</v>
      </c>
      <c r="U183" s="136">
        <v>11.086869374787831</v>
      </c>
      <c r="V183" s="136">
        <v>8.8628829931389139E-2</v>
      </c>
      <c r="W183" s="136">
        <v>-5.9500542087799592E-3</v>
      </c>
    </row>
    <row r="184" spans="1:23">
      <c r="A184" s="6"/>
      <c r="B184" s="6"/>
      <c r="C184" s="136"/>
      <c r="D184" s="136"/>
      <c r="E184" s="27"/>
      <c r="F184" s="27"/>
      <c r="G184" s="27"/>
      <c r="H184" s="27"/>
      <c r="I184" s="27"/>
      <c r="J184" s="27"/>
      <c r="K184" s="27"/>
      <c r="L184" s="27"/>
      <c r="M184" s="27"/>
      <c r="N184" s="27"/>
      <c r="O184" s="27"/>
      <c r="P184" s="27"/>
      <c r="Q184" s="27"/>
      <c r="R184" s="27"/>
      <c r="S184" s="27"/>
      <c r="T184" s="136">
        <v>19.547333333333334</v>
      </c>
      <c r="U184" s="136">
        <v>11.095352272376591</v>
      </c>
      <c r="V184" s="136">
        <v>8.748710259126774E-2</v>
      </c>
      <c r="W184" s="136">
        <v>-5.9018175101191979E-3</v>
      </c>
    </row>
    <row r="185" spans="1:23">
      <c r="A185" s="6"/>
      <c r="B185" s="6"/>
      <c r="C185" s="136"/>
      <c r="D185" s="136"/>
      <c r="E185" s="27"/>
      <c r="F185" s="27"/>
      <c r="G185" s="27"/>
      <c r="H185" s="27"/>
      <c r="I185" s="27"/>
      <c r="J185" s="27"/>
      <c r="K185" s="27"/>
      <c r="L185" s="27"/>
      <c r="M185" s="27"/>
      <c r="N185" s="27"/>
      <c r="O185" s="27"/>
      <c r="P185" s="27"/>
      <c r="Q185" s="27"/>
      <c r="R185" s="27"/>
      <c r="S185" s="27"/>
      <c r="T185" s="136">
        <v>19.643666666666668</v>
      </c>
      <c r="U185" s="136">
        <v>11.103725632043016</v>
      </c>
      <c r="V185" s="136">
        <v>8.6354695518887331E-2</v>
      </c>
      <c r="W185" s="136">
        <v>-5.85348510363096E-3</v>
      </c>
    </row>
    <row r="186" spans="1:23">
      <c r="A186" s="6"/>
      <c r="B186" s="6"/>
      <c r="C186" s="136"/>
      <c r="D186" s="136"/>
      <c r="E186" s="27"/>
      <c r="F186" s="27"/>
      <c r="G186" s="27"/>
      <c r="H186" s="27"/>
      <c r="I186" s="27"/>
      <c r="J186" s="27"/>
      <c r="K186" s="27"/>
      <c r="L186" s="27"/>
      <c r="M186" s="27"/>
      <c r="N186" s="27"/>
      <c r="O186" s="27"/>
      <c r="P186" s="27"/>
      <c r="Q186" s="27"/>
      <c r="R186" s="27"/>
      <c r="S186" s="27"/>
      <c r="T186" s="136">
        <v>19.739999999999998</v>
      </c>
      <c r="U186" s="136">
        <v>11.111990351638928</v>
      </c>
      <c r="V186" s="136">
        <v>8.5231608732687578E-2</v>
      </c>
      <c r="W186" s="136">
        <v>-5.8049612817758899E-3</v>
      </c>
    </row>
    <row r="187" spans="1:23">
      <c r="A187" s="6"/>
      <c r="B187" s="6"/>
      <c r="C187" s="136"/>
      <c r="D187" s="136"/>
      <c r="E187" s="27"/>
      <c r="F187" s="27"/>
      <c r="G187" s="27"/>
      <c r="H187" s="27"/>
      <c r="I187" s="27"/>
      <c r="J187" s="27"/>
      <c r="K187" s="27"/>
      <c r="L187" s="27"/>
      <c r="M187" s="27"/>
      <c r="N187" s="27"/>
      <c r="O187" s="27"/>
      <c r="P187" s="27"/>
      <c r="Q187" s="27"/>
      <c r="R187" s="27"/>
      <c r="S187" s="27"/>
      <c r="T187" s="136">
        <v>19.836333333333332</v>
      </c>
      <c r="U187" s="136">
        <v>11.120147329016154</v>
      </c>
      <c r="V187" s="136">
        <v>8.4117842158909745E-2</v>
      </c>
      <c r="W187" s="136">
        <v>-5.7568202907265151E-3</v>
      </c>
    </row>
    <row r="188" spans="1:23">
      <c r="A188" s="6"/>
      <c r="B188" s="6"/>
      <c r="C188" s="136"/>
      <c r="D188" s="136"/>
      <c r="E188" s="27"/>
      <c r="F188" s="27"/>
      <c r="G188" s="27"/>
      <c r="H188" s="27"/>
      <c r="I188" s="27"/>
      <c r="J188" s="27"/>
      <c r="K188" s="27"/>
      <c r="L188" s="27"/>
      <c r="M188" s="27"/>
      <c r="N188" s="27"/>
      <c r="O188" s="27"/>
      <c r="P188" s="27"/>
      <c r="Q188" s="27"/>
      <c r="R188" s="27"/>
      <c r="S188" s="27"/>
      <c r="T188" s="136">
        <v>19.932666666666666</v>
      </c>
      <c r="U188" s="136">
        <v>11.128197462026511</v>
      </c>
      <c r="V188" s="136">
        <v>8.3013395889752262E-2</v>
      </c>
      <c r="W188" s="136">
        <v>-5.708296468871445E-3</v>
      </c>
    </row>
    <row r="189" spans="1:23">
      <c r="A189" s="6"/>
      <c r="B189" s="6"/>
      <c r="C189" s="136"/>
      <c r="D189" s="136"/>
      <c r="E189" s="27"/>
      <c r="F189" s="27"/>
      <c r="G189" s="27"/>
      <c r="H189" s="27"/>
      <c r="I189" s="27"/>
      <c r="J189" s="27"/>
      <c r="K189" s="27"/>
      <c r="L189" s="27"/>
      <c r="M189" s="27"/>
      <c r="N189" s="27"/>
      <c r="O189" s="27"/>
      <c r="P189" s="27"/>
      <c r="Q189" s="27"/>
      <c r="R189" s="27"/>
      <c r="S189" s="27"/>
      <c r="T189" s="136">
        <v>20.029</v>
      </c>
      <c r="U189" s="136">
        <v>11.136141648521825</v>
      </c>
      <c r="V189" s="136">
        <v>8.191826986989606E-2</v>
      </c>
      <c r="W189" s="136">
        <v>-5.6599640624552371E-3</v>
      </c>
    </row>
    <row r="190" spans="1:23">
      <c r="A190" s="6"/>
      <c r="B190" s="6"/>
      <c r="C190" s="136"/>
      <c r="D190" s="136"/>
      <c r="E190" s="27"/>
      <c r="F190" s="27"/>
      <c r="G190" s="27"/>
      <c r="H190" s="27"/>
      <c r="I190" s="27"/>
      <c r="J190" s="27"/>
      <c r="K190" s="27"/>
      <c r="L190" s="27"/>
      <c r="M190" s="27"/>
      <c r="N190" s="27"/>
      <c r="O190" s="27"/>
      <c r="P190" s="27"/>
      <c r="Q190" s="27"/>
      <c r="R190" s="27"/>
      <c r="S190" s="27"/>
      <c r="T190" s="136">
        <v>20.125333333333334</v>
      </c>
      <c r="U190" s="136">
        <v>11.143980786353916</v>
      </c>
      <c r="V190" s="136">
        <v>8.0832464099341153E-2</v>
      </c>
      <c r="W190" s="136">
        <v>-5.6116316560390301E-3</v>
      </c>
    </row>
    <row r="191" spans="1:23">
      <c r="A191" s="6"/>
      <c r="B191" s="6"/>
      <c r="C191" s="136"/>
      <c r="D191" s="136"/>
      <c r="E191" s="27"/>
      <c r="F191" s="27"/>
      <c r="G191" s="27"/>
      <c r="H191" s="27"/>
      <c r="I191" s="27"/>
      <c r="J191" s="27"/>
      <c r="K191" s="27"/>
      <c r="L191" s="27"/>
      <c r="M191" s="27"/>
      <c r="N191" s="27"/>
      <c r="O191" s="27"/>
      <c r="P191" s="27"/>
      <c r="Q191" s="27"/>
      <c r="R191" s="27"/>
      <c r="S191" s="27"/>
      <c r="T191" s="136">
        <v>20.221666666666668</v>
      </c>
      <c r="U191" s="136">
        <v>11.151715773374608</v>
      </c>
      <c r="V191" s="136">
        <v>7.9755978596527222E-2</v>
      </c>
      <c r="W191" s="136">
        <v>-5.5632035418673757E-3</v>
      </c>
    </row>
    <row r="192" spans="1:23">
      <c r="A192" s="6"/>
      <c r="B192" s="6"/>
      <c r="C192" s="136"/>
      <c r="D192" s="136"/>
      <c r="E192" s="27"/>
      <c r="F192" s="27"/>
      <c r="G192" s="27"/>
      <c r="H192" s="27"/>
      <c r="I192" s="27"/>
      <c r="J192" s="27"/>
      <c r="K192" s="27"/>
      <c r="L192" s="27"/>
      <c r="M192" s="27"/>
      <c r="N192" s="27"/>
      <c r="O192" s="27"/>
      <c r="P192" s="27"/>
      <c r="Q192" s="27"/>
      <c r="R192" s="27"/>
      <c r="S192" s="27"/>
      <c r="T192" s="136">
        <v>20.318000000000001</v>
      </c>
      <c r="U192" s="136">
        <v>11.159347507435722</v>
      </c>
      <c r="V192" s="136">
        <v>7.8688813361454266E-2</v>
      </c>
      <c r="W192" s="136">
        <v>-5.5147754276957221E-3</v>
      </c>
    </row>
    <row r="193" spans="1:23">
      <c r="A193" s="6"/>
      <c r="B193" s="6"/>
      <c r="C193" s="136"/>
      <c r="D193" s="136"/>
      <c r="E193" s="27"/>
      <c r="F193" s="27"/>
      <c r="G193" s="27"/>
      <c r="H193" s="27"/>
      <c r="I193" s="27"/>
      <c r="J193" s="27"/>
      <c r="K193" s="27"/>
      <c r="L193" s="27"/>
      <c r="M193" s="27"/>
      <c r="N193" s="27"/>
      <c r="O193" s="27"/>
      <c r="P193" s="27"/>
      <c r="Q193" s="27"/>
      <c r="R193" s="27"/>
      <c r="S193" s="27"/>
      <c r="T193" s="136">
        <v>20.414333333333332</v>
      </c>
      <c r="U193" s="136">
        <v>11.166876886389081</v>
      </c>
      <c r="V193" s="136">
        <v>7.7630968394122299E-2</v>
      </c>
      <c r="W193" s="136">
        <v>-5.4663473134520385E-3</v>
      </c>
    </row>
    <row r="194" spans="1:23">
      <c r="A194" s="6"/>
      <c r="B194" s="6"/>
      <c r="C194" s="136"/>
      <c r="D194" s="136"/>
      <c r="E194" s="27"/>
      <c r="F194" s="27"/>
      <c r="G194" s="27"/>
      <c r="H194" s="27"/>
      <c r="I194" s="27"/>
      <c r="J194" s="27"/>
      <c r="K194" s="27"/>
      <c r="L194" s="27"/>
      <c r="M194" s="27"/>
      <c r="N194" s="27"/>
      <c r="O194" s="27"/>
      <c r="P194" s="27"/>
      <c r="Q194" s="27"/>
      <c r="R194" s="27"/>
      <c r="S194" s="27"/>
      <c r="T194" s="136">
        <v>20.510666666666665</v>
      </c>
      <c r="U194" s="136">
        <v>11.174304808086511</v>
      </c>
      <c r="V194" s="136">
        <v>7.6582443657651919E-2</v>
      </c>
      <c r="W194" s="136">
        <v>-5.4181106147912772E-3</v>
      </c>
    </row>
    <row r="195" spans="1:23">
      <c r="A195" s="6"/>
      <c r="B195" s="6"/>
      <c r="C195" s="136"/>
      <c r="D195" s="136"/>
      <c r="E195" s="27"/>
      <c r="F195" s="27"/>
      <c r="G195" s="27"/>
      <c r="H195" s="27"/>
      <c r="I195" s="27"/>
      <c r="J195" s="27"/>
      <c r="K195" s="27"/>
      <c r="L195" s="27"/>
      <c r="M195" s="27"/>
      <c r="N195" s="27"/>
      <c r="O195" s="27"/>
      <c r="P195" s="27"/>
      <c r="Q195" s="27"/>
      <c r="R195" s="27"/>
      <c r="S195" s="27"/>
      <c r="T195" s="136">
        <v>20.606999999999999</v>
      </c>
      <c r="U195" s="136">
        <v>11.181632170379828</v>
      </c>
      <c r="V195" s="136">
        <v>7.5543239207362209E-2</v>
      </c>
      <c r="W195" s="136">
        <v>-5.3696825006196228E-3</v>
      </c>
    </row>
    <row r="196" spans="1:23">
      <c r="A196" s="6"/>
      <c r="B196" s="6"/>
      <c r="C196" s="136"/>
      <c r="D196" s="136"/>
      <c r="E196" s="27"/>
      <c r="F196" s="27"/>
      <c r="G196" s="27"/>
      <c r="H196" s="27"/>
      <c r="I196" s="27"/>
      <c r="J196" s="27"/>
      <c r="K196" s="27"/>
      <c r="L196" s="27"/>
      <c r="M196" s="27"/>
      <c r="N196" s="27"/>
      <c r="O196" s="27"/>
      <c r="P196" s="27"/>
      <c r="Q196" s="27"/>
      <c r="R196" s="27"/>
      <c r="S196" s="27"/>
      <c r="T196" s="136">
        <v>20.703333333333333</v>
      </c>
      <c r="U196" s="136">
        <v>11.188859871120858</v>
      </c>
      <c r="V196" s="136">
        <v>7.4513355024813474E-2</v>
      </c>
      <c r="W196" s="136">
        <v>-5.3212543864479692E-3</v>
      </c>
    </row>
    <row r="197" spans="1:23">
      <c r="A197" s="6"/>
      <c r="B197" s="6"/>
      <c r="C197" s="136"/>
      <c r="D197" s="136"/>
      <c r="E197" s="27"/>
      <c r="F197" s="27"/>
      <c r="G197" s="27"/>
      <c r="H197" s="27"/>
      <c r="I197" s="27"/>
      <c r="J197" s="27"/>
      <c r="K197" s="27"/>
      <c r="L197" s="27"/>
      <c r="M197" s="27"/>
      <c r="N197" s="27"/>
      <c r="O197" s="27"/>
      <c r="P197" s="27"/>
      <c r="Q197" s="27"/>
      <c r="R197" s="27"/>
      <c r="S197" s="27"/>
      <c r="T197" s="136">
        <v>20.799666666666667</v>
      </c>
      <c r="U197" s="136">
        <v>11.195988808161424</v>
      </c>
      <c r="V197" s="136">
        <v>7.349279109156602E-2</v>
      </c>
      <c r="W197" s="136">
        <v>-5.2728262723483457E-3</v>
      </c>
    </row>
    <row r="198" spans="1:23">
      <c r="A198" s="6"/>
      <c r="B198" s="6"/>
      <c r="C198" s="136"/>
      <c r="D198" s="136"/>
      <c r="E198" s="27"/>
      <c r="F198" s="27"/>
      <c r="G198" s="27"/>
      <c r="H198" s="27"/>
      <c r="I198" s="27"/>
      <c r="J198" s="27"/>
      <c r="K198" s="27"/>
      <c r="L198" s="27"/>
      <c r="M198" s="27"/>
      <c r="N198" s="27"/>
      <c r="O198" s="27"/>
      <c r="P198" s="27"/>
      <c r="Q198" s="27"/>
      <c r="R198" s="27"/>
      <c r="S198" s="27"/>
      <c r="T198" s="136">
        <v>20.896000000000001</v>
      </c>
      <c r="U198" s="136">
        <v>11.203019879353347</v>
      </c>
      <c r="V198" s="136">
        <v>7.2481547407619862E-2</v>
      </c>
      <c r="W198" s="136">
        <v>-5.2245895736155543E-3</v>
      </c>
    </row>
    <row r="199" spans="1:23">
      <c r="A199" s="6"/>
      <c r="B199" s="6"/>
      <c r="C199" s="136"/>
      <c r="D199" s="136"/>
      <c r="E199" s="27"/>
      <c r="F199" s="27"/>
      <c r="G199" s="27"/>
      <c r="H199" s="27"/>
      <c r="I199" s="27"/>
      <c r="J199" s="27"/>
      <c r="K199" s="27"/>
      <c r="L199" s="27"/>
      <c r="M199" s="27"/>
      <c r="N199" s="27"/>
      <c r="O199" s="27"/>
      <c r="P199" s="27"/>
      <c r="Q199" s="27"/>
      <c r="R199" s="27"/>
      <c r="S199" s="27"/>
      <c r="T199" s="136">
        <v>20.992333333333335</v>
      </c>
      <c r="U199" s="136">
        <v>11.209953982548448</v>
      </c>
      <c r="V199" s="136">
        <v>7.1479624009854373E-2</v>
      </c>
      <c r="W199" s="136">
        <v>-5.1760657516884542E-3</v>
      </c>
    </row>
    <row r="200" spans="1:23">
      <c r="A200" s="6"/>
      <c r="B200" s="6"/>
      <c r="C200" s="136"/>
      <c r="D200" s="136"/>
      <c r="E200" s="27"/>
      <c r="F200" s="27"/>
      <c r="G200" s="27"/>
      <c r="H200" s="27"/>
      <c r="I200" s="27"/>
      <c r="J200" s="27"/>
      <c r="K200" s="27"/>
      <c r="L200" s="27"/>
      <c r="M200" s="27"/>
      <c r="N200" s="27"/>
      <c r="O200" s="27"/>
      <c r="P200" s="27"/>
      <c r="Q200" s="27"/>
      <c r="R200" s="27"/>
      <c r="S200" s="27"/>
      <c r="T200" s="136">
        <v>21.088666666666665</v>
      </c>
      <c r="U200" s="136">
        <v>11.216792015598553</v>
      </c>
      <c r="V200" s="136">
        <v>7.0487020861390165E-2</v>
      </c>
      <c r="W200" s="136">
        <v>-5.1277333452722463E-3</v>
      </c>
    </row>
    <row r="201" spans="1:23">
      <c r="A201" s="6"/>
      <c r="B201" s="6"/>
      <c r="C201" s="136"/>
      <c r="D201" s="136"/>
      <c r="E201" s="27"/>
      <c r="F201" s="27"/>
      <c r="G201" s="27"/>
      <c r="H201" s="27"/>
      <c r="I201" s="27"/>
      <c r="J201" s="27"/>
      <c r="K201" s="27"/>
      <c r="L201" s="27"/>
      <c r="M201" s="27"/>
      <c r="N201" s="27"/>
      <c r="O201" s="27"/>
      <c r="P201" s="27"/>
      <c r="Q201" s="27"/>
      <c r="R201" s="27"/>
      <c r="S201" s="27"/>
      <c r="T201" s="136">
        <v>21.184999999999999</v>
      </c>
      <c r="U201" s="136">
        <v>11.223534876355483</v>
      </c>
      <c r="V201" s="136">
        <v>6.9503737962227252E-2</v>
      </c>
      <c r="W201" s="136">
        <v>-5.0794009388560393E-3</v>
      </c>
    </row>
    <row r="202" spans="1:23">
      <c r="A202" s="6"/>
      <c r="B202" s="6"/>
      <c r="C202" s="136"/>
      <c r="D202" s="136"/>
      <c r="E202" s="27"/>
      <c r="F202" s="27"/>
      <c r="G202" s="27"/>
      <c r="H202" s="27"/>
      <c r="I202" s="27"/>
      <c r="J202" s="27"/>
      <c r="K202" s="27"/>
      <c r="L202" s="27"/>
      <c r="M202" s="27"/>
      <c r="N202" s="27"/>
      <c r="O202" s="27"/>
      <c r="P202" s="27"/>
      <c r="Q202" s="27"/>
      <c r="R202" s="27"/>
      <c r="S202" s="27"/>
      <c r="T202" s="136">
        <v>21.281333333333333</v>
      </c>
      <c r="U202" s="136">
        <v>11.230183462671059</v>
      </c>
      <c r="V202" s="136">
        <v>6.8529775330805315E-2</v>
      </c>
      <c r="W202" s="136">
        <v>-5.0310685323678014E-3</v>
      </c>
    </row>
    <row r="203" spans="1:23">
      <c r="A203" s="6"/>
      <c r="B203" s="6"/>
      <c r="C203" s="136"/>
      <c r="D203" s="136"/>
      <c r="E203" s="27"/>
      <c r="F203" s="27"/>
      <c r="G203" s="27"/>
      <c r="H203" s="27"/>
      <c r="I203" s="27"/>
      <c r="J203" s="27"/>
      <c r="K203" s="27"/>
      <c r="L203" s="27"/>
      <c r="M203" s="27"/>
      <c r="N203" s="27"/>
      <c r="O203" s="27"/>
      <c r="P203" s="27"/>
      <c r="Q203" s="27"/>
      <c r="R203" s="27"/>
      <c r="S203" s="27"/>
      <c r="T203" s="136">
        <v>21.377666666666666</v>
      </c>
      <c r="U203" s="136">
        <v>11.236738672397106</v>
      </c>
      <c r="V203" s="136">
        <v>6.7565132967124353E-2</v>
      </c>
      <c r="W203" s="136">
        <v>-4.9827361259515935E-3</v>
      </c>
    </row>
    <row r="204" spans="1:23">
      <c r="A204" s="6"/>
      <c r="B204" s="6"/>
      <c r="C204" s="136"/>
      <c r="D204" s="136"/>
      <c r="E204" s="27"/>
      <c r="F204" s="27"/>
      <c r="G204" s="27"/>
      <c r="H204" s="27"/>
      <c r="I204" s="27"/>
      <c r="J204" s="27"/>
      <c r="K204" s="27"/>
      <c r="L204" s="27"/>
      <c r="M204" s="27"/>
      <c r="N204" s="27"/>
      <c r="O204" s="27"/>
      <c r="P204" s="27"/>
      <c r="Q204" s="27"/>
      <c r="R204" s="27"/>
      <c r="S204" s="27"/>
      <c r="T204" s="136">
        <v>21.474</v>
      </c>
      <c r="U204" s="136">
        <v>11.243201403385443</v>
      </c>
      <c r="V204" s="136">
        <v>6.6609810852744672E-2</v>
      </c>
      <c r="W204" s="136">
        <v>-4.93430801185197E-3</v>
      </c>
    </row>
    <row r="205" spans="1:23">
      <c r="A205" s="6"/>
      <c r="B205" s="6"/>
      <c r="C205" s="136"/>
      <c r="D205" s="136"/>
      <c r="E205" s="27"/>
      <c r="F205" s="27"/>
      <c r="G205" s="27"/>
      <c r="H205" s="27"/>
      <c r="I205" s="27"/>
      <c r="J205" s="27"/>
      <c r="K205" s="27"/>
      <c r="L205" s="27"/>
      <c r="M205" s="27"/>
      <c r="N205" s="27"/>
      <c r="O205" s="27"/>
      <c r="P205" s="27"/>
      <c r="Q205" s="27"/>
      <c r="R205" s="27"/>
      <c r="S205" s="27"/>
      <c r="T205" s="136">
        <v>21.570333333333334</v>
      </c>
      <c r="U205" s="136">
        <v>11.249572553487894</v>
      </c>
      <c r="V205" s="136">
        <v>6.5663809024545661E-2</v>
      </c>
      <c r="W205" s="136">
        <v>-4.8858798976803165E-3</v>
      </c>
    </row>
    <row r="206" spans="1:23">
      <c r="A206" s="6"/>
      <c r="B206" s="6"/>
      <c r="C206" s="136"/>
      <c r="D206" s="136"/>
      <c r="E206" s="27"/>
      <c r="F206" s="27"/>
      <c r="G206" s="27"/>
      <c r="H206" s="27"/>
      <c r="I206" s="27"/>
      <c r="J206" s="27"/>
      <c r="K206" s="27"/>
      <c r="L206" s="27"/>
      <c r="M206" s="27"/>
      <c r="N206" s="27"/>
      <c r="O206" s="27"/>
      <c r="P206" s="27"/>
      <c r="Q206" s="27"/>
      <c r="R206" s="27"/>
      <c r="S206" s="27"/>
      <c r="T206" s="136">
        <v>21.666666666666668</v>
      </c>
      <c r="U206" s="136">
        <v>11.255853020556282</v>
      </c>
      <c r="V206" s="136">
        <v>6.4727127445647945E-2</v>
      </c>
      <c r="W206" s="136">
        <v>-4.837451783508662E-3</v>
      </c>
    </row>
    <row r="207" spans="1:23">
      <c r="A207" s="6"/>
      <c r="B207" s="6"/>
      <c r="C207" s="136"/>
      <c r="D207" s="136"/>
      <c r="E207" s="27"/>
      <c r="F207" s="27"/>
      <c r="G207" s="27"/>
      <c r="H207" s="27"/>
      <c r="I207" s="27"/>
      <c r="J207" s="27"/>
      <c r="K207" s="27"/>
      <c r="L207" s="27"/>
      <c r="M207" s="27"/>
      <c r="N207" s="27"/>
      <c r="O207" s="27"/>
      <c r="P207" s="27"/>
      <c r="Q207" s="27"/>
      <c r="R207" s="27"/>
      <c r="S207" s="27"/>
      <c r="T207" s="136">
        <v>21.763000000000002</v>
      </c>
      <c r="U207" s="136">
        <v>11.26204370244243</v>
      </c>
      <c r="V207" s="136">
        <v>6.3799766116051509E-2</v>
      </c>
      <c r="W207" s="136">
        <v>-4.789119377092455E-3</v>
      </c>
    </row>
    <row r="208" spans="1:23">
      <c r="A208" s="6"/>
      <c r="B208" s="6"/>
      <c r="C208" s="136"/>
      <c r="D208" s="136"/>
      <c r="E208" s="27"/>
      <c r="F208" s="27"/>
      <c r="G208" s="27"/>
      <c r="H208" s="27"/>
      <c r="I208" s="27"/>
      <c r="J208" s="27"/>
      <c r="K208" s="27"/>
      <c r="L208" s="27"/>
      <c r="M208" s="27"/>
      <c r="N208" s="27"/>
      <c r="O208" s="27"/>
      <c r="P208" s="27"/>
      <c r="Q208" s="27"/>
      <c r="R208" s="27"/>
      <c r="S208" s="27"/>
      <c r="T208" s="136">
        <v>21.859333333333332</v>
      </c>
      <c r="U208" s="136">
        <v>11.268145496998159</v>
      </c>
      <c r="V208" s="136">
        <v>6.2881725054196064E-2</v>
      </c>
      <c r="W208" s="136">
        <v>-4.7406912628487705E-3</v>
      </c>
    </row>
    <row r="209" spans="1:23">
      <c r="A209" s="6"/>
      <c r="B209" s="6"/>
      <c r="C209" s="136"/>
      <c r="D209" s="136"/>
      <c r="E209" s="27"/>
      <c r="F209" s="27"/>
      <c r="G209" s="27"/>
      <c r="H209" s="27"/>
      <c r="I209" s="27"/>
      <c r="J209" s="27"/>
      <c r="K209" s="27"/>
      <c r="L209" s="27"/>
      <c r="M209" s="27"/>
      <c r="N209" s="27"/>
      <c r="O209" s="27"/>
      <c r="P209" s="27"/>
      <c r="Q209" s="27"/>
      <c r="R209" s="27"/>
      <c r="S209" s="27"/>
      <c r="T209" s="136">
        <v>21.955666666666666</v>
      </c>
      <c r="U209" s="136">
        <v>11.274159302075292</v>
      </c>
      <c r="V209" s="136">
        <v>6.1973004241641885E-2</v>
      </c>
      <c r="W209" s="136">
        <v>-4.6924545641880092E-3</v>
      </c>
    </row>
    <row r="210" spans="1:23">
      <c r="A210" s="6"/>
      <c r="B210" s="6"/>
      <c r="C210" s="136"/>
      <c r="D210" s="136"/>
      <c r="E210" s="27"/>
      <c r="F210" s="27"/>
      <c r="G210" s="27"/>
      <c r="H210" s="27"/>
      <c r="I210" s="27"/>
      <c r="J210" s="27"/>
      <c r="K210" s="27"/>
      <c r="L210" s="27"/>
      <c r="M210" s="27"/>
      <c r="N210" s="27"/>
      <c r="O210" s="27"/>
      <c r="P210" s="27"/>
      <c r="Q210" s="27"/>
      <c r="R210" s="27"/>
      <c r="S210" s="27"/>
      <c r="T210" s="136">
        <v>22.052</v>
      </c>
      <c r="U210" s="136">
        <v>11.280086015525651</v>
      </c>
      <c r="V210" s="136">
        <v>6.107360371526839E-2</v>
      </c>
      <c r="W210" s="136">
        <v>-4.6440264500163557E-3</v>
      </c>
    </row>
    <row r="211" spans="1:23">
      <c r="A211" s="6"/>
      <c r="B211" s="6"/>
      <c r="C211" s="136"/>
      <c r="D211" s="136"/>
      <c r="E211" s="27"/>
      <c r="F211" s="27"/>
      <c r="G211" s="27"/>
      <c r="H211" s="27"/>
      <c r="I211" s="27"/>
      <c r="J211" s="27"/>
      <c r="K211" s="27"/>
      <c r="L211" s="27"/>
      <c r="M211" s="27"/>
      <c r="N211" s="27"/>
      <c r="O211" s="27"/>
      <c r="P211" s="27"/>
      <c r="Q211" s="27"/>
      <c r="R211" s="27"/>
      <c r="S211" s="27"/>
      <c r="T211" s="136">
        <v>22.148333333333333</v>
      </c>
      <c r="U211" s="136">
        <v>11.285926535201058</v>
      </c>
      <c r="V211" s="136">
        <v>6.0183523438196176E-2</v>
      </c>
      <c r="W211" s="136">
        <v>-4.5955983358447021E-3</v>
      </c>
    </row>
    <row r="212" spans="1:23">
      <c r="A212" s="6"/>
      <c r="B212" s="6"/>
      <c r="C212" s="136"/>
      <c r="D212" s="136"/>
      <c r="E212" s="27"/>
      <c r="F212" s="27"/>
      <c r="G212" s="27"/>
      <c r="H212" s="27"/>
      <c r="I212" s="27"/>
      <c r="J212" s="27"/>
      <c r="K212" s="27"/>
      <c r="L212" s="27"/>
      <c r="M212" s="27"/>
      <c r="N212" s="27"/>
      <c r="O212" s="27"/>
      <c r="P212" s="27"/>
      <c r="Q212" s="27"/>
      <c r="R212" s="27"/>
      <c r="S212" s="27"/>
      <c r="T212" s="136">
        <v>22.244666666666667</v>
      </c>
      <c r="U212" s="136">
        <v>11.291681758953336</v>
      </c>
      <c r="V212" s="136">
        <v>5.9302763428864938E-2</v>
      </c>
      <c r="W212" s="136">
        <v>-4.5471702216730477E-3</v>
      </c>
    </row>
    <row r="213" spans="1:23">
      <c r="A213" s="6"/>
      <c r="B213" s="6"/>
      <c r="C213" s="136"/>
      <c r="D213" s="136"/>
      <c r="E213" s="27"/>
      <c r="F213" s="27"/>
      <c r="G213" s="27"/>
      <c r="H213" s="27"/>
      <c r="I213" s="27"/>
      <c r="J213" s="27"/>
      <c r="K213" s="27"/>
      <c r="L213" s="27"/>
      <c r="M213" s="27"/>
      <c r="N213" s="27"/>
      <c r="O213" s="27"/>
      <c r="P213" s="27"/>
      <c r="Q213" s="27"/>
      <c r="R213" s="27"/>
      <c r="S213" s="27"/>
      <c r="T213" s="136">
        <v>22.341000000000001</v>
      </c>
      <c r="U213" s="136">
        <v>11.297352584634309</v>
      </c>
      <c r="V213" s="136">
        <v>5.8431323668834988E-2</v>
      </c>
      <c r="W213" s="136">
        <v>-4.4988378152568407E-3</v>
      </c>
    </row>
    <row r="214" spans="1:23">
      <c r="A214" s="6"/>
      <c r="B214" s="6"/>
      <c r="C214" s="136"/>
      <c r="D214" s="136"/>
      <c r="E214" s="27"/>
      <c r="F214" s="27"/>
      <c r="G214" s="27"/>
      <c r="H214" s="27"/>
      <c r="I214" s="27"/>
      <c r="J214" s="27"/>
      <c r="K214" s="27"/>
      <c r="L214" s="27"/>
      <c r="M214" s="27"/>
      <c r="N214" s="27"/>
      <c r="O214" s="27"/>
      <c r="P214" s="27"/>
      <c r="Q214" s="27"/>
      <c r="R214" s="27"/>
      <c r="S214" s="27"/>
      <c r="T214" s="136">
        <v>22.437333333333335</v>
      </c>
      <c r="U214" s="136">
        <v>11.302939910095798</v>
      </c>
      <c r="V214" s="136">
        <v>5.7569204158106325E-2</v>
      </c>
      <c r="W214" s="136">
        <v>-4.4506011165600639E-3</v>
      </c>
    </row>
    <row r="215" spans="1:23">
      <c r="A215" s="6"/>
      <c r="B215" s="6"/>
      <c r="C215" s="136"/>
      <c r="D215" s="136"/>
      <c r="E215" s="27"/>
      <c r="F215" s="27"/>
      <c r="G215" s="27"/>
      <c r="H215" s="27"/>
      <c r="I215" s="27"/>
      <c r="J215" s="27"/>
      <c r="K215" s="27"/>
      <c r="L215" s="27"/>
      <c r="M215" s="27"/>
      <c r="N215" s="27"/>
      <c r="O215" s="27"/>
      <c r="P215" s="27"/>
      <c r="Q215" s="27"/>
      <c r="R215" s="27"/>
      <c r="S215" s="27"/>
      <c r="T215" s="136">
        <v>22.533666666666665</v>
      </c>
      <c r="U215" s="136">
        <v>11.308444633189623</v>
      </c>
      <c r="V215" s="136">
        <v>5.6716404933558333E-2</v>
      </c>
      <c r="W215" s="136">
        <v>-4.4020772946689792E-3</v>
      </c>
    </row>
    <row r="216" spans="1:23">
      <c r="A216" s="6"/>
      <c r="B216" s="6"/>
      <c r="C216" s="136"/>
      <c r="D216" s="136"/>
      <c r="E216" s="27"/>
      <c r="F216" s="27"/>
      <c r="G216" s="27"/>
      <c r="H216" s="27"/>
      <c r="I216" s="27"/>
      <c r="J216" s="27"/>
      <c r="K216" s="27"/>
      <c r="L216" s="27"/>
      <c r="M216" s="27"/>
      <c r="N216" s="27"/>
      <c r="O216" s="27"/>
      <c r="P216" s="27"/>
      <c r="Q216" s="27"/>
      <c r="R216" s="27"/>
      <c r="S216" s="27"/>
      <c r="T216" s="136">
        <v>22.63</v>
      </c>
      <c r="U216" s="136">
        <v>11.313867651767611</v>
      </c>
      <c r="V216" s="136">
        <v>5.5872925958311628E-2</v>
      </c>
      <c r="W216" s="136">
        <v>-4.3537448882167568E-3</v>
      </c>
    </row>
    <row r="217" spans="1:23">
      <c r="A217" s="6"/>
      <c r="B217" s="6"/>
      <c r="C217" s="136"/>
      <c r="D217" s="136"/>
      <c r="E217" s="27"/>
      <c r="F217" s="27"/>
      <c r="G217" s="27"/>
      <c r="H217" s="27"/>
      <c r="I217" s="27"/>
      <c r="J217" s="27"/>
      <c r="K217" s="27"/>
      <c r="L217" s="27"/>
      <c r="M217" s="27"/>
      <c r="N217" s="27"/>
      <c r="O217" s="27"/>
      <c r="P217" s="27"/>
      <c r="Q217" s="27"/>
      <c r="R217" s="27"/>
      <c r="S217" s="27"/>
      <c r="T217" s="136">
        <v>22.726333333333333</v>
      </c>
      <c r="U217" s="136">
        <v>11.319209863681582</v>
      </c>
      <c r="V217" s="136">
        <v>5.5038767250805899E-2</v>
      </c>
      <c r="W217" s="136">
        <v>-4.3054124817645343E-3</v>
      </c>
    </row>
    <row r="218" spans="1:23">
      <c r="A218" s="6"/>
      <c r="B218" s="6"/>
      <c r="C218" s="136"/>
      <c r="D218" s="136"/>
      <c r="E218" s="27"/>
      <c r="F218" s="27"/>
      <c r="G218" s="27"/>
      <c r="H218" s="27"/>
      <c r="I218" s="27"/>
      <c r="J218" s="27"/>
      <c r="K218" s="27"/>
      <c r="L218" s="27"/>
      <c r="M218" s="27"/>
      <c r="N218" s="27"/>
      <c r="O218" s="27"/>
      <c r="P218" s="27"/>
      <c r="Q218" s="27"/>
      <c r="R218" s="27"/>
      <c r="S218" s="27"/>
      <c r="T218" s="136">
        <v>22.822666666666667</v>
      </c>
      <c r="U218" s="136">
        <v>11.324472166783357</v>
      </c>
      <c r="V218" s="136">
        <v>5.4213928811041145E-2</v>
      </c>
      <c r="W218" s="136">
        <v>-4.2568886598734488E-3</v>
      </c>
    </row>
    <row r="219" spans="1:23">
      <c r="A219" s="6"/>
      <c r="B219" s="6"/>
      <c r="C219" s="136"/>
      <c r="D219" s="136"/>
      <c r="E219" s="27"/>
      <c r="F219" s="27"/>
      <c r="G219" s="27"/>
      <c r="H219" s="27"/>
      <c r="I219" s="27"/>
      <c r="J219" s="27"/>
      <c r="K219" s="27"/>
      <c r="L219" s="27"/>
      <c r="M219" s="27"/>
      <c r="N219" s="27"/>
      <c r="O219" s="27"/>
      <c r="P219" s="27"/>
      <c r="Q219" s="27"/>
      <c r="R219" s="27"/>
      <c r="S219" s="27"/>
      <c r="T219" s="136">
        <v>22.919</v>
      </c>
      <c r="U219" s="136">
        <v>11.329655458924762</v>
      </c>
      <c r="V219" s="136">
        <v>5.3398410602137993E-2</v>
      </c>
      <c r="W219" s="136">
        <v>-4.2087476689321186E-3</v>
      </c>
    </row>
    <row r="220" spans="1:23">
      <c r="A220" s="6"/>
      <c r="B220" s="6"/>
      <c r="C220" s="136"/>
      <c r="D220" s="136"/>
      <c r="E220" s="27"/>
      <c r="F220" s="27"/>
      <c r="G220" s="27"/>
      <c r="H220" s="27"/>
      <c r="I220" s="27"/>
      <c r="J220" s="27"/>
      <c r="K220" s="27"/>
      <c r="L220" s="27"/>
      <c r="M220" s="27"/>
      <c r="N220" s="27"/>
      <c r="O220" s="27"/>
      <c r="P220" s="27"/>
      <c r="Q220" s="27"/>
      <c r="R220" s="27"/>
      <c r="S220" s="27"/>
      <c r="T220" s="136">
        <v>23.015333333333334</v>
      </c>
      <c r="U220" s="136">
        <v>11.334760637957615</v>
      </c>
      <c r="V220" s="136">
        <v>5.259221269785519E-2</v>
      </c>
      <c r="W220" s="136">
        <v>-4.1601281393216028E-3</v>
      </c>
    </row>
    <row r="221" spans="1:23">
      <c r="A221" s="6"/>
      <c r="B221" s="6"/>
      <c r="C221" s="136"/>
      <c r="D221" s="136"/>
      <c r="E221" s="27"/>
      <c r="F221" s="27"/>
      <c r="G221" s="27"/>
      <c r="H221" s="27"/>
      <c r="I221" s="27"/>
      <c r="J221" s="27"/>
      <c r="K221" s="27"/>
      <c r="L221" s="27"/>
      <c r="M221" s="27"/>
      <c r="N221" s="27"/>
      <c r="O221" s="27"/>
      <c r="P221" s="27"/>
      <c r="Q221" s="27"/>
      <c r="R221" s="27"/>
      <c r="S221" s="27"/>
      <c r="T221" s="136">
        <v>23.111666666666668</v>
      </c>
      <c r="U221" s="136">
        <v>11.339788601733742</v>
      </c>
      <c r="V221" s="136">
        <v>5.1795335024433994E-2</v>
      </c>
      <c r="W221" s="136">
        <v>-4.1117957328693795E-3</v>
      </c>
    </row>
    <row r="222" spans="1:23">
      <c r="A222" s="6"/>
      <c r="B222" s="6"/>
      <c r="C222" s="136"/>
      <c r="D222" s="136"/>
      <c r="E222" s="27"/>
      <c r="F222" s="27"/>
      <c r="G222" s="27"/>
      <c r="H222" s="27"/>
      <c r="I222" s="27"/>
      <c r="J222" s="27"/>
      <c r="K222" s="27"/>
      <c r="L222" s="27"/>
      <c r="M222" s="27"/>
      <c r="N222" s="27"/>
      <c r="O222" s="27"/>
      <c r="P222" s="27"/>
      <c r="Q222" s="27"/>
      <c r="R222" s="27"/>
      <c r="S222" s="27"/>
      <c r="T222" s="136">
        <v>23.207999999999998</v>
      </c>
      <c r="U222" s="136">
        <v>11.344740248104964</v>
      </c>
      <c r="V222" s="136">
        <v>5.1007777618753768E-2</v>
      </c>
      <c r="W222" s="136">
        <v>-4.0634633264531725E-3</v>
      </c>
    </row>
    <row r="223" spans="1:23">
      <c r="A223" s="6"/>
      <c r="B223" s="6"/>
      <c r="C223" s="136"/>
      <c r="D223" s="136"/>
      <c r="E223" s="27"/>
      <c r="F223" s="27"/>
      <c r="G223" s="27"/>
      <c r="H223" s="27"/>
      <c r="I223" s="27"/>
      <c r="J223" s="27"/>
      <c r="K223" s="27"/>
      <c r="L223" s="27"/>
      <c r="M223" s="27"/>
      <c r="N223" s="27"/>
      <c r="O223" s="27"/>
      <c r="P223" s="27"/>
      <c r="Q223" s="27"/>
      <c r="R223" s="27"/>
      <c r="S223" s="27"/>
      <c r="T223" s="136">
        <v>23.304333333333332</v>
      </c>
      <c r="U223" s="136">
        <v>11.349616474923105</v>
      </c>
      <c r="V223" s="136">
        <v>5.0229540462374836E-2</v>
      </c>
      <c r="W223" s="136">
        <v>-4.01513092000095E-3</v>
      </c>
    </row>
    <row r="224" spans="1:23">
      <c r="A224" s="6"/>
      <c r="B224" s="6"/>
      <c r="C224" s="136"/>
      <c r="D224" s="136"/>
      <c r="E224" s="27"/>
      <c r="F224" s="27"/>
      <c r="G224" s="27"/>
      <c r="H224" s="27"/>
      <c r="I224" s="27"/>
      <c r="J224" s="27"/>
      <c r="K224" s="27"/>
      <c r="L224" s="27"/>
      <c r="M224" s="27"/>
      <c r="N224" s="27"/>
      <c r="O224" s="27"/>
      <c r="P224" s="27"/>
      <c r="Q224" s="27"/>
      <c r="R224" s="27"/>
      <c r="S224" s="27"/>
      <c r="T224" s="136">
        <v>23.400666666666666</v>
      </c>
      <c r="U224" s="136">
        <v>11.354418180039984</v>
      </c>
      <c r="V224" s="136">
        <v>4.9460623592176567E-2</v>
      </c>
      <c r="W224" s="136">
        <v>-3.9667028058292956E-3</v>
      </c>
    </row>
    <row r="225" spans="1:23">
      <c r="A225" s="6"/>
      <c r="B225" s="6"/>
      <c r="C225" s="136"/>
      <c r="D225" s="136"/>
      <c r="E225" s="27"/>
      <c r="F225" s="27"/>
      <c r="G225" s="27"/>
      <c r="H225" s="27"/>
      <c r="I225" s="27"/>
      <c r="J225" s="27"/>
      <c r="K225" s="27"/>
      <c r="L225" s="27"/>
      <c r="M225" s="27"/>
      <c r="N225" s="27"/>
      <c r="O225" s="27"/>
      <c r="P225" s="27"/>
      <c r="Q225" s="27"/>
      <c r="R225" s="27"/>
      <c r="S225" s="27"/>
      <c r="T225" s="136">
        <v>23.497</v>
      </c>
      <c r="U225" s="136">
        <v>11.359146261307426</v>
      </c>
      <c r="V225" s="136">
        <v>4.8701026971279586E-2</v>
      </c>
      <c r="W225" s="136">
        <v>-3.918274691657642E-3</v>
      </c>
    </row>
    <row r="226" spans="1:23">
      <c r="A226" s="6"/>
      <c r="B226" s="6"/>
      <c r="C226" s="136"/>
      <c r="D226" s="136"/>
      <c r="E226" s="27"/>
      <c r="F226" s="27"/>
      <c r="G226" s="27"/>
      <c r="H226" s="27"/>
      <c r="I226" s="27"/>
      <c r="J226" s="27"/>
      <c r="K226" s="27"/>
      <c r="L226" s="27"/>
      <c r="M226" s="27"/>
      <c r="N226" s="27"/>
      <c r="O226" s="27"/>
      <c r="P226" s="27"/>
      <c r="Q226" s="27"/>
      <c r="R226" s="27"/>
      <c r="S226" s="27"/>
      <c r="T226" s="136">
        <v>23.593333333333334</v>
      </c>
      <c r="U226" s="136">
        <v>11.363801616577254</v>
      </c>
      <c r="V226" s="136">
        <v>4.7950750599683893E-2</v>
      </c>
      <c r="W226" s="136">
        <v>-3.8700379929608657E-3</v>
      </c>
    </row>
    <row r="227" spans="1:23">
      <c r="A227" s="6"/>
      <c r="B227" s="6"/>
      <c r="C227" s="136"/>
      <c r="D227" s="136"/>
      <c r="E227" s="27"/>
      <c r="F227" s="27"/>
      <c r="G227" s="27"/>
      <c r="H227" s="27"/>
      <c r="I227" s="27"/>
      <c r="J227" s="27"/>
      <c r="K227" s="27"/>
      <c r="L227" s="27"/>
      <c r="M227" s="27"/>
      <c r="N227" s="27"/>
      <c r="O227" s="27"/>
      <c r="P227" s="27"/>
      <c r="Q227" s="27"/>
      <c r="R227" s="27"/>
      <c r="S227" s="27"/>
      <c r="T227" s="136">
        <v>23.689666666666668</v>
      </c>
      <c r="U227" s="136">
        <v>11.368385143701287</v>
      </c>
      <c r="V227" s="136">
        <v>4.720979451426887E-2</v>
      </c>
      <c r="W227" s="136">
        <v>-3.8215141710697806E-3</v>
      </c>
    </row>
    <row r="228" spans="1:23">
      <c r="A228" s="6"/>
      <c r="B228" s="6"/>
      <c r="C228" s="136"/>
      <c r="D228" s="136"/>
      <c r="E228" s="27"/>
      <c r="F228" s="27"/>
      <c r="G228" s="27"/>
      <c r="H228" s="27"/>
      <c r="I228" s="27"/>
      <c r="J228" s="27"/>
      <c r="K228" s="27"/>
      <c r="L228" s="27"/>
      <c r="M228" s="27"/>
      <c r="N228" s="27"/>
      <c r="O228" s="27"/>
      <c r="P228" s="27"/>
      <c r="Q228" s="27"/>
      <c r="R228" s="27"/>
      <c r="S228" s="27"/>
      <c r="T228" s="136">
        <v>23.786000000000001</v>
      </c>
      <c r="U228" s="136">
        <v>11.372897740531352</v>
      </c>
      <c r="V228" s="136">
        <v>4.6478158659715441E-2</v>
      </c>
      <c r="W228" s="136">
        <v>-3.7732774723730047E-3</v>
      </c>
    </row>
    <row r="229" spans="1:23">
      <c r="A229" s="6"/>
      <c r="B229" s="6"/>
      <c r="C229" s="136"/>
      <c r="D229" s="136"/>
      <c r="E229" s="27"/>
      <c r="F229" s="27"/>
      <c r="G229" s="27"/>
      <c r="H229" s="27"/>
      <c r="I229" s="27"/>
      <c r="J229" s="27"/>
      <c r="K229" s="27"/>
      <c r="L229" s="27"/>
      <c r="M229" s="27"/>
      <c r="N229" s="27"/>
      <c r="O229" s="27"/>
      <c r="P229" s="27"/>
      <c r="Q229" s="27"/>
      <c r="R229" s="27"/>
      <c r="S229" s="27"/>
      <c r="T229" s="136">
        <v>23.882333333333335</v>
      </c>
      <c r="U229" s="136">
        <v>11.377340304919269</v>
      </c>
      <c r="V229" s="136">
        <v>4.5755843072902987E-2</v>
      </c>
      <c r="W229" s="136">
        <v>-3.7249450659567968E-3</v>
      </c>
    </row>
    <row r="230" spans="1:23">
      <c r="A230" s="6"/>
      <c r="B230" s="6"/>
      <c r="C230" s="136"/>
      <c r="D230" s="136"/>
      <c r="E230" s="27"/>
      <c r="F230" s="27"/>
      <c r="G230" s="27"/>
      <c r="H230" s="27"/>
      <c r="I230" s="27"/>
      <c r="J230" s="27"/>
      <c r="K230" s="27"/>
      <c r="L230" s="27"/>
      <c r="M230" s="27"/>
      <c r="N230" s="27"/>
      <c r="O230" s="27"/>
      <c r="P230" s="27"/>
      <c r="Q230" s="27"/>
      <c r="R230" s="27"/>
      <c r="S230" s="27"/>
      <c r="T230" s="136">
        <v>23.978666666666665</v>
      </c>
      <c r="U230" s="136">
        <v>11.381713734716858</v>
      </c>
      <c r="V230" s="136">
        <v>4.5042847772271202E-2</v>
      </c>
      <c r="W230" s="136">
        <v>-3.6764212440657117E-3</v>
      </c>
    </row>
    <row r="231" spans="1:23">
      <c r="A231" s="6"/>
      <c r="B231" s="6"/>
      <c r="C231" s="136"/>
      <c r="D231" s="136"/>
      <c r="E231" s="27"/>
      <c r="F231" s="27"/>
      <c r="G231" s="27"/>
      <c r="H231" s="27"/>
      <c r="I231" s="27"/>
      <c r="J231" s="27"/>
      <c r="K231" s="27"/>
      <c r="L231" s="27"/>
      <c r="M231" s="27"/>
      <c r="N231" s="27"/>
      <c r="O231" s="27"/>
      <c r="P231" s="27"/>
      <c r="Q231" s="27"/>
      <c r="R231" s="27"/>
      <c r="S231" s="27"/>
      <c r="T231" s="136">
        <v>24.074999999999999</v>
      </c>
      <c r="U231" s="136">
        <v>11.386018927775945</v>
      </c>
      <c r="V231" s="136">
        <v>4.4339172720940706E-2</v>
      </c>
      <c r="W231" s="136">
        <v>-3.6280888376134892E-3</v>
      </c>
    </row>
    <row r="232" spans="1:23">
      <c r="A232" s="6"/>
      <c r="B232" s="6"/>
      <c r="C232" s="136"/>
      <c r="D232" s="136"/>
      <c r="E232" s="27"/>
      <c r="F232" s="27"/>
      <c r="G232" s="27"/>
      <c r="H232" s="27"/>
      <c r="I232" s="27"/>
      <c r="J232" s="27"/>
      <c r="K232" s="27"/>
      <c r="L232" s="27"/>
      <c r="M232" s="27"/>
      <c r="N232" s="27"/>
      <c r="O232" s="27"/>
      <c r="P232" s="27"/>
      <c r="Q232" s="27"/>
      <c r="R232" s="27"/>
      <c r="S232" s="27"/>
      <c r="T232" s="136">
        <v>24.171333333333333</v>
      </c>
      <c r="U232" s="136">
        <v>11.390256781948352</v>
      </c>
      <c r="V232" s="136">
        <v>4.3644817918911498E-2</v>
      </c>
      <c r="W232" s="136">
        <v>-3.5797564311972818E-3</v>
      </c>
    </row>
    <row r="233" spans="1:23">
      <c r="A233" s="6"/>
      <c r="B233" s="6"/>
      <c r="C233" s="136"/>
      <c r="D233" s="136"/>
      <c r="E233" s="27"/>
      <c r="F233" s="27"/>
      <c r="G233" s="27"/>
      <c r="H233" s="27"/>
      <c r="I233" s="27"/>
      <c r="J233" s="27"/>
      <c r="K233" s="27"/>
      <c r="L233" s="27"/>
      <c r="M233" s="27"/>
      <c r="N233" s="27"/>
      <c r="O233" s="27"/>
      <c r="P233" s="27"/>
      <c r="Q233" s="27"/>
      <c r="R233" s="27"/>
      <c r="S233" s="27"/>
      <c r="T233" s="136">
        <v>24.267666666666667</v>
      </c>
      <c r="U233" s="136">
        <v>11.394428195085901</v>
      </c>
      <c r="V233" s="136">
        <v>4.2959783384623265E-2</v>
      </c>
      <c r="W233" s="136">
        <v>-3.5314240247450593E-3</v>
      </c>
    </row>
    <row r="234" spans="1:23">
      <c r="A234" s="6"/>
      <c r="B234" s="6"/>
      <c r="C234" s="136"/>
      <c r="D234" s="136"/>
      <c r="E234" s="27"/>
      <c r="F234" s="27"/>
      <c r="G234" s="27"/>
      <c r="H234" s="27"/>
      <c r="I234" s="27"/>
      <c r="J234" s="27"/>
      <c r="K234" s="27"/>
      <c r="L234" s="27"/>
      <c r="M234" s="27"/>
      <c r="N234" s="27"/>
      <c r="O234" s="27"/>
      <c r="P234" s="27"/>
      <c r="Q234" s="27"/>
      <c r="R234" s="27"/>
      <c r="S234" s="27"/>
      <c r="T234" s="136">
        <v>24.364000000000001</v>
      </c>
      <c r="U234" s="136">
        <v>11.398534065040414</v>
      </c>
      <c r="V234" s="136">
        <v>4.2284069099636321E-2</v>
      </c>
      <c r="W234" s="136">
        <v>-3.4830916183288515E-3</v>
      </c>
    </row>
    <row r="235" spans="1:23">
      <c r="A235" s="6"/>
      <c r="B235" s="6"/>
      <c r="C235" s="136"/>
      <c r="D235" s="136"/>
      <c r="E235" s="27"/>
      <c r="F235" s="27"/>
      <c r="G235" s="27"/>
      <c r="H235" s="27"/>
      <c r="I235" s="27"/>
      <c r="J235" s="27"/>
      <c r="K235" s="27"/>
      <c r="L235" s="27"/>
      <c r="M235" s="27"/>
      <c r="N235" s="27"/>
      <c r="O235" s="27"/>
      <c r="P235" s="27"/>
      <c r="Q235" s="27"/>
      <c r="R235" s="27"/>
      <c r="S235" s="27"/>
      <c r="T235" s="136">
        <v>24.460333333333335</v>
      </c>
      <c r="U235" s="136">
        <v>11.402575289663712</v>
      </c>
      <c r="V235" s="136">
        <v>4.1617675100830046E-2</v>
      </c>
      <c r="W235" s="136">
        <v>-3.4346635041571979E-3</v>
      </c>
    </row>
    <row r="236" spans="1:23">
      <c r="A236" s="6"/>
      <c r="B236" s="6"/>
      <c r="C236" s="136"/>
      <c r="D236" s="136"/>
      <c r="E236" s="27"/>
      <c r="F236" s="27"/>
      <c r="G236" s="27"/>
      <c r="H236" s="27"/>
      <c r="I236" s="27"/>
      <c r="J236" s="27"/>
      <c r="K236" s="27"/>
      <c r="L236" s="27"/>
      <c r="M236" s="27"/>
      <c r="N236" s="27"/>
      <c r="O236" s="27"/>
      <c r="P236" s="27"/>
      <c r="Q236" s="27"/>
      <c r="R236" s="27"/>
      <c r="S236" s="27"/>
      <c r="T236" s="136">
        <v>24.556666666666668</v>
      </c>
      <c r="U236" s="136">
        <v>11.40655276680762</v>
      </c>
      <c r="V236" s="136">
        <v>4.0960601351325059E-2</v>
      </c>
      <c r="W236" s="136">
        <v>-3.3862353899855439E-3</v>
      </c>
    </row>
    <row r="237" spans="1:23">
      <c r="A237" s="6"/>
      <c r="B237" s="6"/>
      <c r="C237" s="136"/>
      <c r="D237" s="136"/>
      <c r="E237" s="27"/>
      <c r="F237" s="27"/>
      <c r="G237" s="27"/>
      <c r="H237" s="27"/>
      <c r="I237" s="27"/>
      <c r="J237" s="27"/>
      <c r="K237" s="27"/>
      <c r="L237" s="27"/>
      <c r="M237" s="27"/>
      <c r="N237" s="27"/>
      <c r="O237" s="27"/>
      <c r="P237" s="27"/>
      <c r="Q237" s="27"/>
      <c r="R237" s="27"/>
      <c r="S237" s="27"/>
      <c r="T237" s="136">
        <v>24.652999999999999</v>
      </c>
      <c r="U237" s="136">
        <v>11.410467394323959</v>
      </c>
      <c r="V237" s="136">
        <v>4.0312847851121353E-2</v>
      </c>
      <c r="W237" s="136">
        <v>-3.3379986912887676E-3</v>
      </c>
    </row>
    <row r="238" spans="1:23">
      <c r="A238" s="6"/>
      <c r="B238" s="6"/>
      <c r="C238" s="136"/>
      <c r="D238" s="136"/>
      <c r="E238" s="27"/>
      <c r="F238" s="27"/>
      <c r="G238" s="27"/>
      <c r="H238" s="27"/>
      <c r="I238" s="27"/>
      <c r="J238" s="27"/>
      <c r="K238" s="27"/>
      <c r="L238" s="27"/>
      <c r="M238" s="27"/>
      <c r="N238" s="27"/>
      <c r="O238" s="27"/>
      <c r="P238" s="27"/>
      <c r="Q238" s="27"/>
      <c r="R238" s="27"/>
      <c r="S238" s="27"/>
      <c r="T238" s="136">
        <v>24.749333333333333</v>
      </c>
      <c r="U238" s="136">
        <v>11.414320070064552</v>
      </c>
      <c r="V238" s="136">
        <v>3.9674414637098317E-2</v>
      </c>
      <c r="W238" s="136">
        <v>-3.2894748693976824E-3</v>
      </c>
    </row>
    <row r="239" spans="1:23">
      <c r="A239" s="6"/>
      <c r="B239" s="6"/>
      <c r="C239" s="136"/>
      <c r="D239" s="136"/>
      <c r="E239" s="27"/>
      <c r="F239" s="27"/>
      <c r="G239" s="27"/>
      <c r="H239" s="27"/>
      <c r="I239" s="27"/>
      <c r="J239" s="27"/>
      <c r="K239" s="27"/>
      <c r="L239" s="27"/>
      <c r="M239" s="27"/>
      <c r="N239" s="27"/>
      <c r="O239" s="27"/>
      <c r="P239" s="27"/>
      <c r="Q239" s="27"/>
      <c r="R239" s="27"/>
      <c r="S239" s="27"/>
      <c r="T239" s="136">
        <v>24.845666666666666</v>
      </c>
      <c r="U239" s="136">
        <v>11.41811169188122</v>
      </c>
      <c r="V239" s="136">
        <v>3.9045301672376569E-2</v>
      </c>
      <c r="W239" s="136">
        <v>-3.241142462981475E-3</v>
      </c>
    </row>
    <row r="240" spans="1:23">
      <c r="A240" s="6"/>
      <c r="B240" s="6"/>
      <c r="C240" s="136"/>
      <c r="D240" s="136"/>
      <c r="E240" s="27"/>
      <c r="F240" s="27"/>
      <c r="G240" s="27"/>
      <c r="H240" s="27"/>
      <c r="I240" s="27"/>
      <c r="J240" s="27"/>
      <c r="K240" s="27"/>
      <c r="L240" s="27"/>
      <c r="M240" s="27"/>
      <c r="N240" s="27"/>
      <c r="O240" s="27"/>
      <c r="P240" s="27"/>
      <c r="Q240" s="27"/>
      <c r="R240" s="27"/>
      <c r="S240" s="27"/>
      <c r="T240" s="136">
        <v>24.942</v>
      </c>
      <c r="U240" s="136">
        <v>11.421843157625789</v>
      </c>
      <c r="V240" s="136">
        <v>3.8425508956956109E-2</v>
      </c>
      <c r="W240" s="136">
        <v>-3.1928100565292526E-3</v>
      </c>
    </row>
    <row r="241" spans="1:23">
      <c r="A241" s="6"/>
      <c r="B241" s="6"/>
      <c r="C241" s="136"/>
      <c r="D241" s="136"/>
      <c r="E241" s="27"/>
      <c r="F241" s="27"/>
      <c r="G241" s="27"/>
      <c r="H241" s="27"/>
      <c r="I241" s="27"/>
      <c r="J241" s="27"/>
      <c r="K241" s="27"/>
      <c r="L241" s="27"/>
      <c r="M241" s="27"/>
      <c r="N241" s="27"/>
      <c r="O241" s="27"/>
      <c r="P241" s="27"/>
      <c r="Q241" s="27"/>
      <c r="R241" s="27"/>
      <c r="S241" s="27"/>
      <c r="T241" s="136">
        <v>25.038333333333334</v>
      </c>
      <c r="U241" s="136">
        <v>11.425515365150076</v>
      </c>
      <c r="V241" s="136">
        <v>3.7815036527716318E-2</v>
      </c>
      <c r="W241" s="136">
        <v>-3.144286234638167E-3</v>
      </c>
    </row>
    <row r="242" spans="1:23">
      <c r="A242" s="6"/>
      <c r="B242" s="6"/>
      <c r="C242" s="136"/>
      <c r="D242" s="136"/>
      <c r="E242" s="27"/>
      <c r="F242" s="27"/>
      <c r="G242" s="27"/>
      <c r="H242" s="27"/>
      <c r="I242" s="27"/>
      <c r="J242" s="27"/>
      <c r="K242" s="27"/>
      <c r="L242" s="27"/>
      <c r="M242" s="27"/>
      <c r="N242" s="27"/>
      <c r="O242" s="27"/>
      <c r="P242" s="27"/>
      <c r="Q242" s="27"/>
      <c r="R242" s="27"/>
      <c r="S242" s="27"/>
      <c r="T242" s="136">
        <v>25.134666666666668</v>
      </c>
      <c r="U242" s="136">
        <v>11.429129212305909</v>
      </c>
      <c r="V242" s="136">
        <v>3.7213884329338122E-2</v>
      </c>
      <c r="W242" s="136">
        <v>-3.0960495359413911E-3</v>
      </c>
    </row>
    <row r="243" spans="1:23">
      <c r="A243" s="6"/>
      <c r="B243" s="6"/>
      <c r="C243" s="136"/>
      <c r="D243" s="136"/>
      <c r="E243" s="27"/>
      <c r="F243" s="27"/>
      <c r="G243" s="27"/>
      <c r="H243" s="27"/>
      <c r="I243" s="27"/>
      <c r="J243" s="27"/>
      <c r="K243" s="27"/>
      <c r="L243" s="27"/>
      <c r="M243" s="27"/>
      <c r="N243" s="27"/>
      <c r="O243" s="27"/>
      <c r="P243" s="27"/>
      <c r="Q243" s="27"/>
      <c r="R243" s="27"/>
      <c r="S243" s="27"/>
      <c r="T243" s="136">
        <v>25.231000000000002</v>
      </c>
      <c r="U243" s="136">
        <v>11.432685596945106</v>
      </c>
      <c r="V243" s="136">
        <v>3.6622052417140595E-2</v>
      </c>
      <c r="W243" s="136">
        <v>-3.0476214217697371E-3</v>
      </c>
    </row>
    <row r="244" spans="1:23">
      <c r="A244" s="6"/>
      <c r="B244" s="6"/>
      <c r="C244" s="136"/>
      <c r="D244" s="136"/>
      <c r="E244" s="27"/>
      <c r="F244" s="27"/>
      <c r="G244" s="27"/>
      <c r="H244" s="27"/>
      <c r="I244" s="27"/>
      <c r="J244" s="27"/>
      <c r="K244" s="27"/>
      <c r="L244" s="27"/>
      <c r="M244" s="27"/>
      <c r="N244" s="27"/>
      <c r="O244" s="27"/>
      <c r="P244" s="27"/>
      <c r="Q244" s="27"/>
      <c r="R244" s="27"/>
      <c r="S244" s="27"/>
      <c r="T244" s="136">
        <v>25.327333333333332</v>
      </c>
      <c r="U244" s="136">
        <v>11.436185416919493</v>
      </c>
      <c r="V244" s="136">
        <v>3.6039540754244356E-2</v>
      </c>
      <c r="W244" s="136">
        <v>-2.9992890153175147E-3</v>
      </c>
    </row>
    <row r="245" spans="1:23">
      <c r="A245" s="6"/>
      <c r="B245" s="6"/>
      <c r="C245" s="136"/>
      <c r="D245" s="136"/>
      <c r="E245" s="27"/>
      <c r="F245" s="27"/>
      <c r="G245" s="27"/>
      <c r="H245" s="27"/>
      <c r="I245" s="27"/>
      <c r="J245" s="27"/>
      <c r="K245" s="27"/>
      <c r="L245" s="27"/>
      <c r="M245" s="27"/>
      <c r="N245" s="27"/>
      <c r="O245" s="27"/>
      <c r="P245" s="27"/>
      <c r="Q245" s="27"/>
      <c r="R245" s="27"/>
      <c r="S245" s="27"/>
      <c r="T245" s="136">
        <v>25.423666666666666</v>
      </c>
      <c r="U245" s="136">
        <v>11.439629570080889</v>
      </c>
      <c r="V245" s="136">
        <v>3.5466349359089093E-2</v>
      </c>
      <c r="W245" s="136">
        <v>-2.9508609011458607E-3</v>
      </c>
    </row>
    <row r="246" spans="1:23">
      <c r="A246" s="6"/>
      <c r="B246" s="6"/>
      <c r="C246" s="136"/>
      <c r="D246" s="136"/>
      <c r="E246" s="27"/>
      <c r="F246" s="27"/>
      <c r="G246" s="27"/>
      <c r="H246" s="27"/>
      <c r="I246" s="27"/>
      <c r="J246" s="27"/>
      <c r="K246" s="27"/>
      <c r="L246" s="27"/>
      <c r="M246" s="27"/>
      <c r="N246" s="27"/>
      <c r="O246" s="27"/>
      <c r="P246" s="27"/>
      <c r="Q246" s="27"/>
      <c r="R246" s="27"/>
      <c r="S246" s="27"/>
      <c r="T246" s="136">
        <v>25.52</v>
      </c>
      <c r="U246" s="136">
        <v>11.443018954281118</v>
      </c>
      <c r="V246" s="136">
        <v>3.4902478213235118E-2</v>
      </c>
      <c r="W246" s="136">
        <v>-2.9025284947296532E-3</v>
      </c>
    </row>
    <row r="247" spans="1:23">
      <c r="A247" s="6"/>
      <c r="B247" s="6"/>
      <c r="C247" s="136"/>
      <c r="D247" s="136"/>
      <c r="E247" s="27"/>
      <c r="F247" s="27"/>
      <c r="G247" s="27"/>
      <c r="H247" s="27"/>
      <c r="I247" s="27"/>
      <c r="J247" s="27"/>
      <c r="K247" s="27"/>
      <c r="L247" s="27"/>
      <c r="M247" s="27"/>
      <c r="N247" s="27"/>
      <c r="O247" s="27"/>
      <c r="P247" s="27"/>
      <c r="Q247" s="27"/>
      <c r="R247" s="27"/>
      <c r="S247" s="27"/>
      <c r="T247" s="136">
        <v>25.616333333333333</v>
      </c>
      <c r="U247" s="136">
        <v>11.446354467372004</v>
      </c>
      <c r="V247" s="136">
        <v>3.4347927335122118E-2</v>
      </c>
      <c r="W247" s="136">
        <v>-2.8541960882774308E-3</v>
      </c>
    </row>
    <row r="248" spans="1:23">
      <c r="A248" s="6"/>
      <c r="B248" s="6"/>
      <c r="C248" s="136"/>
      <c r="D248" s="136"/>
      <c r="E248" s="27"/>
      <c r="F248" s="27"/>
      <c r="G248" s="27"/>
      <c r="H248" s="27"/>
      <c r="I248" s="27"/>
      <c r="J248" s="27"/>
      <c r="K248" s="27"/>
      <c r="L248" s="27"/>
      <c r="M248" s="27"/>
      <c r="N248" s="27"/>
      <c r="O248" s="27"/>
      <c r="P248" s="27"/>
      <c r="Q248" s="27"/>
      <c r="R248" s="27"/>
      <c r="S248" s="27"/>
      <c r="T248" s="136">
        <v>25.712666666666667</v>
      </c>
      <c r="U248" s="136">
        <v>11.449637007205366</v>
      </c>
      <c r="V248" s="136">
        <v>3.3802696724750093E-2</v>
      </c>
      <c r="W248" s="136">
        <v>-2.8057679741417918E-3</v>
      </c>
    </row>
    <row r="249" spans="1:23">
      <c r="A249" s="6"/>
      <c r="B249" s="6"/>
      <c r="C249" s="136"/>
      <c r="D249" s="136"/>
      <c r="E249" s="27"/>
      <c r="F249" s="27"/>
      <c r="G249" s="27"/>
      <c r="H249" s="27"/>
      <c r="I249" s="27"/>
      <c r="J249" s="27"/>
      <c r="K249" s="27"/>
      <c r="L249" s="27"/>
      <c r="M249" s="27"/>
      <c r="N249" s="27"/>
      <c r="O249" s="27"/>
      <c r="P249" s="27"/>
      <c r="Q249" s="27"/>
      <c r="R249" s="27"/>
      <c r="S249" s="27"/>
      <c r="T249" s="136">
        <v>25.809000000000001</v>
      </c>
      <c r="U249" s="136">
        <v>11.452867471633029</v>
      </c>
      <c r="V249" s="136">
        <v>3.3266786363679364E-2</v>
      </c>
      <c r="W249" s="136">
        <v>-2.7574355676895693E-3</v>
      </c>
    </row>
    <row r="250" spans="1:23">
      <c r="A250" s="6"/>
      <c r="B250" s="6"/>
      <c r="C250" s="136"/>
      <c r="D250" s="136"/>
      <c r="E250" s="27"/>
      <c r="F250" s="27"/>
      <c r="G250" s="27"/>
      <c r="H250" s="27"/>
      <c r="I250" s="27"/>
      <c r="J250" s="27"/>
      <c r="K250" s="27"/>
      <c r="L250" s="27"/>
      <c r="M250" s="27"/>
      <c r="N250" s="27"/>
      <c r="O250" s="27"/>
      <c r="P250" s="27"/>
      <c r="Q250" s="27"/>
      <c r="R250" s="27"/>
      <c r="S250" s="27"/>
      <c r="T250" s="136">
        <v>25.905333333333335</v>
      </c>
      <c r="U250" s="136">
        <v>11.456046758506815</v>
      </c>
      <c r="V250" s="136">
        <v>3.2740196270349603E-2</v>
      </c>
      <c r="W250" s="136">
        <v>-2.7090074535539303E-3</v>
      </c>
    </row>
    <row r="251" spans="1:23">
      <c r="A251" s="6"/>
      <c r="B251" s="6"/>
      <c r="C251" s="136"/>
      <c r="D251" s="136"/>
      <c r="E251" s="27"/>
      <c r="F251" s="27"/>
      <c r="G251" s="27"/>
      <c r="H251" s="27"/>
      <c r="I251" s="27"/>
      <c r="J251" s="27"/>
      <c r="K251" s="27"/>
      <c r="L251" s="27"/>
      <c r="M251" s="27"/>
      <c r="N251" s="27"/>
      <c r="O251" s="27"/>
      <c r="P251" s="27"/>
      <c r="Q251" s="27"/>
      <c r="R251" s="27"/>
      <c r="S251" s="27"/>
      <c r="T251" s="136">
        <v>26.001666666666669</v>
      </c>
      <c r="U251" s="136">
        <v>11.459175765678546</v>
      </c>
      <c r="V251" s="136">
        <v>3.2222926426321137E-2</v>
      </c>
      <c r="W251" s="136">
        <v>-2.660770754821139E-3</v>
      </c>
    </row>
    <row r="252" spans="1:23">
      <c r="A252" s="6"/>
      <c r="B252" s="6"/>
      <c r="C252" s="136"/>
      <c r="D252" s="136"/>
      <c r="E252" s="27"/>
      <c r="F252" s="27"/>
      <c r="G252" s="27"/>
      <c r="H252" s="27"/>
      <c r="I252" s="27"/>
      <c r="J252" s="27"/>
      <c r="K252" s="27"/>
      <c r="L252" s="27"/>
      <c r="M252" s="27"/>
      <c r="N252" s="27"/>
      <c r="O252" s="27"/>
      <c r="P252" s="27"/>
      <c r="Q252" s="27"/>
      <c r="R252" s="27"/>
      <c r="S252" s="27"/>
      <c r="T252" s="136">
        <v>26.097999999999999</v>
      </c>
      <c r="U252" s="136">
        <v>11.462255391000044</v>
      </c>
      <c r="V252" s="136">
        <v>3.1714976868473334E-2</v>
      </c>
      <c r="W252" s="136">
        <v>-2.6122469329300539E-3</v>
      </c>
    </row>
    <row r="253" spans="1:23">
      <c r="A253" s="6"/>
      <c r="B253" s="6"/>
      <c r="C253" s="136"/>
      <c r="D253" s="136"/>
      <c r="E253" s="27"/>
      <c r="F253" s="27"/>
      <c r="G253" s="27"/>
      <c r="H253" s="27"/>
      <c r="I253" s="27"/>
      <c r="J253" s="27"/>
      <c r="K253" s="27"/>
      <c r="L253" s="27"/>
      <c r="M253" s="27"/>
      <c r="N253" s="27"/>
      <c r="O253" s="27"/>
      <c r="P253" s="27"/>
      <c r="Q253" s="27"/>
      <c r="R253" s="27"/>
      <c r="S253" s="27"/>
      <c r="T253" s="136">
        <v>26.194333333333333</v>
      </c>
      <c r="U253" s="136">
        <v>11.465286532323132</v>
      </c>
      <c r="V253" s="136">
        <v>3.1216347559926822E-2</v>
      </c>
      <c r="W253" s="136">
        <v>-2.5639145264958387E-3</v>
      </c>
    </row>
    <row r="254" spans="1:23">
      <c r="A254" s="6"/>
      <c r="B254" s="6"/>
      <c r="C254" s="136"/>
      <c r="D254" s="136"/>
      <c r="E254" s="27"/>
      <c r="F254" s="27"/>
      <c r="G254" s="27"/>
      <c r="H254" s="27"/>
      <c r="I254" s="27"/>
      <c r="J254" s="27"/>
      <c r="K254" s="27"/>
      <c r="L254" s="27"/>
      <c r="M254" s="27"/>
      <c r="N254" s="27"/>
      <c r="O254" s="27"/>
      <c r="P254" s="27"/>
      <c r="Q254" s="27"/>
      <c r="R254" s="27"/>
      <c r="S254" s="27"/>
      <c r="T254" s="136">
        <v>26.290666666666667</v>
      </c>
      <c r="U254" s="136">
        <v>11.468270087499633</v>
      </c>
      <c r="V254" s="136">
        <v>3.0727038500681595E-2</v>
      </c>
      <c r="W254" s="136">
        <v>-2.515582120061624E-3</v>
      </c>
    </row>
    <row r="255" spans="1:23">
      <c r="A255" s="6"/>
      <c r="B255" s="6"/>
      <c r="C255" s="136"/>
      <c r="D255" s="136"/>
      <c r="E255" s="27"/>
      <c r="F255" s="27"/>
      <c r="G255" s="27"/>
      <c r="H255" s="27"/>
      <c r="I255" s="27"/>
      <c r="J255" s="27"/>
      <c r="K255" s="27"/>
      <c r="L255" s="27"/>
      <c r="M255" s="27"/>
      <c r="N255" s="27"/>
      <c r="O255" s="27"/>
      <c r="P255" s="27"/>
      <c r="Q255" s="27"/>
      <c r="R255" s="27"/>
      <c r="S255" s="27"/>
      <c r="T255" s="136">
        <v>26.387</v>
      </c>
      <c r="U255" s="136">
        <v>11.471206954381367</v>
      </c>
      <c r="V255" s="136">
        <v>3.0247049727617034E-2</v>
      </c>
      <c r="W255" s="136">
        <v>-2.4670582981705384E-3</v>
      </c>
    </row>
    <row r="256" spans="1:23">
      <c r="A256" s="6"/>
      <c r="B256" s="6"/>
      <c r="C256" s="136"/>
      <c r="D256" s="136"/>
      <c r="E256" s="27"/>
      <c r="F256" s="27"/>
      <c r="G256" s="27"/>
      <c r="H256" s="27"/>
      <c r="I256" s="27"/>
      <c r="J256" s="27"/>
      <c r="K256" s="27"/>
      <c r="L256" s="27"/>
      <c r="M256" s="27"/>
      <c r="N256" s="27"/>
      <c r="O256" s="27"/>
      <c r="P256" s="27"/>
      <c r="Q256" s="27"/>
      <c r="R256" s="27"/>
      <c r="S256" s="27"/>
      <c r="T256" s="136">
        <v>26.483333333333334</v>
      </c>
      <c r="U256" s="136">
        <v>11.47409803082016</v>
      </c>
      <c r="V256" s="136">
        <v>2.9776381185414071E-2</v>
      </c>
      <c r="W256" s="136">
        <v>-2.4188215994737625E-3</v>
      </c>
    </row>
    <row r="257" spans="1:23">
      <c r="A257" s="6"/>
      <c r="B257" s="6"/>
      <c r="C257" s="136"/>
      <c r="D257" s="136"/>
      <c r="E257" s="27"/>
      <c r="F257" s="27"/>
      <c r="G257" s="27"/>
      <c r="H257" s="27"/>
      <c r="I257" s="27"/>
      <c r="J257" s="27"/>
      <c r="K257" s="27"/>
      <c r="L257" s="27"/>
      <c r="M257" s="27"/>
      <c r="N257" s="27"/>
      <c r="O257" s="27"/>
      <c r="P257" s="27"/>
      <c r="Q257" s="27"/>
      <c r="R257" s="27"/>
      <c r="S257" s="27"/>
      <c r="T257" s="136">
        <v>26.579666666666668</v>
      </c>
      <c r="U257" s="136">
        <v>11.476944214667832</v>
      </c>
      <c r="V257" s="136">
        <v>2.9315032929391777E-2</v>
      </c>
      <c r="W257" s="136">
        <v>-2.3703934853201163E-3</v>
      </c>
    </row>
    <row r="258" spans="1:23">
      <c r="A258" s="6"/>
      <c r="B258" s="6"/>
      <c r="C258" s="136"/>
      <c r="D258" s="136"/>
      <c r="E258" s="27"/>
      <c r="F258" s="27"/>
      <c r="G258" s="27"/>
      <c r="H258" s="27"/>
      <c r="I258" s="27"/>
      <c r="J258" s="27"/>
      <c r="K258" s="27"/>
      <c r="L258" s="27"/>
      <c r="M258" s="27"/>
      <c r="N258" s="27"/>
      <c r="O258" s="27"/>
      <c r="P258" s="27"/>
      <c r="Q258" s="27"/>
      <c r="R258" s="27"/>
      <c r="S258" s="27"/>
      <c r="T258" s="136">
        <v>26.676000000000002</v>
      </c>
      <c r="U258" s="136">
        <v>11.479746403776206</v>
      </c>
      <c r="V258" s="136">
        <v>2.8863004922670771E-2</v>
      </c>
      <c r="W258" s="136">
        <v>-2.3220610788678934E-3</v>
      </c>
    </row>
    <row r="259" spans="1:23">
      <c r="A259" s="6"/>
      <c r="B259" s="6"/>
      <c r="C259" s="136"/>
      <c r="D259" s="136"/>
      <c r="E259" s="27"/>
      <c r="F259" s="27"/>
      <c r="G259" s="27"/>
      <c r="H259" s="27"/>
      <c r="I259" s="27"/>
      <c r="J259" s="27"/>
      <c r="K259" s="27"/>
      <c r="L259" s="27"/>
      <c r="M259" s="27"/>
      <c r="N259" s="27"/>
      <c r="O259" s="27"/>
      <c r="P259" s="27"/>
      <c r="Q259" s="27"/>
      <c r="R259" s="27"/>
      <c r="S259" s="27"/>
      <c r="T259" s="136">
        <v>26.772333333333332</v>
      </c>
      <c r="U259" s="136">
        <v>11.482505495997103</v>
      </c>
      <c r="V259" s="136">
        <v>2.842029718369074E-2</v>
      </c>
      <c r="W259" s="136">
        <v>-2.2735372569768083E-3</v>
      </c>
    </row>
    <row r="260" spans="1:23">
      <c r="A260" s="6"/>
      <c r="B260" s="6"/>
      <c r="C260" s="136"/>
      <c r="D260" s="136"/>
      <c r="E260" s="27"/>
      <c r="F260" s="27"/>
      <c r="G260" s="27"/>
      <c r="H260" s="27"/>
      <c r="I260" s="27"/>
      <c r="J260" s="27"/>
      <c r="K260" s="27"/>
      <c r="L260" s="27"/>
      <c r="M260" s="27"/>
      <c r="N260" s="27"/>
      <c r="O260" s="27"/>
      <c r="P260" s="27"/>
      <c r="Q260" s="27"/>
      <c r="R260" s="27"/>
      <c r="S260" s="27"/>
      <c r="T260" s="136">
        <v>26.868666666666666</v>
      </c>
      <c r="U260" s="136">
        <v>11.485222389182349</v>
      </c>
      <c r="V260" s="136">
        <v>2.7986909694011998E-2</v>
      </c>
      <c r="W260" s="136">
        <v>-2.2253005582800319E-3</v>
      </c>
    </row>
    <row r="261" spans="1:23">
      <c r="A261" s="6"/>
      <c r="B261" s="6"/>
      <c r="C261" s="136"/>
      <c r="D261" s="136"/>
      <c r="E261" s="27"/>
      <c r="F261" s="27"/>
      <c r="G261" s="27"/>
      <c r="H261" s="27"/>
      <c r="I261" s="27"/>
      <c r="J261" s="27"/>
      <c r="K261" s="27"/>
      <c r="L261" s="27"/>
      <c r="M261" s="27"/>
      <c r="N261" s="27"/>
      <c r="O261" s="27"/>
      <c r="P261" s="27"/>
      <c r="Q261" s="27"/>
      <c r="R261" s="27"/>
      <c r="S261" s="27"/>
      <c r="T261" s="136">
        <v>26.965</v>
      </c>
      <c r="U261" s="136">
        <v>11.487897981183762</v>
      </c>
      <c r="V261" s="136">
        <v>2.7562842472074231E-2</v>
      </c>
      <c r="W261" s="136">
        <v>-2.1768724441083784E-3</v>
      </c>
    </row>
    <row r="262" spans="1:23">
      <c r="A262" s="6"/>
      <c r="B262" s="6"/>
      <c r="C262" s="136"/>
      <c r="D262" s="136"/>
      <c r="E262" s="27"/>
      <c r="F262" s="27"/>
      <c r="G262" s="27"/>
      <c r="H262" s="27"/>
      <c r="I262" s="27"/>
      <c r="J262" s="27"/>
      <c r="K262" s="27"/>
      <c r="L262" s="27"/>
      <c r="M262" s="27"/>
      <c r="N262" s="27"/>
      <c r="O262" s="27"/>
      <c r="P262" s="27"/>
      <c r="Q262" s="27"/>
      <c r="R262" s="27"/>
      <c r="S262" s="27"/>
      <c r="T262" s="136">
        <v>27.061333333333334</v>
      </c>
      <c r="U262" s="136">
        <v>11.490533169853167</v>
      </c>
      <c r="V262" s="136">
        <v>2.7148095517877443E-2</v>
      </c>
      <c r="W262" s="136">
        <v>-2.1284443299547321E-3</v>
      </c>
    </row>
    <row r="263" spans="1:23">
      <c r="A263" s="6"/>
      <c r="B263" s="6"/>
      <c r="C263" s="136"/>
      <c r="D263" s="136"/>
      <c r="E263" s="27"/>
      <c r="F263" s="27"/>
      <c r="G263" s="27"/>
      <c r="H263" s="27"/>
      <c r="I263" s="27"/>
      <c r="J263" s="27"/>
      <c r="K263" s="27"/>
      <c r="L263" s="27"/>
      <c r="M263" s="27"/>
      <c r="N263" s="27"/>
      <c r="O263" s="27"/>
      <c r="P263" s="27"/>
      <c r="Q263" s="27"/>
      <c r="R263" s="27"/>
      <c r="S263" s="27"/>
      <c r="T263" s="136">
        <v>27.157666666666668</v>
      </c>
      <c r="U263" s="136">
        <v>11.493128853042387</v>
      </c>
      <c r="V263" s="136">
        <v>2.6742668812981943E-2</v>
      </c>
      <c r="W263" s="136">
        <v>-2.080207631239948E-3</v>
      </c>
    </row>
    <row r="264" spans="1:23">
      <c r="A264" s="6"/>
      <c r="B264" s="6"/>
      <c r="C264" s="136"/>
      <c r="D264" s="136"/>
      <c r="E264" s="27"/>
      <c r="F264" s="27"/>
      <c r="G264" s="27"/>
      <c r="H264" s="27"/>
      <c r="I264" s="27"/>
      <c r="J264" s="27"/>
      <c r="K264" s="27"/>
      <c r="L264" s="27"/>
      <c r="M264" s="27"/>
      <c r="N264" s="27"/>
      <c r="O264" s="27"/>
      <c r="P264" s="27"/>
      <c r="Q264" s="27"/>
      <c r="R264" s="27"/>
      <c r="S264" s="27"/>
      <c r="T264" s="136">
        <v>27.254000000000001</v>
      </c>
      <c r="U264" s="136">
        <v>11.495685928603242</v>
      </c>
      <c r="V264" s="136">
        <v>2.6346562394267109E-2</v>
      </c>
      <c r="W264" s="136">
        <v>-2.0316838093488629E-3</v>
      </c>
    </row>
    <row r="265" spans="1:23">
      <c r="A265" s="6"/>
      <c r="B265" s="6"/>
      <c r="C265" s="136"/>
      <c r="D265" s="136"/>
      <c r="E265" s="27"/>
      <c r="F265" s="27"/>
      <c r="G265" s="27"/>
      <c r="H265" s="27"/>
      <c r="I265" s="27"/>
      <c r="J265" s="27"/>
      <c r="K265" s="27"/>
      <c r="L265" s="27"/>
      <c r="M265" s="27"/>
      <c r="N265" s="27"/>
      <c r="O265" s="27"/>
      <c r="P265" s="27"/>
      <c r="Q265" s="27"/>
      <c r="R265" s="27"/>
      <c r="S265" s="27"/>
      <c r="T265" s="136">
        <v>27.350333333333335</v>
      </c>
      <c r="U265" s="136">
        <v>11.498205294387558</v>
      </c>
      <c r="V265" s="136">
        <v>2.5959776187974182E-2</v>
      </c>
      <c r="W265" s="136">
        <v>-1.9834471106520866E-3</v>
      </c>
    </row>
    <row r="266" spans="1:23">
      <c r="A266" s="6"/>
      <c r="B266" s="6"/>
      <c r="C266" s="136"/>
      <c r="D266" s="136"/>
      <c r="E266" s="27"/>
      <c r="F266" s="27"/>
      <c r="G266" s="27"/>
      <c r="H266" s="27"/>
      <c r="I266" s="27"/>
      <c r="J266" s="27"/>
      <c r="K266" s="27"/>
      <c r="L266" s="27"/>
      <c r="M266" s="27"/>
      <c r="N266" s="27"/>
      <c r="O266" s="27"/>
      <c r="P266" s="27"/>
      <c r="Q266" s="27"/>
      <c r="R266" s="27"/>
      <c r="S266" s="27"/>
      <c r="T266" s="136">
        <v>27.446666666666665</v>
      </c>
      <c r="U266" s="136">
        <v>11.500687848247154</v>
      </c>
      <c r="V266" s="136">
        <v>2.5582310286301615E-2</v>
      </c>
      <c r="W266" s="136">
        <v>-1.9350189964804328E-3</v>
      </c>
    </row>
    <row r="267" spans="1:23">
      <c r="A267" s="6"/>
      <c r="B267" s="6"/>
      <c r="C267" s="136"/>
      <c r="D267" s="136"/>
      <c r="E267" s="27"/>
      <c r="F267" s="27"/>
      <c r="G267" s="27"/>
      <c r="H267" s="27"/>
      <c r="I267" s="27"/>
      <c r="J267" s="27"/>
      <c r="K267" s="27"/>
      <c r="L267" s="27"/>
      <c r="M267" s="27"/>
      <c r="N267" s="27"/>
      <c r="O267" s="27"/>
      <c r="P267" s="27"/>
      <c r="Q267" s="27"/>
      <c r="R267" s="27"/>
      <c r="S267" s="27"/>
      <c r="T267" s="136">
        <v>27.542999999999999</v>
      </c>
      <c r="U267" s="136">
        <v>11.503134488033853</v>
      </c>
      <c r="V267" s="136">
        <v>2.5214164633930333E-2</v>
      </c>
      <c r="W267" s="136">
        <v>-1.8865908823267866E-3</v>
      </c>
    </row>
    <row r="268" spans="1:23">
      <c r="A268" s="6"/>
      <c r="B268" s="6"/>
      <c r="C268" s="136"/>
      <c r="D268" s="136"/>
      <c r="E268" s="27"/>
      <c r="F268" s="27"/>
      <c r="G268" s="27"/>
      <c r="H268" s="27"/>
      <c r="I268" s="27"/>
      <c r="J268" s="27"/>
      <c r="K268" s="27"/>
      <c r="L268" s="27"/>
      <c r="M268" s="27"/>
      <c r="N268" s="27"/>
      <c r="O268" s="27"/>
      <c r="P268" s="27"/>
      <c r="Q268" s="27"/>
      <c r="R268" s="27"/>
      <c r="S268" s="27"/>
      <c r="T268" s="136">
        <v>27.639333333333333</v>
      </c>
      <c r="U268" s="136">
        <v>11.505546111599479</v>
      </c>
      <c r="V268" s="136">
        <v>2.4855339230860338E-2</v>
      </c>
      <c r="W268" s="136">
        <v>-1.8383541836300104E-3</v>
      </c>
    </row>
    <row r="269" spans="1:23">
      <c r="A269" s="6"/>
      <c r="B269" s="6"/>
      <c r="C269" s="136"/>
      <c r="D269" s="136"/>
      <c r="E269" s="27"/>
      <c r="F269" s="27"/>
      <c r="G269" s="27"/>
      <c r="H269" s="27"/>
      <c r="I269" s="27"/>
      <c r="J269" s="27"/>
      <c r="K269" s="27"/>
      <c r="L269" s="27"/>
      <c r="M269" s="27"/>
      <c r="N269" s="27"/>
      <c r="O269" s="27"/>
      <c r="P269" s="27"/>
      <c r="Q269" s="27"/>
      <c r="R269" s="27"/>
      <c r="S269" s="27"/>
      <c r="T269" s="136">
        <v>27.735666666666667</v>
      </c>
      <c r="U269" s="136">
        <v>11.507923616795853</v>
      </c>
      <c r="V269" s="136">
        <v>2.4505834095531323E-2</v>
      </c>
      <c r="W269" s="136">
        <v>-1.7900217771957953E-3</v>
      </c>
    </row>
    <row r="270" spans="1:23">
      <c r="A270" s="6"/>
      <c r="B270" s="6"/>
      <c r="C270" s="136"/>
      <c r="D270" s="136"/>
      <c r="E270" s="27"/>
      <c r="F270" s="27"/>
      <c r="G270" s="27"/>
      <c r="H270" s="27"/>
      <c r="I270" s="27"/>
      <c r="J270" s="27"/>
      <c r="K270" s="27"/>
      <c r="L270" s="27"/>
      <c r="M270" s="27"/>
      <c r="N270" s="27"/>
      <c r="O270" s="27"/>
      <c r="P270" s="27"/>
      <c r="Q270" s="27"/>
      <c r="R270" s="27"/>
      <c r="S270" s="27"/>
      <c r="T270" s="136">
        <v>27.832000000000001</v>
      </c>
      <c r="U270" s="136">
        <v>11.510267901474798</v>
      </c>
      <c r="V270" s="136">
        <v>2.4165649227943283E-2</v>
      </c>
      <c r="W270" s="136">
        <v>-1.7415936630241415E-3</v>
      </c>
    </row>
    <row r="271" spans="1:23">
      <c r="A271" s="6"/>
      <c r="B271" s="6"/>
      <c r="C271" s="136"/>
      <c r="D271" s="136"/>
      <c r="E271" s="27"/>
      <c r="F271" s="27"/>
      <c r="G271" s="27"/>
      <c r="H271" s="27"/>
      <c r="I271" s="27"/>
      <c r="J271" s="27"/>
      <c r="K271" s="27"/>
      <c r="L271" s="27"/>
      <c r="M271" s="27"/>
      <c r="N271" s="27"/>
      <c r="O271" s="27"/>
      <c r="P271" s="27"/>
      <c r="Q271" s="27"/>
      <c r="R271" s="27"/>
      <c r="S271" s="27"/>
      <c r="T271" s="136">
        <v>27.928333333333335</v>
      </c>
      <c r="U271" s="136">
        <v>11.512579863488135</v>
      </c>
      <c r="V271" s="136">
        <v>2.3834784628096222E-2</v>
      </c>
      <c r="W271" s="136">
        <v>-1.6930698411150487E-3</v>
      </c>
    </row>
    <row r="272" spans="1:23">
      <c r="A272" s="6"/>
      <c r="B272" s="6"/>
      <c r="C272" s="136"/>
      <c r="D272" s="136"/>
      <c r="E272" s="27"/>
      <c r="F272" s="27"/>
      <c r="G272" s="27"/>
      <c r="H272" s="27"/>
      <c r="I272" s="27"/>
      <c r="J272" s="27"/>
      <c r="K272" s="27"/>
      <c r="L272" s="27"/>
      <c r="M272" s="27"/>
      <c r="N272" s="27"/>
      <c r="O272" s="27"/>
      <c r="P272" s="27"/>
      <c r="Q272" s="27"/>
      <c r="R272" s="27"/>
      <c r="S272" s="27"/>
      <c r="T272" s="136">
        <v>28.024666666666668</v>
      </c>
      <c r="U272" s="136">
        <v>11.51486040068769</v>
      </c>
      <c r="V272" s="136">
        <v>2.3513240277550449E-2</v>
      </c>
      <c r="W272" s="136">
        <v>-1.6447374346808337E-3</v>
      </c>
    </row>
    <row r="273" spans="1:23">
      <c r="A273" s="6"/>
      <c r="B273" s="6"/>
      <c r="C273" s="136"/>
      <c r="D273" s="136"/>
      <c r="E273" s="27"/>
      <c r="F273" s="27"/>
      <c r="G273" s="27"/>
      <c r="H273" s="27"/>
      <c r="I273" s="27"/>
      <c r="J273" s="27"/>
      <c r="K273" s="27"/>
      <c r="L273" s="27"/>
      <c r="M273" s="27"/>
      <c r="N273" s="27"/>
      <c r="O273" s="27"/>
      <c r="P273" s="27"/>
      <c r="Q273" s="27"/>
      <c r="R273" s="27"/>
      <c r="S273" s="27"/>
      <c r="T273" s="136">
        <v>28.120999999999999</v>
      </c>
      <c r="U273" s="136">
        <v>11.51711041092528</v>
      </c>
      <c r="V273" s="136">
        <v>2.3201016194745652E-2</v>
      </c>
      <c r="W273" s="136">
        <v>-1.5963093205271874E-3</v>
      </c>
    </row>
    <row r="274" spans="1:23">
      <c r="A274" s="6"/>
      <c r="B274" s="6"/>
      <c r="C274" s="136"/>
      <c r="D274" s="136"/>
      <c r="E274" s="27"/>
      <c r="F274" s="27"/>
      <c r="G274" s="27"/>
      <c r="H274" s="27"/>
      <c r="I274" s="27"/>
      <c r="J274" s="27"/>
      <c r="K274" s="27"/>
      <c r="L274" s="27"/>
      <c r="M274" s="27"/>
      <c r="N274" s="27"/>
      <c r="O274" s="27"/>
      <c r="P274" s="27"/>
      <c r="Q274" s="27"/>
      <c r="R274" s="27"/>
      <c r="S274" s="27"/>
      <c r="T274" s="136">
        <v>28.217333333333332</v>
      </c>
      <c r="U274" s="136">
        <v>11.519330792052733</v>
      </c>
      <c r="V274" s="136">
        <v>2.2898112361242142E-2</v>
      </c>
      <c r="W274" s="136">
        <v>-1.5479769140929723E-3</v>
      </c>
    </row>
    <row r="275" spans="1:23">
      <c r="A275" s="6"/>
      <c r="B275" s="6"/>
      <c r="C275" s="136"/>
      <c r="D275" s="136"/>
      <c r="E275" s="27"/>
      <c r="F275" s="27"/>
      <c r="G275" s="27"/>
      <c r="H275" s="27"/>
      <c r="I275" s="27"/>
      <c r="J275" s="27"/>
      <c r="K275" s="27"/>
      <c r="L275" s="27"/>
      <c r="M275" s="27"/>
      <c r="N275" s="27"/>
      <c r="O275" s="27"/>
      <c r="P275" s="27"/>
      <c r="Q275" s="27"/>
      <c r="R275" s="27"/>
      <c r="S275" s="27"/>
      <c r="T275" s="136">
        <v>28.313666666666666</v>
      </c>
      <c r="U275" s="136">
        <v>11.521522441921869</v>
      </c>
      <c r="V275" s="136">
        <v>2.2604528795479608E-2</v>
      </c>
      <c r="W275" s="136">
        <v>-1.4996445076587573E-3</v>
      </c>
    </row>
    <row r="276" spans="1:23">
      <c r="A276" s="6"/>
      <c r="B276" s="6"/>
      <c r="C276" s="136"/>
      <c r="D276" s="136"/>
      <c r="E276" s="27"/>
      <c r="F276" s="27"/>
      <c r="G276" s="27"/>
      <c r="H276" s="27"/>
      <c r="I276" s="27"/>
      <c r="J276" s="27"/>
      <c r="K276" s="27"/>
      <c r="L276" s="27"/>
      <c r="M276" s="27"/>
      <c r="N276" s="27"/>
      <c r="O276" s="27"/>
      <c r="P276" s="27"/>
      <c r="Q276" s="27"/>
      <c r="R276" s="27"/>
      <c r="S276" s="27"/>
      <c r="T276" s="136">
        <v>28.41</v>
      </c>
      <c r="U276" s="136">
        <v>11.523686258384508</v>
      </c>
      <c r="V276" s="136">
        <v>2.2320265497458053E-2</v>
      </c>
      <c r="W276" s="136">
        <v>-1.4512163935051108E-3</v>
      </c>
    </row>
    <row r="277" spans="1:23">
      <c r="A277" s="6"/>
      <c r="B277" s="6"/>
      <c r="C277" s="136"/>
      <c r="D277" s="136"/>
      <c r="E277" s="27"/>
      <c r="F277" s="27"/>
      <c r="G277" s="27"/>
      <c r="H277" s="27"/>
      <c r="I277" s="27"/>
      <c r="J277" s="27"/>
      <c r="K277" s="27"/>
      <c r="L277" s="27"/>
      <c r="M277" s="27"/>
      <c r="N277" s="27"/>
      <c r="O277" s="27"/>
      <c r="P277" s="27"/>
      <c r="Q277" s="27"/>
      <c r="R277" s="27"/>
      <c r="S277" s="27"/>
      <c r="T277" s="136">
        <v>28.506333333333334</v>
      </c>
      <c r="U277" s="136">
        <v>11.525823139292477</v>
      </c>
      <c r="V277" s="136">
        <v>2.2045322448737786E-2</v>
      </c>
      <c r="W277" s="136">
        <v>-1.4028839870708959E-3</v>
      </c>
    </row>
    <row r="278" spans="1:23">
      <c r="A278" s="6"/>
      <c r="B278" s="6"/>
      <c r="C278" s="136"/>
      <c r="D278" s="136"/>
      <c r="E278" s="27"/>
      <c r="F278" s="27"/>
      <c r="G278" s="27"/>
      <c r="H278" s="27"/>
      <c r="I278" s="27"/>
      <c r="J278" s="27"/>
      <c r="K278" s="27"/>
      <c r="L278" s="27"/>
      <c r="M278" s="27"/>
      <c r="N278" s="27"/>
      <c r="O278" s="27"/>
      <c r="P278" s="27"/>
      <c r="Q278" s="27"/>
      <c r="R278" s="27"/>
      <c r="S278" s="27"/>
      <c r="T278" s="136">
        <v>28.602666666666668</v>
      </c>
      <c r="U278" s="136">
        <v>11.527933982497595</v>
      </c>
      <c r="V278" s="136">
        <v>2.1779699667758494E-2</v>
      </c>
      <c r="W278" s="136">
        <v>-1.3544558728992419E-3</v>
      </c>
    </row>
    <row r="279" spans="1:23">
      <c r="A279" s="6"/>
      <c r="B279" s="6"/>
      <c r="C279" s="136"/>
      <c r="D279" s="136"/>
      <c r="E279" s="27"/>
      <c r="F279" s="27"/>
      <c r="G279" s="27"/>
      <c r="H279" s="27"/>
      <c r="I279" s="27"/>
      <c r="J279" s="27"/>
      <c r="K279" s="27"/>
      <c r="L279" s="27"/>
      <c r="M279" s="27"/>
      <c r="N279" s="27"/>
      <c r="O279" s="27"/>
      <c r="P279" s="27"/>
      <c r="Q279" s="27"/>
      <c r="R279" s="27"/>
      <c r="S279" s="27"/>
      <c r="T279" s="136">
        <v>28.699000000000002</v>
      </c>
      <c r="U279" s="136">
        <v>11.530019685851686</v>
      </c>
      <c r="V279" s="136">
        <v>2.1523397154520185E-2</v>
      </c>
      <c r="W279" s="136">
        <v>-1.3060277587275881E-3</v>
      </c>
    </row>
    <row r="280" spans="1:23">
      <c r="A280" s="6"/>
      <c r="B280" s="6"/>
      <c r="C280" s="136"/>
      <c r="D280" s="136"/>
      <c r="E280" s="27"/>
      <c r="F280" s="27"/>
      <c r="G280" s="27"/>
      <c r="H280" s="27"/>
      <c r="I280" s="27"/>
      <c r="J280" s="27"/>
      <c r="K280" s="27"/>
      <c r="L280" s="27"/>
      <c r="M280" s="27"/>
      <c r="N280" s="27"/>
      <c r="O280" s="27"/>
      <c r="P280" s="27"/>
      <c r="Q280" s="27"/>
      <c r="R280" s="27"/>
      <c r="S280" s="27"/>
      <c r="T280" s="136">
        <v>28.795333333333335</v>
      </c>
      <c r="U280" s="136">
        <v>11.532081147206572</v>
      </c>
      <c r="V280" s="136">
        <v>2.1276414890583156E-2</v>
      </c>
      <c r="W280" s="136">
        <v>-1.2576953523113807E-3</v>
      </c>
    </row>
    <row r="281" spans="1:23">
      <c r="A281" s="6"/>
      <c r="B281" s="6"/>
      <c r="C281" s="136"/>
      <c r="D281" s="136"/>
      <c r="E281" s="27"/>
      <c r="F281" s="27"/>
      <c r="G281" s="27"/>
      <c r="H281" s="27"/>
      <c r="I281" s="27"/>
      <c r="J281" s="27"/>
      <c r="K281" s="27"/>
      <c r="L281" s="27"/>
      <c r="M281" s="27"/>
      <c r="N281" s="27"/>
      <c r="O281" s="27"/>
      <c r="P281" s="27"/>
      <c r="Q281" s="27"/>
      <c r="R281" s="27"/>
      <c r="S281" s="27"/>
      <c r="T281" s="136">
        <v>28.891666666666666</v>
      </c>
      <c r="U281" s="136">
        <v>11.534119264414075</v>
      </c>
      <c r="V281" s="136">
        <v>2.103875289438711E-2</v>
      </c>
      <c r="W281" s="136">
        <v>-1.209362945859158E-3</v>
      </c>
    </row>
    <row r="282" spans="1:23">
      <c r="A282" s="6"/>
      <c r="B282" s="6"/>
      <c r="C282" s="136"/>
      <c r="D282" s="136"/>
      <c r="E282" s="27"/>
      <c r="F282" s="27"/>
      <c r="G282" s="27"/>
      <c r="H282" s="27"/>
      <c r="I282" s="27"/>
      <c r="J282" s="27"/>
      <c r="K282" s="27"/>
      <c r="L282" s="27"/>
      <c r="M282" s="27"/>
      <c r="N282" s="27"/>
      <c r="O282" s="27"/>
      <c r="P282" s="27"/>
      <c r="Q282" s="27"/>
      <c r="R282" s="27"/>
      <c r="S282" s="27"/>
      <c r="T282" s="136">
        <v>28.988</v>
      </c>
      <c r="U282" s="136">
        <v>11.536134935326018</v>
      </c>
      <c r="V282" s="136">
        <v>2.0810411147492349E-2</v>
      </c>
      <c r="W282" s="136">
        <v>-1.161030539424943E-3</v>
      </c>
    </row>
    <row r="283" spans="1:23">
      <c r="A283" s="6"/>
      <c r="B283" s="6"/>
      <c r="C283" s="136"/>
      <c r="D283" s="136"/>
      <c r="E283" s="27"/>
      <c r="F283" s="27"/>
      <c r="G283" s="27"/>
      <c r="H283" s="27"/>
      <c r="I283" s="27"/>
      <c r="J283" s="27"/>
      <c r="K283" s="27"/>
      <c r="L283" s="27"/>
      <c r="M283" s="27"/>
      <c r="N283" s="27"/>
      <c r="O283" s="27"/>
      <c r="P283" s="27"/>
      <c r="Q283" s="27"/>
      <c r="R283" s="27"/>
      <c r="S283" s="27"/>
      <c r="T283" s="136">
        <v>29.084333333333333</v>
      </c>
      <c r="U283" s="136">
        <v>11.538129057794222</v>
      </c>
      <c r="V283" s="136">
        <v>2.0591389686778254E-2</v>
      </c>
      <c r="W283" s="136">
        <v>-1.1125067175338577E-3</v>
      </c>
    </row>
    <row r="284" spans="1:23">
      <c r="A284" s="6"/>
      <c r="B284" s="6"/>
      <c r="C284" s="136"/>
      <c r="D284" s="136"/>
      <c r="E284" s="27"/>
      <c r="F284" s="27"/>
      <c r="G284" s="27"/>
      <c r="H284" s="27"/>
      <c r="I284" s="27"/>
      <c r="J284" s="27"/>
      <c r="K284" s="27"/>
      <c r="L284" s="27"/>
      <c r="M284" s="27"/>
      <c r="N284" s="27"/>
      <c r="O284" s="27"/>
      <c r="P284" s="27"/>
      <c r="Q284" s="27"/>
      <c r="R284" s="27"/>
      <c r="S284" s="27"/>
      <c r="T284" s="136">
        <v>29.180666666666667</v>
      </c>
      <c r="U284" s="136">
        <v>11.540102529670513</v>
      </c>
      <c r="V284" s="136">
        <v>2.038168845692576E-2</v>
      </c>
      <c r="W284" s="136">
        <v>-1.0642700188370816E-3</v>
      </c>
    </row>
    <row r="285" spans="1:23">
      <c r="A285" s="6"/>
      <c r="B285" s="6"/>
      <c r="C285" s="136"/>
      <c r="D285" s="136"/>
      <c r="E285" s="27"/>
      <c r="F285" s="27"/>
      <c r="G285" s="27"/>
      <c r="H285" s="27"/>
      <c r="I285" s="27"/>
      <c r="J285" s="27"/>
      <c r="K285" s="27"/>
      <c r="L285" s="27"/>
      <c r="M285" s="27"/>
      <c r="N285" s="27"/>
      <c r="O285" s="27"/>
      <c r="P285" s="27"/>
      <c r="Q285" s="27"/>
      <c r="R285" s="27"/>
      <c r="S285" s="27"/>
      <c r="T285" s="136">
        <v>29.277000000000001</v>
      </c>
      <c r="U285" s="136">
        <v>11.542056248806709</v>
      </c>
      <c r="V285" s="136">
        <v>2.0181307513253931E-2</v>
      </c>
      <c r="W285" s="136">
        <v>-1.0158419046654278E-3</v>
      </c>
    </row>
    <row r="286" spans="1:23">
      <c r="A286" s="6"/>
      <c r="B286" s="6"/>
      <c r="C286" s="136"/>
      <c r="D286" s="136"/>
      <c r="E286" s="27"/>
      <c r="F286" s="27"/>
      <c r="G286" s="27"/>
      <c r="H286" s="27"/>
      <c r="I286" s="27"/>
      <c r="J286" s="27"/>
      <c r="K286" s="27"/>
      <c r="L286" s="27"/>
      <c r="M286" s="27"/>
      <c r="N286" s="27"/>
      <c r="O286" s="27"/>
      <c r="P286" s="27"/>
      <c r="Q286" s="27"/>
      <c r="R286" s="27"/>
      <c r="S286" s="27"/>
      <c r="T286" s="136">
        <v>29.373333333333335</v>
      </c>
      <c r="U286" s="136">
        <v>11.543991113054636</v>
      </c>
      <c r="V286" s="136">
        <v>1.9990246800443697E-2</v>
      </c>
      <c r="W286" s="136">
        <v>-9.6760520598665912E-4</v>
      </c>
    </row>
    <row r="287" spans="1:23">
      <c r="A287" s="6"/>
      <c r="B287" s="6"/>
      <c r="C287" s="136"/>
      <c r="D287" s="136"/>
      <c r="E287" s="27"/>
      <c r="F287" s="27"/>
      <c r="G287" s="27"/>
      <c r="H287" s="27"/>
      <c r="I287" s="27"/>
      <c r="J287" s="27"/>
      <c r="K287" s="27"/>
      <c r="L287" s="27"/>
      <c r="M287" s="27"/>
      <c r="N287" s="27"/>
      <c r="O287" s="27"/>
      <c r="P287" s="27"/>
      <c r="Q287" s="27"/>
      <c r="R287" s="27"/>
      <c r="S287" s="27"/>
      <c r="T287" s="136">
        <v>29.469666666666669</v>
      </c>
      <c r="U287" s="136">
        <v>11.545908020266113</v>
      </c>
      <c r="V287" s="136">
        <v>1.9808506373814136E-2</v>
      </c>
      <c r="W287" s="136">
        <v>-9.1917709179699771E-4</v>
      </c>
    </row>
    <row r="288" spans="1:23">
      <c r="A288" s="6"/>
      <c r="C288" s="136"/>
      <c r="D288" s="136"/>
      <c r="E288" s="27"/>
      <c r="F288" s="27"/>
      <c r="G288" s="27"/>
      <c r="H288" s="27"/>
      <c r="I288" s="27"/>
      <c r="J288" s="27"/>
      <c r="K288" s="27"/>
      <c r="L288" s="27"/>
      <c r="M288" s="27"/>
      <c r="N288" s="27"/>
      <c r="O288" s="27"/>
      <c r="P288" s="27"/>
      <c r="Q288" s="27"/>
      <c r="R288" s="27"/>
      <c r="S288" s="27"/>
      <c r="T288" s="136">
        <v>29.565999999999999</v>
      </c>
      <c r="U288" s="136">
        <v>11.547807868292965</v>
      </c>
      <c r="V288" s="136">
        <v>1.9636086214925547E-2</v>
      </c>
      <c r="W288" s="136">
        <v>-8.7065326992392001E-4</v>
      </c>
    </row>
    <row r="289" spans="1:23">
      <c r="A289" s="6"/>
      <c r="C289" s="136"/>
      <c r="D289" s="136"/>
      <c r="E289" s="27"/>
      <c r="F289" s="27"/>
      <c r="G289" s="27"/>
      <c r="H289" s="27"/>
      <c r="I289" s="27"/>
      <c r="J289" s="27"/>
      <c r="K289" s="27"/>
      <c r="L289" s="27"/>
      <c r="M289" s="27"/>
      <c r="N289" s="27"/>
      <c r="O289" s="27"/>
      <c r="P289" s="27"/>
      <c r="Q289" s="27"/>
      <c r="R289" s="27"/>
      <c r="S289" s="27"/>
      <c r="T289" s="136">
        <v>29.662333333333333</v>
      </c>
      <c r="U289" s="136">
        <v>11.549691554987014</v>
      </c>
      <c r="V289" s="136">
        <v>1.9472986305338249E-2</v>
      </c>
      <c r="W289" s="136">
        <v>-8.2232086347169744E-4</v>
      </c>
    </row>
    <row r="290" spans="1:23">
      <c r="A290" s="6"/>
      <c r="C290" s="136"/>
      <c r="D290" s="136"/>
      <c r="E290" s="27"/>
      <c r="F290" s="27"/>
      <c r="G290" s="27"/>
      <c r="H290" s="27"/>
      <c r="I290" s="27"/>
      <c r="J290" s="27"/>
      <c r="K290" s="27"/>
      <c r="L290" s="27"/>
      <c r="M290" s="27"/>
      <c r="N290" s="27"/>
      <c r="O290" s="27"/>
      <c r="P290" s="27"/>
      <c r="Q290" s="27"/>
      <c r="R290" s="27"/>
      <c r="S290" s="27"/>
      <c r="T290" s="136">
        <v>29.758666666666667</v>
      </c>
      <c r="U290" s="136">
        <v>11.551559978200082</v>
      </c>
      <c r="V290" s="136">
        <v>1.9319206645052236E-2</v>
      </c>
      <c r="W290" s="136">
        <v>-7.7398845705548989E-4</v>
      </c>
    </row>
    <row r="291" spans="1:23">
      <c r="A291" s="6"/>
      <c r="C291" s="136"/>
      <c r="D291" s="136"/>
      <c r="E291" s="27"/>
      <c r="F291" s="27"/>
      <c r="G291" s="27"/>
      <c r="H291" s="27"/>
      <c r="I291" s="27"/>
      <c r="J291" s="27"/>
      <c r="K291" s="27"/>
      <c r="L291" s="27"/>
      <c r="M291" s="27"/>
      <c r="N291" s="27"/>
      <c r="O291" s="27"/>
      <c r="P291" s="27"/>
      <c r="Q291" s="27"/>
      <c r="R291" s="27"/>
      <c r="S291" s="27"/>
      <c r="T291" s="136">
        <v>29.855</v>
      </c>
      <c r="U291" s="136">
        <v>11.553414035783991</v>
      </c>
      <c r="V291" s="136">
        <v>1.9174747270946892E-2</v>
      </c>
      <c r="W291" s="136">
        <v>-7.25560342883836E-4</v>
      </c>
    </row>
    <row r="292" spans="1:23">
      <c r="A292" s="6"/>
      <c r="C292" s="136"/>
      <c r="D292" s="136"/>
      <c r="E292" s="27"/>
      <c r="F292" s="27"/>
      <c r="G292" s="27"/>
      <c r="H292" s="27"/>
      <c r="I292" s="27"/>
      <c r="J292" s="27"/>
      <c r="K292" s="27"/>
      <c r="L292" s="27"/>
      <c r="M292" s="27"/>
      <c r="N292" s="27"/>
      <c r="O292" s="27"/>
      <c r="P292" s="27"/>
      <c r="Q292" s="27"/>
      <c r="R292" s="27"/>
      <c r="S292" s="27"/>
      <c r="T292" s="136">
        <v>29.951333333333334</v>
      </c>
      <c r="U292" s="136">
        <v>11.555254625590564</v>
      </c>
      <c r="V292" s="136">
        <v>1.9039608146142837E-2</v>
      </c>
      <c r="W292" s="136">
        <v>-6.7722793644962094E-4</v>
      </c>
    </row>
    <row r="293" spans="1:23">
      <c r="A293" s="6"/>
      <c r="C293" s="136"/>
      <c r="D293" s="136"/>
      <c r="E293" s="27"/>
      <c r="F293" s="27"/>
      <c r="G293" s="27"/>
      <c r="H293" s="27"/>
      <c r="I293" s="27"/>
      <c r="J293" s="27"/>
      <c r="K293" s="27"/>
      <c r="L293" s="27"/>
      <c r="M293" s="27"/>
      <c r="N293" s="27"/>
      <c r="O293" s="27"/>
      <c r="P293" s="27"/>
      <c r="Q293" s="27"/>
      <c r="R293" s="27"/>
      <c r="S293" s="27"/>
      <c r="T293" s="136">
        <v>30.047666666666668</v>
      </c>
      <c r="U293" s="136">
        <v>11.557082645471624</v>
      </c>
      <c r="V293" s="136">
        <v>1.8913789270640066E-2</v>
      </c>
      <c r="W293" s="136">
        <v>-6.28895530015406E-4</v>
      </c>
    </row>
    <row r="294" spans="1:23">
      <c r="A294" s="6"/>
      <c r="C294" s="136"/>
      <c r="D294" s="136"/>
      <c r="E294" s="27"/>
      <c r="F294" s="27"/>
      <c r="G294" s="27"/>
      <c r="H294" s="27"/>
      <c r="I294" s="27"/>
      <c r="J294" s="27"/>
      <c r="K294" s="27"/>
      <c r="L294" s="27"/>
      <c r="M294" s="27"/>
      <c r="N294" s="27"/>
      <c r="O294" s="27"/>
      <c r="P294" s="27"/>
      <c r="Q294" s="27"/>
      <c r="R294" s="27"/>
      <c r="S294" s="27"/>
      <c r="T294" s="136">
        <v>30.144000000000002</v>
      </c>
      <c r="U294" s="136">
        <v>11.558898993278991</v>
      </c>
      <c r="V294" s="136">
        <v>1.8797290681317962E-2</v>
      </c>
      <c r="W294" s="136">
        <v>-5.8037170812432078E-4</v>
      </c>
    </row>
    <row r="295" spans="1:23">
      <c r="A295" s="6"/>
      <c r="C295" s="136"/>
      <c r="D295" s="136"/>
      <c r="E295" s="27"/>
      <c r="F295" s="27"/>
      <c r="G295" s="27"/>
      <c r="H295" s="27"/>
      <c r="I295" s="27"/>
      <c r="J295" s="27"/>
      <c r="K295" s="27"/>
      <c r="L295" s="27"/>
      <c r="M295" s="27"/>
      <c r="N295" s="27"/>
      <c r="O295" s="27"/>
      <c r="P295" s="27"/>
      <c r="Q295" s="27"/>
      <c r="R295" s="27"/>
      <c r="S295" s="27"/>
      <c r="T295" s="136">
        <v>30.240333333333332</v>
      </c>
      <c r="U295" s="136">
        <v>11.560704566864491</v>
      </c>
      <c r="V295" s="136">
        <v>1.8690112322857458E-2</v>
      </c>
      <c r="W295" s="136">
        <v>-5.3213500942754456E-4</v>
      </c>
    </row>
    <row r="296" spans="1:23">
      <c r="A296" s="6"/>
      <c r="C296" s="136"/>
      <c r="D296" s="136"/>
      <c r="E296" s="27"/>
      <c r="F296" s="27"/>
      <c r="G296" s="27"/>
      <c r="H296" s="27"/>
      <c r="I296" s="27"/>
      <c r="J296" s="27"/>
      <c r="K296" s="27"/>
      <c r="L296" s="27"/>
      <c r="M296" s="27"/>
      <c r="N296" s="27"/>
      <c r="O296" s="27"/>
      <c r="P296" s="27"/>
      <c r="Q296" s="27"/>
      <c r="R296" s="27"/>
      <c r="S296" s="27"/>
      <c r="T296" s="136">
        <v>30.336666666666666</v>
      </c>
      <c r="U296" s="136">
        <v>11.562500264079944</v>
      </c>
      <c r="V296" s="136">
        <v>1.8592254232137929E-2</v>
      </c>
      <c r="W296" s="136">
        <v>-4.8380260299332956E-4</v>
      </c>
    </row>
    <row r="297" spans="1:23">
      <c r="A297" s="6"/>
      <c r="C297" s="136"/>
      <c r="D297" s="136"/>
      <c r="E297" s="27"/>
      <c r="F297" s="27"/>
      <c r="G297" s="27"/>
      <c r="H297" s="27"/>
      <c r="I297" s="27"/>
      <c r="J297" s="27"/>
      <c r="K297" s="27"/>
      <c r="L297" s="27"/>
      <c r="M297" s="27"/>
      <c r="N297" s="27"/>
      <c r="O297" s="27"/>
      <c r="P297" s="27"/>
      <c r="Q297" s="27"/>
      <c r="R297" s="27"/>
      <c r="S297" s="27"/>
      <c r="T297" s="136">
        <v>30.433</v>
      </c>
      <c r="U297" s="136">
        <v>11.564286982777171</v>
      </c>
      <c r="V297" s="136">
        <v>1.8503716427599071E-2</v>
      </c>
      <c r="W297" s="136">
        <v>-4.3527878108423683E-4</v>
      </c>
    </row>
    <row r="298" spans="1:23">
      <c r="A298" s="6"/>
      <c r="C298" s="136"/>
      <c r="D298" s="136"/>
      <c r="E298" s="27"/>
      <c r="F298" s="27"/>
      <c r="G298" s="27"/>
      <c r="H298" s="27"/>
      <c r="I298" s="27"/>
      <c r="J298" s="27"/>
      <c r="K298" s="27"/>
      <c r="L298" s="27"/>
      <c r="M298" s="27"/>
      <c r="N298" s="27"/>
      <c r="O298" s="27"/>
      <c r="P298" s="27"/>
      <c r="Q298" s="27"/>
      <c r="R298" s="27"/>
      <c r="S298" s="27"/>
      <c r="T298" s="136">
        <v>30.529333333333334</v>
      </c>
      <c r="U298" s="136">
        <v>11.566065620807999</v>
      </c>
      <c r="V298" s="136">
        <v>1.8424498853921806E-2</v>
      </c>
      <c r="W298" s="136">
        <v>-3.8704208238746061E-4</v>
      </c>
    </row>
    <row r="299" spans="1:23">
      <c r="A299" s="6"/>
      <c r="C299" s="136"/>
      <c r="D299" s="136"/>
      <c r="E299" s="27"/>
      <c r="F299" s="27"/>
      <c r="G299" s="27"/>
      <c r="H299" s="27"/>
      <c r="I299" s="27"/>
      <c r="J299" s="27"/>
      <c r="K299" s="27"/>
      <c r="L299" s="27"/>
      <c r="M299" s="27"/>
      <c r="N299" s="27"/>
      <c r="O299" s="27"/>
      <c r="P299" s="27"/>
      <c r="Q299" s="27"/>
      <c r="R299" s="27"/>
      <c r="S299" s="27"/>
      <c r="T299" s="136">
        <v>30.625666666666667</v>
      </c>
      <c r="U299" s="136">
        <v>11.567837076024245</v>
      </c>
      <c r="V299" s="136">
        <v>1.835460156642521E-2</v>
      </c>
      <c r="W299" s="136">
        <v>-3.3861396823381423E-4</v>
      </c>
    </row>
    <row r="300" spans="1:23">
      <c r="A300" s="6"/>
      <c r="C300" s="136"/>
      <c r="D300" s="136"/>
      <c r="E300" s="27"/>
      <c r="F300" s="27"/>
      <c r="G300" s="27"/>
      <c r="H300" s="27"/>
      <c r="I300" s="27"/>
      <c r="J300" s="27"/>
      <c r="K300" s="27"/>
      <c r="L300" s="27"/>
      <c r="M300" s="27"/>
      <c r="N300" s="27"/>
      <c r="O300" s="27"/>
      <c r="P300" s="27"/>
      <c r="Q300" s="27"/>
      <c r="R300" s="27"/>
      <c r="S300" s="27"/>
      <c r="T300" s="136">
        <v>30.722000000000001</v>
      </c>
      <c r="U300" s="136">
        <v>11.569602246277736</v>
      </c>
      <c r="V300" s="136">
        <v>1.8294024528229903E-2</v>
      </c>
      <c r="W300" s="136">
        <v>-2.9018585406216039E-4</v>
      </c>
    </row>
    <row r="301" spans="1:23">
      <c r="A301" s="6"/>
      <c r="C301" s="136"/>
      <c r="D301" s="136"/>
      <c r="E301" s="27"/>
      <c r="F301" s="27"/>
      <c r="G301" s="27"/>
      <c r="H301" s="27"/>
      <c r="I301" s="27"/>
      <c r="J301" s="27"/>
      <c r="K301" s="27"/>
      <c r="L301" s="27"/>
      <c r="M301" s="27"/>
      <c r="N301" s="27"/>
      <c r="O301" s="27"/>
      <c r="P301" s="27"/>
      <c r="Q301" s="27"/>
      <c r="R301" s="27"/>
      <c r="S301" s="27"/>
      <c r="T301" s="136">
        <v>30.818333333333335</v>
      </c>
      <c r="U301" s="136">
        <v>11.571362029420293</v>
      </c>
      <c r="V301" s="136">
        <v>1.8242767757775571E-2</v>
      </c>
      <c r="W301" s="136">
        <v>-2.4185344762794533E-4</v>
      </c>
    </row>
    <row r="302" spans="1:23">
      <c r="A302" s="6"/>
      <c r="C302" s="136"/>
      <c r="D302" s="136"/>
      <c r="E302" s="27"/>
      <c r="F302" s="27"/>
      <c r="G302" s="27"/>
      <c r="H302" s="27"/>
      <c r="I302" s="27"/>
      <c r="J302" s="27"/>
      <c r="K302" s="27"/>
      <c r="L302" s="27"/>
      <c r="M302" s="27"/>
      <c r="N302" s="27"/>
      <c r="O302" s="27"/>
      <c r="P302" s="27"/>
      <c r="Q302" s="27"/>
      <c r="R302" s="27"/>
      <c r="S302" s="27"/>
      <c r="T302" s="136">
        <v>30.914666666666669</v>
      </c>
      <c r="U302" s="136">
        <v>11.573117323303737</v>
      </c>
      <c r="V302" s="136">
        <v>1.8200831236622528E-2</v>
      </c>
      <c r="W302" s="136">
        <v>-1.935210411937303E-4</v>
      </c>
    </row>
    <row r="303" spans="1:23">
      <c r="A303" s="6"/>
      <c r="C303" s="136"/>
      <c r="D303" s="136"/>
      <c r="E303" s="27"/>
      <c r="F303" s="27"/>
      <c r="G303" s="27"/>
      <c r="H303" s="27"/>
      <c r="I303" s="27"/>
      <c r="J303" s="27"/>
      <c r="K303" s="27"/>
      <c r="L303" s="27"/>
      <c r="M303" s="27"/>
      <c r="N303" s="27"/>
      <c r="O303" s="27"/>
      <c r="P303" s="27"/>
      <c r="Q303" s="27"/>
      <c r="R303" s="27"/>
      <c r="S303" s="27"/>
      <c r="T303" s="136">
        <v>31.010999999999999</v>
      </c>
      <c r="U303" s="136">
        <v>11.574869025779892</v>
      </c>
      <c r="V303" s="136">
        <v>1.8168214983210463E-2</v>
      </c>
      <c r="W303" s="136">
        <v>-1.4509292702207644E-4</v>
      </c>
    </row>
    <row r="304" spans="1:23">
      <c r="C304" s="136"/>
      <c r="D304" s="136"/>
      <c r="E304" s="27"/>
      <c r="F304" s="27"/>
      <c r="G304" s="27"/>
      <c r="H304" s="27"/>
      <c r="I304" s="27"/>
      <c r="J304" s="27"/>
      <c r="K304" s="27"/>
      <c r="L304" s="27"/>
      <c r="M304" s="27"/>
      <c r="N304" s="27"/>
      <c r="O304" s="27"/>
      <c r="P304" s="27"/>
      <c r="Q304" s="27"/>
      <c r="R304" s="27"/>
      <c r="S304" s="27"/>
      <c r="T304" s="136">
        <v>31.107333333333333</v>
      </c>
      <c r="U304" s="136">
        <v>11.576618034700578</v>
      </c>
      <c r="V304" s="136">
        <v>1.8144918997539373E-2</v>
      </c>
      <c r="W304" s="136">
        <v>-9.6664812868430059E-5</v>
      </c>
    </row>
    <row r="305" spans="3:23">
      <c r="C305" s="136"/>
      <c r="D305" s="136"/>
      <c r="E305" s="27"/>
      <c r="F305" s="27"/>
      <c r="G305" s="27"/>
      <c r="H305" s="27"/>
      <c r="I305" s="27"/>
      <c r="J305" s="27"/>
      <c r="K305" s="27"/>
      <c r="L305" s="27"/>
      <c r="M305" s="27"/>
      <c r="N305" s="27"/>
      <c r="O305" s="27"/>
      <c r="P305" s="27"/>
      <c r="Q305" s="27"/>
      <c r="R305" s="27"/>
      <c r="S305" s="27"/>
      <c r="T305" s="136">
        <v>31.203666666666667</v>
      </c>
      <c r="U305" s="136">
        <v>11.57836524791762</v>
      </c>
      <c r="V305" s="136">
        <v>1.8130943261169572E-2</v>
      </c>
      <c r="W305" s="136">
        <v>-4.833240643421503E-5</v>
      </c>
    </row>
    <row r="306" spans="3:23">
      <c r="C306" s="136"/>
      <c r="D306" s="136"/>
      <c r="E306" s="27"/>
      <c r="F306" s="27"/>
      <c r="G306" s="27"/>
      <c r="H306" s="27"/>
      <c r="I306" s="27"/>
      <c r="J306" s="27"/>
      <c r="K306" s="27"/>
      <c r="L306" s="27"/>
      <c r="M306" s="27"/>
      <c r="N306" s="27"/>
      <c r="O306" s="27"/>
      <c r="P306" s="27"/>
      <c r="Q306" s="27"/>
      <c r="R306" s="27"/>
      <c r="S306" s="27"/>
      <c r="T306" s="136">
        <v>31.3</v>
      </c>
      <c r="U306" s="136">
        <v>11.580111563282841</v>
      </c>
      <c r="V306" s="136">
        <v>1.8126287774101059E-2</v>
      </c>
      <c r="W306" s="136">
        <v>-9.5707737438852625E-8</v>
      </c>
    </row>
  </sheetData>
  <pageMargins left="0.78740157499999996" right="0.78740157499999996" top="0.984251969" bottom="0.984251969" header="0.49212598499999999" footer="0.49212598499999999"/>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537793" r:id="rId4" name="Button 1">
              <controlPr defaultSize="0" print="0" autoFill="0" autoPict="0" macro="[0]!Splinter">
                <anchor moveWithCells="1" sizeWithCells="1">
                  <from>
                    <xdr:col>3</xdr:col>
                    <xdr:colOff>581025</xdr:colOff>
                    <xdr:row>2</xdr:row>
                    <xdr:rowOff>57150</xdr:rowOff>
                  </from>
                  <to>
                    <xdr:col>5</xdr:col>
                    <xdr:colOff>561975</xdr:colOff>
                    <xdr:row>3</xdr:row>
                    <xdr:rowOff>276225</xdr:rowOff>
                  </to>
                </anchor>
              </controlPr>
            </control>
          </mc:Choice>
        </mc:AlternateContent>
        <mc:AlternateContent xmlns:mc="http://schemas.openxmlformats.org/markup-compatibility/2006">
          <mc:Choice Requires="x14">
            <control shapeId="5537794" r:id="rId5" name="Button 2">
              <controlPr defaultSize="0" print="0" autoFill="0" autoPict="0" macro="[0]!Eval_Clear_Data">
                <anchor moveWithCells="1" sizeWithCells="1">
                  <from>
                    <xdr:col>0</xdr:col>
                    <xdr:colOff>66675</xdr:colOff>
                    <xdr:row>2</xdr:row>
                    <xdr:rowOff>57150</xdr:rowOff>
                  </from>
                  <to>
                    <xdr:col>1</xdr:col>
                    <xdr:colOff>495300</xdr:colOff>
                    <xdr:row>2</xdr:row>
                    <xdr:rowOff>304800</xdr:rowOff>
                  </to>
                </anchor>
              </controlPr>
            </control>
          </mc:Choice>
        </mc:AlternateContent>
        <mc:AlternateContent xmlns:mc="http://schemas.openxmlformats.org/markup-compatibility/2006">
          <mc:Choice Requires="x14">
            <control shapeId="5537795" r:id="rId6" name="Button 3">
              <controlPr defaultSize="0" print="0" autoFill="0" autoPict="0" macro="[0]!Eval_dados_Tit">
                <anchor moveWithCells="1" sizeWithCells="1">
                  <from>
                    <xdr:col>2</xdr:col>
                    <xdr:colOff>47625</xdr:colOff>
                    <xdr:row>2</xdr:row>
                    <xdr:rowOff>57150</xdr:rowOff>
                  </from>
                  <to>
                    <xdr:col>3</xdr:col>
                    <xdr:colOff>504825</xdr:colOff>
                    <xdr:row>2</xdr:row>
                    <xdr:rowOff>295275</xdr:rowOff>
                  </to>
                </anchor>
              </controlPr>
            </control>
          </mc:Choice>
        </mc:AlternateContent>
        <mc:AlternateContent xmlns:mc="http://schemas.openxmlformats.org/markup-compatibility/2006">
          <mc:Choice Requires="x14">
            <control shapeId="5537796" r:id="rId7" name="Button 4">
              <controlPr defaultSize="0" print="0" autoFill="0" autoPict="0" macro="[0]!Eval_dados_Sim_Disp">
                <anchor moveWithCells="1" sizeWithCells="1">
                  <from>
                    <xdr:col>1</xdr:col>
                    <xdr:colOff>561975</xdr:colOff>
                    <xdr:row>3</xdr:row>
                    <xdr:rowOff>38100</xdr:rowOff>
                  </from>
                  <to>
                    <xdr:col>3</xdr:col>
                    <xdr:colOff>504825</xdr:colOff>
                    <xdr:row>3</xdr:row>
                    <xdr:rowOff>266700</xdr:rowOff>
                  </to>
                </anchor>
              </controlPr>
            </control>
          </mc:Choice>
        </mc:AlternateContent>
        <mc:AlternateContent xmlns:mc="http://schemas.openxmlformats.org/markup-compatibility/2006">
          <mc:Choice Requires="x14">
            <control shapeId="5537797" r:id="rId8" name="Button 5">
              <controlPr defaultSize="0" print="0" autoFill="0" autoPict="0" macro="[0]!Eval_Copia_volumes">
                <anchor moveWithCells="1" sizeWithCells="1">
                  <from>
                    <xdr:col>14</xdr:col>
                    <xdr:colOff>295275</xdr:colOff>
                    <xdr:row>20</xdr:row>
                    <xdr:rowOff>57150</xdr:rowOff>
                  </from>
                  <to>
                    <xdr:col>15</xdr:col>
                    <xdr:colOff>781050</xdr:colOff>
                    <xdr:row>21</xdr:row>
                    <xdr:rowOff>142875</xdr:rowOff>
                  </to>
                </anchor>
              </controlPr>
            </control>
          </mc:Choice>
        </mc:AlternateContent>
        <mc:AlternateContent xmlns:mc="http://schemas.openxmlformats.org/markup-compatibility/2006">
          <mc:Choice Requires="x14">
            <control shapeId="5537798" r:id="rId9" name="Button 6">
              <controlPr defaultSize="0" print="0" autoFill="0" autoPict="0" macro="[0]!Eval_dados_Sim">
                <anchor moveWithCells="1" sizeWithCells="1">
                  <from>
                    <xdr:col>0</xdr:col>
                    <xdr:colOff>66675</xdr:colOff>
                    <xdr:row>3</xdr:row>
                    <xdr:rowOff>28575</xdr:rowOff>
                  </from>
                  <to>
                    <xdr:col>1</xdr:col>
                    <xdr:colOff>504825</xdr:colOff>
                    <xdr:row>3</xdr:row>
                    <xdr:rowOff>266700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3"/>
  <dimension ref="A1:BA162"/>
  <sheetViews>
    <sheetView zoomScale="85" zoomScaleNormal="85" workbookViewId="0"/>
  </sheetViews>
  <sheetFormatPr defaultRowHeight="12.75"/>
  <cols>
    <col min="1" max="1" width="13.7109375" style="5" customWidth="1"/>
    <col min="2" max="2" width="14.7109375" style="5" customWidth="1"/>
    <col min="3" max="7" width="14.7109375" customWidth="1"/>
    <col min="8" max="8" width="19.85546875" customWidth="1"/>
    <col min="9" max="9" width="15.28515625" customWidth="1"/>
    <col min="10" max="12" width="15.85546875" customWidth="1"/>
    <col min="13" max="13" width="16.5703125" customWidth="1"/>
    <col min="14" max="16" width="15.7109375" customWidth="1"/>
    <col min="17" max="17" width="16" customWidth="1"/>
    <col min="18" max="18" width="16.85546875" customWidth="1"/>
    <col min="19" max="19" width="14" customWidth="1"/>
    <col min="20" max="20" width="14.28515625" customWidth="1"/>
    <col min="21" max="21" width="14.7109375" customWidth="1"/>
    <col min="22" max="22" width="12.7109375" style="1" customWidth="1"/>
    <col min="23" max="25" width="12.7109375" customWidth="1"/>
    <col min="26" max="26" width="12.7109375" style="1" customWidth="1"/>
    <col min="27" max="31" width="12.7109375" customWidth="1"/>
    <col min="32" max="32" width="18.42578125" customWidth="1"/>
    <col min="33" max="37" width="12.7109375" customWidth="1"/>
    <col min="38" max="38" width="12.7109375" style="10" customWidth="1"/>
    <col min="39" max="39" width="10.85546875" customWidth="1"/>
    <col min="40" max="40" width="10.140625" customWidth="1"/>
    <col min="41" max="42" width="10.28515625" customWidth="1"/>
    <col min="43" max="43" width="10.140625" customWidth="1"/>
    <col min="44" max="44" width="10.85546875" customWidth="1"/>
    <col min="45" max="45" width="10" bestFit="1" customWidth="1"/>
    <col min="46" max="46" width="10" customWidth="1"/>
    <col min="47" max="47" width="9.42578125" bestFit="1" customWidth="1"/>
    <col min="48" max="49" width="9.85546875" customWidth="1"/>
    <col min="50" max="50" width="9.42578125" bestFit="1" customWidth="1"/>
  </cols>
  <sheetData>
    <row r="1" spans="1:51" ht="24" customHeight="1">
      <c r="A1" s="137"/>
      <c r="B1" s="90" t="s">
        <v>609</v>
      </c>
      <c r="C1" s="433"/>
      <c r="D1" s="433"/>
      <c r="E1" s="433"/>
      <c r="F1" s="434"/>
      <c r="G1" s="581" t="s">
        <v>760</v>
      </c>
      <c r="H1" s="435"/>
      <c r="I1" s="435"/>
      <c r="J1" s="337"/>
      <c r="K1" s="378" t="s">
        <v>0</v>
      </c>
      <c r="L1" s="226"/>
      <c r="M1" s="226"/>
      <c r="N1" s="425" t="s">
        <v>648</v>
      </c>
      <c r="O1" s="425"/>
      <c r="P1" s="425"/>
      <c r="Q1" s="226"/>
      <c r="R1" s="226"/>
      <c r="S1" s="226"/>
      <c r="T1" s="226"/>
      <c r="U1" s="341" t="s">
        <v>1</v>
      </c>
      <c r="V1" s="417"/>
      <c r="W1" s="228"/>
      <c r="X1" s="228"/>
      <c r="Y1" s="228"/>
      <c r="Z1" s="107"/>
      <c r="AA1" s="107"/>
      <c r="AB1" s="325"/>
      <c r="AC1" s="316"/>
      <c r="AD1" s="315"/>
      <c r="AE1" s="317"/>
      <c r="AF1" s="337" t="s">
        <v>691</v>
      </c>
      <c r="AG1" s="226"/>
      <c r="AH1" s="226"/>
      <c r="AI1" s="226"/>
      <c r="AJ1" s="226"/>
      <c r="AK1" s="226"/>
      <c r="AL1" s="226"/>
      <c r="AM1" s="229"/>
      <c r="AN1" s="58"/>
      <c r="AO1" s="58"/>
      <c r="AP1" s="1150" t="s">
        <v>1089</v>
      </c>
      <c r="AQ1" s="1151"/>
      <c r="AR1" s="1151"/>
      <c r="AS1" s="1151"/>
      <c r="AT1" s="1151"/>
      <c r="AU1" s="1151"/>
      <c r="AV1" s="1151"/>
      <c r="AW1" s="1151"/>
      <c r="AX1" s="1151"/>
      <c r="AY1" s="1151"/>
    </row>
    <row r="2" spans="1:51" s="15" customFormat="1" ht="18" customHeight="1" thickBot="1">
      <c r="A2" s="1089" t="s">
        <v>1048</v>
      </c>
      <c r="B2" s="1062"/>
      <c r="C2" s="1063"/>
      <c r="D2" s="1063"/>
      <c r="E2" s="1063"/>
      <c r="F2" s="1063"/>
      <c r="G2" s="1063"/>
      <c r="H2" s="1063"/>
      <c r="I2" s="1064"/>
      <c r="J2" s="28"/>
      <c r="K2" s="380">
        <v>62</v>
      </c>
      <c r="L2" s="379">
        <v>103</v>
      </c>
      <c r="M2" s="379">
        <v>31</v>
      </c>
      <c r="N2" s="379">
        <v>1</v>
      </c>
      <c r="O2" s="379">
        <v>2</v>
      </c>
      <c r="P2" s="379">
        <v>3</v>
      </c>
      <c r="Q2" s="379">
        <v>6</v>
      </c>
      <c r="R2" s="381"/>
      <c r="S2" s="209" t="s">
        <v>608</v>
      </c>
      <c r="T2" s="210"/>
      <c r="U2" s="321"/>
      <c r="V2" s="207" t="s">
        <v>605</v>
      </c>
      <c r="W2" s="211"/>
      <c r="X2" s="50"/>
      <c r="Y2" s="50"/>
      <c r="Z2" s="208"/>
      <c r="AA2" s="209"/>
      <c r="AB2" s="210"/>
      <c r="AC2" s="207" t="s">
        <v>608</v>
      </c>
      <c r="AD2" s="210"/>
      <c r="AE2" s="212"/>
      <c r="AF2" s="218"/>
      <c r="AG2" s="252" t="s">
        <v>606</v>
      </c>
      <c r="AH2" s="314" t="s">
        <v>692</v>
      </c>
      <c r="AI2" s="50"/>
      <c r="AJ2" s="50"/>
      <c r="AK2" s="208"/>
      <c r="AL2" s="209"/>
      <c r="AM2" s="212"/>
      <c r="AN2" s="27"/>
      <c r="AO2" s="27"/>
      <c r="AP2" s="1150" t="s">
        <v>1090</v>
      </c>
      <c r="AQ2" s="1151"/>
      <c r="AR2" s="1151"/>
      <c r="AS2" s="1151"/>
      <c r="AT2" s="1151"/>
      <c r="AU2" s="1151"/>
      <c r="AV2" s="1151"/>
      <c r="AW2" s="1151"/>
      <c r="AX2" s="1151"/>
      <c r="AY2" s="1151"/>
    </row>
    <row r="3" spans="1:51" s="150" customFormat="1" ht="30.75" customHeight="1" thickTop="1">
      <c r="A3" s="1061" t="s">
        <v>1045</v>
      </c>
      <c r="B3" s="859" t="str">
        <f>K3</f>
        <v>Citric acid</v>
      </c>
      <c r="C3" s="859" t="str">
        <f t="shared" ref="C3:H3" si="0">L3</f>
        <v>Glycine</v>
      </c>
      <c r="D3" s="859" t="str">
        <f t="shared" si="0"/>
        <v xml:space="preserve">Ascorbic acid </v>
      </c>
      <c r="E3" s="859" t="str">
        <f t="shared" si="0"/>
        <v>Acetic acid</v>
      </c>
      <c r="F3" s="859" t="str">
        <f t="shared" si="0"/>
        <v>Ammonia</v>
      </c>
      <c r="G3" s="859" t="str">
        <f t="shared" si="0"/>
        <v>Carbonic acid</v>
      </c>
      <c r="H3" s="860" t="str">
        <f t="shared" si="0"/>
        <v>HCl</v>
      </c>
      <c r="I3" s="586"/>
      <c r="J3" s="387" t="s">
        <v>596</v>
      </c>
      <c r="K3" s="274" t="s">
        <v>136</v>
      </c>
      <c r="L3" s="274" t="s">
        <v>187</v>
      </c>
      <c r="M3" s="274" t="s">
        <v>43</v>
      </c>
      <c r="N3" s="274" t="s">
        <v>128</v>
      </c>
      <c r="O3" s="274" t="s">
        <v>129</v>
      </c>
      <c r="P3" s="274" t="s">
        <v>161</v>
      </c>
      <c r="Q3" s="274" t="s">
        <v>329</v>
      </c>
      <c r="R3" s="280" t="s">
        <v>644</v>
      </c>
      <c r="S3" s="281" t="s">
        <v>645</v>
      </c>
      <c r="T3" s="318" t="s">
        <v>610</v>
      </c>
      <c r="U3" s="31" t="s">
        <v>596</v>
      </c>
      <c r="V3" s="223" t="str">
        <f t="shared" ref="V3:AE4" si="1">K3</f>
        <v>Citric acid</v>
      </c>
      <c r="W3" s="223" t="str">
        <f t="shared" si="1"/>
        <v>Glycine</v>
      </c>
      <c r="X3" s="223" t="str">
        <f t="shared" si="1"/>
        <v xml:space="preserve">Ascorbic acid </v>
      </c>
      <c r="Y3" s="223" t="str">
        <f t="shared" si="1"/>
        <v>Acetic acid</v>
      </c>
      <c r="Z3" s="223" t="str">
        <f t="shared" si="1"/>
        <v>Ammonia</v>
      </c>
      <c r="AA3" s="223" t="str">
        <f t="shared" si="1"/>
        <v>Carbonic acid</v>
      </c>
      <c r="AB3" s="223" t="str">
        <f t="shared" si="1"/>
        <v>HCl</v>
      </c>
      <c r="AC3" s="1242" t="str">
        <f t="shared" si="1"/>
        <v>Strong ACID</v>
      </c>
      <c r="AD3" s="1243" t="str">
        <f t="shared" si="1"/>
        <v>Strong BASE</v>
      </c>
      <c r="AE3" s="1244" t="str">
        <f t="shared" si="1"/>
        <v>Carbonic ac.</v>
      </c>
      <c r="AF3" s="31" t="s">
        <v>596</v>
      </c>
      <c r="AG3" s="223" t="str">
        <f>IF(VLOOKUP(K$2,Database!$B$22:$N$301,2)="","",VLOOKUP(K$2,Database!$B$22:$N$301,2))</f>
        <v>Citric acid</v>
      </c>
      <c r="AH3" s="223" t="str">
        <f>IF(VLOOKUP(L$2,Database!$B$22:$N$301,2)="","",VLOOKUP(L$2,Database!$B$22:$N$301,2))</f>
        <v>Glycine</v>
      </c>
      <c r="AI3" s="223" t="str">
        <f>IF(VLOOKUP(M$2,Database!$B$22:$N$301,2)="","",VLOOKUP(M$2,Database!$B$22:$N$301,2))</f>
        <v xml:space="preserve">Ascorbic acid </v>
      </c>
      <c r="AJ3" s="223" t="str">
        <f>IF(VLOOKUP(N$2,Database!$B$22:$N$301,2)="","",VLOOKUP(N$2,Database!$B$22:$N$301,2))</f>
        <v>Acetic acid</v>
      </c>
      <c r="AK3" s="223" t="str">
        <f>IF(VLOOKUP(O$2,Database!$B$22:$N$301,2)="","",VLOOKUP(O$2,Database!$B$22:$N$301,2))</f>
        <v>Ammonia</v>
      </c>
      <c r="AL3" s="223" t="str">
        <f>IF(VLOOKUP(P$2,Database!$B$22:$N$301,2)="","",VLOOKUP(P$2,Database!$B$22:$N$301,2))</f>
        <v>Carbonic acid</v>
      </c>
      <c r="AM3" s="244" t="str">
        <f>IF(VLOOKUP(Q$2,Database!$B$22:$N$301,2)="","",VLOOKUP(Q$2,Database!$B$22:$N$301,2))</f>
        <v>HCl</v>
      </c>
      <c r="AN3" s="27"/>
      <c r="AO3" s="27"/>
      <c r="AP3" s="1150" t="s">
        <v>1091</v>
      </c>
      <c r="AQ3" s="1151"/>
      <c r="AR3" s="1151"/>
      <c r="AS3" s="1151"/>
      <c r="AT3" s="1151"/>
      <c r="AU3" s="1151"/>
      <c r="AV3" s="1151"/>
      <c r="AW3" s="1151"/>
      <c r="AX3" s="1151"/>
      <c r="AY3" s="1151"/>
    </row>
    <row r="4" spans="1:51" ht="15" customHeight="1">
      <c r="A4" s="893" t="s">
        <v>335</v>
      </c>
      <c r="B4" s="829">
        <f t="shared" ref="B4:H4" si="2">IF(K5="",0,(B$11)/M$41)</f>
        <v>1.2099340361430618E-7</v>
      </c>
      <c r="C4" s="830">
        <f t="shared" si="2"/>
        <v>4.2775185398555404E-9</v>
      </c>
      <c r="D4" s="830">
        <f t="shared" si="2"/>
        <v>0</v>
      </c>
      <c r="E4" s="830">
        <f t="shared" si="2"/>
        <v>0</v>
      </c>
      <c r="F4" s="830">
        <f t="shared" si="2"/>
        <v>0</v>
      </c>
      <c r="G4" s="830">
        <f>IF(P5="",0,(G$11)/R$41)</f>
        <v>0</v>
      </c>
      <c r="H4" s="894">
        <f t="shared" si="2"/>
        <v>0</v>
      </c>
      <c r="I4" s="586"/>
      <c r="J4" s="233" t="s">
        <v>597</v>
      </c>
      <c r="K4" s="268">
        <v>-3</v>
      </c>
      <c r="L4" s="268">
        <v>-1</v>
      </c>
      <c r="M4" s="268">
        <v>-2</v>
      </c>
      <c r="N4" s="268">
        <v>-1</v>
      </c>
      <c r="O4" s="268">
        <v>0</v>
      </c>
      <c r="P4" s="268">
        <v>-2</v>
      </c>
      <c r="Q4" s="268">
        <v>-1</v>
      </c>
      <c r="R4" s="283">
        <v>-1</v>
      </c>
      <c r="S4" s="284">
        <v>-1</v>
      </c>
      <c r="T4" s="319">
        <v>-2</v>
      </c>
      <c r="U4" s="233" t="s">
        <v>597</v>
      </c>
      <c r="V4" s="246">
        <f>K4</f>
        <v>-3</v>
      </c>
      <c r="W4" s="246">
        <f t="shared" si="1"/>
        <v>-1</v>
      </c>
      <c r="X4" s="246">
        <f t="shared" si="1"/>
        <v>-2</v>
      </c>
      <c r="Y4" s="246">
        <f t="shared" si="1"/>
        <v>-1</v>
      </c>
      <c r="Z4" s="246">
        <f t="shared" si="1"/>
        <v>0</v>
      </c>
      <c r="AA4" s="246">
        <f t="shared" si="1"/>
        <v>-2</v>
      </c>
      <c r="AB4" s="246">
        <f t="shared" si="1"/>
        <v>-1</v>
      </c>
      <c r="AC4" s="109">
        <f t="shared" si="1"/>
        <v>-1</v>
      </c>
      <c r="AD4" s="108">
        <f t="shared" si="1"/>
        <v>-1</v>
      </c>
      <c r="AE4" s="110">
        <f t="shared" si="1"/>
        <v>-2</v>
      </c>
      <c r="AF4" s="233" t="s">
        <v>607</v>
      </c>
      <c r="AG4" s="246">
        <f>IF(VLOOKUP(K$2,Database!$B$22:$N$301,3)="","",VLOOKUP(K$2,Database!$B$22:$N$301,3))</f>
        <v>-3</v>
      </c>
      <c r="AH4" s="246">
        <f>IF(VLOOKUP(L$2,Database!$B$22:$N$301,3)="","",VLOOKUP(L$2,Database!$B$22:$N$301,3))</f>
        <v>-1</v>
      </c>
      <c r="AI4" s="246">
        <f>IF(VLOOKUP(M$2,Database!$B$22:$N$301,3)="","",VLOOKUP(M$2,Database!$B$22:$N$301,3))</f>
        <v>-2</v>
      </c>
      <c r="AJ4" s="246">
        <f>IF(VLOOKUP(N$2,Database!$B$22:$N$301,3)="","",VLOOKUP(N$2,Database!$B$22:$N$301,3))</f>
        <v>-1</v>
      </c>
      <c r="AK4" s="246">
        <f>IF(VLOOKUP(O$2,Database!$B$22:$N$301,3)="","",VLOOKUP(O$2,Database!$B$22:$N$301,3))</f>
        <v>0</v>
      </c>
      <c r="AL4" s="246">
        <f>IF(VLOOKUP(P$2,Database!$B$22:$N$301,3)="","",VLOOKUP(P$2,Database!$B$22:$N$301,3))</f>
        <v>-2</v>
      </c>
      <c r="AM4" s="253">
        <f>IF(VLOOKUP(Q$2,Database!$B$22:$N$301,3)="","",VLOOKUP(Q$2,Database!$B$22:$N$301,3))</f>
        <v>-1</v>
      </c>
      <c r="AN4" s="27"/>
      <c r="AO4" s="27"/>
      <c r="AP4" s="1150" t="s">
        <v>1071</v>
      </c>
      <c r="AQ4" s="1151"/>
      <c r="AR4" s="1151"/>
      <c r="AS4" s="1151"/>
      <c r="AT4" s="1151"/>
      <c r="AU4" s="1151"/>
      <c r="AV4" s="1151"/>
      <c r="AW4" s="1151"/>
      <c r="AX4" s="1151"/>
      <c r="AY4" s="1151"/>
    </row>
    <row r="5" spans="1:51" ht="15" customHeight="1">
      <c r="A5" s="895" t="s">
        <v>336</v>
      </c>
      <c r="B5" s="833">
        <f t="shared" ref="B5:H5" si="3">IF(K5="",0,(B$11*(V$5*$AU41^(-2*V$4))*$D41)/M$41)</f>
        <v>2.0778132559435929E-4</v>
      </c>
      <c r="C5" s="834">
        <f t="shared" si="3"/>
        <v>2.7137463866597454E-2</v>
      </c>
      <c r="D5" s="834">
        <f t="shared" si="3"/>
        <v>0</v>
      </c>
      <c r="E5" s="834">
        <f t="shared" si="3"/>
        <v>0</v>
      </c>
      <c r="F5" s="834">
        <f t="shared" si="3"/>
        <v>0</v>
      </c>
      <c r="G5" s="834">
        <f t="shared" si="3"/>
        <v>0</v>
      </c>
      <c r="H5" s="896">
        <f t="shared" si="3"/>
        <v>0</v>
      </c>
      <c r="I5" s="586"/>
      <c r="J5" s="201" t="s">
        <v>638</v>
      </c>
      <c r="K5" s="269">
        <v>3.1280000000000001</v>
      </c>
      <c r="L5" s="269">
        <v>2.35</v>
      </c>
      <c r="M5" s="269">
        <v>4.0999999999999996</v>
      </c>
      <c r="N5" s="269">
        <v>4.7569999999999997</v>
      </c>
      <c r="O5" s="269">
        <v>9.2439999999999998</v>
      </c>
      <c r="P5" s="269">
        <v>6.3520000000000003</v>
      </c>
      <c r="Q5" s="269">
        <v>-7</v>
      </c>
      <c r="R5" s="278">
        <v>-7</v>
      </c>
      <c r="S5" s="279">
        <v>15.744999999999999</v>
      </c>
      <c r="T5" s="320">
        <v>6.3520000000000003</v>
      </c>
      <c r="U5" s="322" t="s">
        <v>490</v>
      </c>
      <c r="V5" s="111">
        <f t="shared" ref="V5:AB5" si="4">IF(K5="","1E-10",IF(K6="",10^K5,(IF(K7="",10^K6,(IF(K8="",10^K7,(IF(K9="",10^K8,(IF(K10="",10^K9,10^K10))))))))))</f>
        <v>2488857.3182823951</v>
      </c>
      <c r="W5" s="111">
        <f t="shared" si="4"/>
        <v>5997910762.5551224</v>
      </c>
      <c r="X5" s="111">
        <f t="shared" si="4"/>
        <v>616595001861.48279</v>
      </c>
      <c r="Y5" s="111">
        <f t="shared" si="4"/>
        <v>57147.863667186728</v>
      </c>
      <c r="Z5" s="111">
        <f t="shared" si="4"/>
        <v>1753880501.8417609</v>
      </c>
      <c r="AA5" s="111">
        <f t="shared" si="4"/>
        <v>21330449131.465843</v>
      </c>
      <c r="AB5" s="111">
        <f t="shared" si="4"/>
        <v>9.9999999999999995E-8</v>
      </c>
      <c r="AC5" s="1245">
        <f>IF(R5="","1E-10",IF(R6="",10^R5,(IF(R7="",10^R6))))</f>
        <v>9.9999999999999995E-8</v>
      </c>
      <c r="AD5" s="1233">
        <f>IF(S5="","1E-10",IF(S6="",10^S5,(IF(S7="",10^S6))))</f>
        <v>5559042572704029</v>
      </c>
      <c r="AE5" s="118">
        <f>IF(T5="","1E-10",IF(T6="",10^T5,(IF(T7="",10^T6))))</f>
        <v>21330449131.465843</v>
      </c>
      <c r="AF5" s="201" t="s">
        <v>584</v>
      </c>
      <c r="AG5" s="254">
        <f>IF(VLOOKUP(K$2,Database!$B$22:$N$301,4)="","",VLOOKUP(K$2,Database!$B$22:$N$301,4))</f>
        <v>3.1280000000000001</v>
      </c>
      <c r="AH5" s="388">
        <f>IF(VLOOKUP(L$2,Database!$B$22:$N$301,4)="","",VLOOKUP(L$2,Database!$B$22:$N$301,4))</f>
        <v>2.35</v>
      </c>
      <c r="AI5" s="388">
        <f>IF(VLOOKUP(M$2,Database!$B$22:$N$301,4)="","",VLOOKUP(M$2,Database!$B$22:$N$301,4))</f>
        <v>4.0999999999999996</v>
      </c>
      <c r="AJ5" s="388">
        <f>IF(VLOOKUP(N$2,Database!$B$22:$N$301,4)="","",VLOOKUP(N$2,Database!$B$22:$N$301,4))</f>
        <v>4.7569999999999997</v>
      </c>
      <c r="AK5" s="388">
        <f>IF(VLOOKUP(O$2,Database!$B$22:$N$301,4)="","",VLOOKUP(O$2,Database!$B$22:$N$301,4))</f>
        <v>9.2439999999999998</v>
      </c>
      <c r="AL5" s="388">
        <f>IF(VLOOKUP(P$2,Database!$B$22:$N$301,4)="","",VLOOKUP(P$2,Database!$B$22:$N$301,4))</f>
        <v>6.3520000000000003</v>
      </c>
      <c r="AM5" s="389">
        <f>IF(VLOOKUP(Q$2,Database!$B$22:$N$301,4)="","",VLOOKUP(Q$2,Database!$B$22:$N$301,4))</f>
        <v>-7</v>
      </c>
      <c r="AN5" s="27"/>
      <c r="AO5" s="27"/>
      <c r="AP5" s="1150"/>
      <c r="AQ5" s="1151"/>
      <c r="AR5" s="1151"/>
      <c r="AS5" s="1151"/>
      <c r="AT5" s="1151"/>
      <c r="AU5" s="1151"/>
      <c r="AV5" s="1151"/>
      <c r="AW5" s="1151"/>
      <c r="AX5" s="1151"/>
      <c r="AY5" s="1151"/>
    </row>
    <row r="6" spans="1:51" ht="15" customHeight="1">
      <c r="A6" s="895" t="s">
        <v>902</v>
      </c>
      <c r="B6" s="833">
        <f t="shared" ref="B6:H6" si="5">IF(K6="",0,(B$11*(V$6*$AU41^(-4*V$4-2))*$D41^2)/M$41)</f>
        <v>1.0238058360396924E-2</v>
      </c>
      <c r="C6" s="834">
        <f t="shared" si="5"/>
        <v>7.95633178569774E-3</v>
      </c>
      <c r="D6" s="834">
        <f t="shared" si="5"/>
        <v>0</v>
      </c>
      <c r="E6" s="834">
        <f t="shared" si="5"/>
        <v>0</v>
      </c>
      <c r="F6" s="834">
        <f t="shared" si="5"/>
        <v>0</v>
      </c>
      <c r="G6" s="834">
        <f t="shared" si="5"/>
        <v>0</v>
      </c>
      <c r="H6" s="896">
        <f t="shared" si="5"/>
        <v>0</v>
      </c>
      <c r="I6" s="586"/>
      <c r="J6" s="202" t="s">
        <v>639</v>
      </c>
      <c r="K6" s="269">
        <v>4.7610000000000001</v>
      </c>
      <c r="L6" s="269">
        <v>9.7780000000000005</v>
      </c>
      <c r="M6" s="269">
        <v>11.79</v>
      </c>
      <c r="N6" s="269" t="s">
        <v>591</v>
      </c>
      <c r="O6" s="269" t="s">
        <v>591</v>
      </c>
      <c r="P6" s="269">
        <v>10.329000000000001</v>
      </c>
      <c r="Q6" s="269" t="s">
        <v>591</v>
      </c>
      <c r="R6" s="1176"/>
      <c r="S6" s="1177"/>
      <c r="T6" s="1178">
        <v>10.329000000000001</v>
      </c>
      <c r="U6" s="323" t="s">
        <v>492</v>
      </c>
      <c r="V6" s="114">
        <f>IF(K6="","10E-10",IF(K7="",V5*10^K5,(IF(K8="",V5*10^K6,(IF(K9="",V5*10^K7,(IF(K10="",V5*10^K8,V5*10^K9))))))))</f>
        <v>143548943335.36603</v>
      </c>
      <c r="W6" s="114">
        <f t="shared" ref="W6:AB6" si="6">IF(L6="","1E-10",IF(L7="",W5*10^L5,(IF(L8="",W5*10^L6,(IF(L9="",W5*10^L7,(IF(L10="",W5*10^L8,W5*10^L9))))))))</f>
        <v>1342764961137.8711</v>
      </c>
      <c r="X6" s="114">
        <f t="shared" si="6"/>
        <v>7762471166286925</v>
      </c>
      <c r="Y6" s="114" t="str">
        <f t="shared" si="6"/>
        <v>1E-10</v>
      </c>
      <c r="Z6" s="114" t="str">
        <f t="shared" si="6"/>
        <v>1E-10</v>
      </c>
      <c r="AA6" s="114">
        <f t="shared" si="6"/>
        <v>4.7973344863669224E+16</v>
      </c>
      <c r="AB6" s="114" t="str">
        <f t="shared" si="6"/>
        <v>1E-10</v>
      </c>
      <c r="AC6" s="1245" t="str">
        <f>IF(R6="","1E-10",IF(R7="",AC5*10^R5))</f>
        <v>1E-10</v>
      </c>
      <c r="AD6" s="71" t="str">
        <f>IF(S6="","1E-10",IF(S7="",AD5*10^S5))</f>
        <v>1E-10</v>
      </c>
      <c r="AE6" s="118">
        <f>IF(T6="","1E-10",IF(T7="",AE5*10^T5))</f>
        <v>4.7973344863669224E+16</v>
      </c>
      <c r="AF6" s="202" t="s">
        <v>585</v>
      </c>
      <c r="AG6" s="247">
        <f>IF(VLOOKUP(K$2,Database!$B$22:$N$301,5)="","",VLOOKUP(K$2,Database!$B$22:$N$301,5))</f>
        <v>4.7610000000000001</v>
      </c>
      <c r="AH6" s="248">
        <f>IF(VLOOKUP(L$2,Database!$B$22:$N$301,5)="","",VLOOKUP(L$2,Database!$B$22:$N$301,5))</f>
        <v>9.7780000000000005</v>
      </c>
      <c r="AI6" s="248">
        <f>IF(VLOOKUP(M$2,Database!$B$22:$N$301,5)="","",VLOOKUP(M$2,Database!$B$22:$N$301,5))</f>
        <v>11.79</v>
      </c>
      <c r="AJ6" s="248" t="str">
        <f>IF(VLOOKUP(N$2,Database!$B$22:$N$301,5)="","",VLOOKUP(N$2,Database!$B$22:$N$301,5))</f>
        <v/>
      </c>
      <c r="AK6" s="248" t="str">
        <f>IF(VLOOKUP(O$2,Database!$B$22:$N$301,5)="","",VLOOKUP(O$2,Database!$B$22:$N$301,5))</f>
        <v/>
      </c>
      <c r="AL6" s="248">
        <f>IF(VLOOKUP(P$2,Database!$B$22:$N$301,5)="","",VLOOKUP(P$2,Database!$B$22:$N$301,5))</f>
        <v>10.329000000000001</v>
      </c>
      <c r="AM6" s="249" t="str">
        <f>IF(VLOOKUP(Q$2,Database!$B$22:$N$301,5)="","",VLOOKUP(Q$2,Database!$B$22:$N$301,5))</f>
        <v/>
      </c>
      <c r="AN6" s="27"/>
      <c r="AO6" s="27"/>
      <c r="AP6" s="1150" t="s">
        <v>1092</v>
      </c>
      <c r="AQ6" s="1151"/>
      <c r="AR6" s="1151"/>
      <c r="AS6" s="1151"/>
      <c r="AT6" s="1151"/>
      <c r="AU6" s="1151"/>
      <c r="AV6" s="1151"/>
      <c r="AW6" s="1151"/>
      <c r="AX6" s="1151"/>
      <c r="AY6" s="1151"/>
    </row>
    <row r="7" spans="1:51" ht="15" customHeight="1">
      <c r="A7" s="895" t="s">
        <v>903</v>
      </c>
      <c r="B7" s="833">
        <f t="shared" ref="B7:H7" si="7">IF(K7="",0,(B$11*(V$7*$AU41^(-6*V$4-6))*$D41^3)/M$41)</f>
        <v>1.4541022903171512E-2</v>
      </c>
      <c r="C7" s="834">
        <f t="shared" si="7"/>
        <v>0</v>
      </c>
      <c r="D7" s="834">
        <f t="shared" si="7"/>
        <v>0</v>
      </c>
      <c r="E7" s="834">
        <f t="shared" si="7"/>
        <v>0</v>
      </c>
      <c r="F7" s="834">
        <f t="shared" si="7"/>
        <v>0</v>
      </c>
      <c r="G7" s="834">
        <f t="shared" si="7"/>
        <v>0</v>
      </c>
      <c r="H7" s="896">
        <f t="shared" si="7"/>
        <v>0</v>
      </c>
      <c r="I7" s="586"/>
      <c r="J7" s="202" t="s">
        <v>640</v>
      </c>
      <c r="K7" s="269">
        <v>6.3959999999999999</v>
      </c>
      <c r="L7" s="269" t="s">
        <v>591</v>
      </c>
      <c r="M7" s="269" t="s">
        <v>591</v>
      </c>
      <c r="N7" s="269" t="s">
        <v>591</v>
      </c>
      <c r="O7" s="269" t="s">
        <v>591</v>
      </c>
      <c r="P7" s="509" t="s">
        <v>591</v>
      </c>
      <c r="Q7" s="271" t="s">
        <v>591</v>
      </c>
      <c r="R7" s="1236"/>
      <c r="S7" s="1236"/>
      <c r="T7" s="1237"/>
      <c r="U7" s="322" t="s">
        <v>494</v>
      </c>
      <c r="V7" s="114">
        <f t="shared" ref="V7:AB7" si="8">IF(K7="","1E-10",IF(K8="",V6*10^K5,(IF(K9="",V6*10^K6,(IF(K10="",V6*10^K7,V6*10^K8))))))</f>
        <v>192752491319094.31</v>
      </c>
      <c r="W7" s="114" t="str">
        <f t="shared" si="8"/>
        <v>1E-10</v>
      </c>
      <c r="X7" s="114" t="str">
        <f t="shared" si="8"/>
        <v>1E-10</v>
      </c>
      <c r="Y7" s="114" t="str">
        <f t="shared" si="8"/>
        <v>1E-10</v>
      </c>
      <c r="Z7" s="114" t="str">
        <f t="shared" si="8"/>
        <v>1E-10</v>
      </c>
      <c r="AA7" s="114" t="str">
        <f t="shared" si="8"/>
        <v>1E-10</v>
      </c>
      <c r="AB7" s="114" t="str">
        <f t="shared" si="8"/>
        <v>1E-10</v>
      </c>
      <c r="AC7" s="1246"/>
      <c r="AD7" s="1247"/>
      <c r="AE7" s="1248"/>
      <c r="AF7" s="202" t="s">
        <v>586</v>
      </c>
      <c r="AG7" s="247">
        <f>IF(VLOOKUP(K$2,Database!$B$22:$N$301,6)="","",VLOOKUP(K$2,Database!$B$22:$N$301,6))</f>
        <v>6.3959999999999999</v>
      </c>
      <c r="AH7" s="248" t="str">
        <f>IF(VLOOKUP(L$2,Database!$B$22:$N$301,6)="","",VLOOKUP(L$2,Database!$B$22:$N$301,6))</f>
        <v/>
      </c>
      <c r="AI7" s="248" t="str">
        <f>IF(VLOOKUP(M$2,Database!$B$22:$N$301,6)="","",VLOOKUP(M$2,Database!$B$22:$N$301,6))</f>
        <v/>
      </c>
      <c r="AJ7" s="248" t="str">
        <f>IF(VLOOKUP(N$2,Database!$B$22:$N$301,6)="","",VLOOKUP(N$2,Database!$B$22:$N$301,6))</f>
        <v/>
      </c>
      <c r="AK7" s="248" t="str">
        <f>IF(VLOOKUP(O$2,Database!$B$22:$N$301,6)="","",VLOOKUP(O$2,Database!$B$22:$N$301,6))</f>
        <v/>
      </c>
      <c r="AL7" s="248" t="str">
        <f>IF(VLOOKUP(P$2,Database!$B$22:$N$301,6)="","",VLOOKUP(P$2,Database!$B$22:$N$301,6))</f>
        <v/>
      </c>
      <c r="AM7" s="249" t="str">
        <f>IF(VLOOKUP(Q$2,Database!$B$22:$N$301,6)="","",VLOOKUP(Q$2,Database!$B$22:$N$301,6))</f>
        <v/>
      </c>
      <c r="AN7" s="27"/>
      <c r="AO7" s="27"/>
      <c r="AP7" s="1150"/>
      <c r="AQ7" s="1151"/>
      <c r="AR7" s="1151"/>
      <c r="AS7" s="1151"/>
      <c r="AT7" s="1151"/>
      <c r="AU7" s="1151"/>
      <c r="AV7" s="1151"/>
      <c r="AW7" s="1151"/>
      <c r="AX7" s="1151"/>
      <c r="AY7" s="1151"/>
    </row>
    <row r="8" spans="1:51" ht="15" customHeight="1">
      <c r="A8" s="895" t="s">
        <v>912</v>
      </c>
      <c r="B8" s="833">
        <f t="shared" ref="B8:H8" si="9">IF(K8="",0,(B$11*(V$8*$AU41^(-8*V$4-12))*$D41^4)/M$41)</f>
        <v>0</v>
      </c>
      <c r="C8" s="834">
        <f t="shared" si="9"/>
        <v>0</v>
      </c>
      <c r="D8" s="834">
        <f t="shared" si="9"/>
        <v>0</v>
      </c>
      <c r="E8" s="834">
        <f t="shared" si="9"/>
        <v>0</v>
      </c>
      <c r="F8" s="834">
        <f t="shared" si="9"/>
        <v>0</v>
      </c>
      <c r="G8" s="834">
        <f t="shared" si="9"/>
        <v>0</v>
      </c>
      <c r="H8" s="896">
        <f t="shared" si="9"/>
        <v>0</v>
      </c>
      <c r="I8" s="586"/>
      <c r="J8" s="202" t="s">
        <v>641</v>
      </c>
      <c r="K8" s="269" t="s">
        <v>591</v>
      </c>
      <c r="L8" s="269" t="s">
        <v>591</v>
      </c>
      <c r="M8" s="269" t="s">
        <v>591</v>
      </c>
      <c r="N8" s="269" t="s">
        <v>591</v>
      </c>
      <c r="O8" s="269" t="s">
        <v>591</v>
      </c>
      <c r="P8" s="510" t="s">
        <v>591</v>
      </c>
      <c r="Q8" s="271" t="s">
        <v>591</v>
      </c>
      <c r="R8" s="1238" t="s">
        <v>338</v>
      </c>
      <c r="S8" s="1236"/>
      <c r="T8" s="1237"/>
      <c r="U8" s="322" t="s">
        <v>496</v>
      </c>
      <c r="V8" s="114" t="str">
        <f t="shared" ref="V8:AB8" si="10">IF(K8="","1E-10",IF(K9="",V7*10^K5,(IF(K10="",V7*10^K6,V7*10^K7))))</f>
        <v>1E-10</v>
      </c>
      <c r="W8" s="114" t="str">
        <f t="shared" si="10"/>
        <v>1E-10</v>
      </c>
      <c r="X8" s="114" t="str">
        <f t="shared" si="10"/>
        <v>1E-10</v>
      </c>
      <c r="Y8" s="114" t="str">
        <f t="shared" si="10"/>
        <v>1E-10</v>
      </c>
      <c r="Z8" s="114" t="str">
        <f t="shared" si="10"/>
        <v>1E-10</v>
      </c>
      <c r="AA8" s="114" t="str">
        <f t="shared" si="10"/>
        <v>1E-10</v>
      </c>
      <c r="AB8" s="114" t="str">
        <f t="shared" si="10"/>
        <v>1E-10</v>
      </c>
      <c r="AC8" s="1249" t="s">
        <v>339</v>
      </c>
      <c r="AD8" s="1250"/>
      <c r="AE8" s="1251"/>
      <c r="AF8" s="202" t="s">
        <v>587</v>
      </c>
      <c r="AG8" s="247" t="str">
        <f>IF(VLOOKUP(K$2,Database!$B$22:$N$301,7)="","",VLOOKUP(K$2,Database!$B$22:$N$301,7))</f>
        <v/>
      </c>
      <c r="AH8" s="248" t="str">
        <f>IF(VLOOKUP(L$2,Database!$B$22:$N$301,7)="","",VLOOKUP(L$2,Database!$B$22:$N$301,7))</f>
        <v/>
      </c>
      <c r="AI8" s="248" t="str">
        <f>IF(VLOOKUP(M$2,Database!$B$22:$N$301,7)="","",VLOOKUP(M$2,Database!$B$22:$N$301,7))</f>
        <v/>
      </c>
      <c r="AJ8" s="248" t="str">
        <f>IF(VLOOKUP(N$2,Database!$B$22:$N$301,7)="","",VLOOKUP(N$2,Database!$B$22:$N$301,7))</f>
        <v/>
      </c>
      <c r="AK8" s="248" t="str">
        <f>IF(VLOOKUP(O$2,Database!$B$22:$N$301,7)="","",VLOOKUP(O$2,Database!$B$22:$N$301,7))</f>
        <v/>
      </c>
      <c r="AL8" s="248" t="str">
        <f>IF(VLOOKUP(P$2,Database!$B$22:$N$301,7)="","",VLOOKUP(P$2,Database!$B$22:$N$301,7))</f>
        <v/>
      </c>
      <c r="AM8" s="249" t="str">
        <f>IF(VLOOKUP(Q$2,Database!$B$22:$N$301,7)="","",VLOOKUP(Q$2,Database!$B$22:$N$301,7))</f>
        <v/>
      </c>
      <c r="AN8" s="27"/>
      <c r="AO8" s="27"/>
      <c r="AP8" s="1150" t="s">
        <v>1093</v>
      </c>
      <c r="AQ8" s="1151"/>
      <c r="AR8" s="1151"/>
      <c r="AS8" s="1151"/>
      <c r="AT8" s="1150" t="s">
        <v>1135</v>
      </c>
      <c r="AU8" s="1151"/>
      <c r="AV8" s="1151"/>
      <c r="AW8" s="1151"/>
      <c r="AX8" s="1151"/>
      <c r="AY8" s="1151"/>
    </row>
    <row r="9" spans="1:51" ht="15" customHeight="1">
      <c r="A9" s="895" t="s">
        <v>913</v>
      </c>
      <c r="B9" s="833">
        <f t="shared" ref="B9:H9" si="11">IF(K9="",0,(B$11*(V$9*$AU41^(-10*V$4-20))*$D41^5)/M$41)</f>
        <v>0</v>
      </c>
      <c r="C9" s="834">
        <f t="shared" si="11"/>
        <v>0</v>
      </c>
      <c r="D9" s="834">
        <f t="shared" si="11"/>
        <v>0</v>
      </c>
      <c r="E9" s="834">
        <f t="shared" si="11"/>
        <v>0</v>
      </c>
      <c r="F9" s="834">
        <f t="shared" si="11"/>
        <v>0</v>
      </c>
      <c r="G9" s="834">
        <f t="shared" si="11"/>
        <v>0</v>
      </c>
      <c r="H9" s="896">
        <f t="shared" si="11"/>
        <v>0</v>
      </c>
      <c r="I9" s="1199" t="s">
        <v>351</v>
      </c>
      <c r="J9" s="202" t="s">
        <v>642</v>
      </c>
      <c r="K9" s="269" t="s">
        <v>591</v>
      </c>
      <c r="L9" s="269" t="s">
        <v>591</v>
      </c>
      <c r="M9" s="269" t="s">
        <v>591</v>
      </c>
      <c r="N9" s="269" t="s">
        <v>591</v>
      </c>
      <c r="O9" s="269" t="s">
        <v>591</v>
      </c>
      <c r="P9" s="269" t="s">
        <v>591</v>
      </c>
      <c r="Q9" s="271" t="s">
        <v>591</v>
      </c>
      <c r="R9" s="1266">
        <v>13.997</v>
      </c>
      <c r="S9" s="1236"/>
      <c r="T9" s="1237"/>
      <c r="U9" s="322" t="s">
        <v>498</v>
      </c>
      <c r="V9" s="114" t="str">
        <f t="shared" ref="V9:AB9" si="12">IF(K9="","1E-10",IF(K10="",V8*10^K5,V8*10^K6))</f>
        <v>1E-10</v>
      </c>
      <c r="W9" s="114" t="str">
        <f t="shared" si="12"/>
        <v>1E-10</v>
      </c>
      <c r="X9" s="114" t="str">
        <f t="shared" si="12"/>
        <v>1E-10</v>
      </c>
      <c r="Y9" s="114" t="str">
        <f t="shared" si="12"/>
        <v>1E-10</v>
      </c>
      <c r="Z9" s="114" t="str">
        <f t="shared" si="12"/>
        <v>1E-10</v>
      </c>
      <c r="AA9" s="114" t="str">
        <f t="shared" si="12"/>
        <v>1E-10</v>
      </c>
      <c r="AB9" s="114" t="str">
        <f t="shared" si="12"/>
        <v>1E-10</v>
      </c>
      <c r="AC9" s="1252">
        <f>10^-R9</f>
        <v>1.0069316688518014E-14</v>
      </c>
      <c r="AD9" s="1250"/>
      <c r="AE9" s="1251"/>
      <c r="AF9" s="202" t="s">
        <v>588</v>
      </c>
      <c r="AG9" s="247" t="str">
        <f>IF(VLOOKUP(K$2,Database!$B$22:$N$301,8)="","",VLOOKUP(K$2,Database!$B$22:$N$301,8))</f>
        <v/>
      </c>
      <c r="AH9" s="248" t="str">
        <f>IF(VLOOKUP(L$2,Database!$B$22:$N$301,8)="","",VLOOKUP(L$2,Database!$B$22:$N$301,8))</f>
        <v/>
      </c>
      <c r="AI9" s="248" t="str">
        <f>IF(VLOOKUP(M$2,Database!$B$22:$N$301,8)="","",VLOOKUP(M$2,Database!$B$22:$N$301,8))</f>
        <v/>
      </c>
      <c r="AJ9" s="248" t="str">
        <f>IF(VLOOKUP(N$2,Database!$B$22:$N$301,8)="","",VLOOKUP(N$2,Database!$B$22:$N$301,8))</f>
        <v/>
      </c>
      <c r="AK9" s="248" t="str">
        <f>IF(VLOOKUP(O$2,Database!$B$22:$N$301,8)="","",VLOOKUP(O$2,Database!$B$22:$N$301,8))</f>
        <v/>
      </c>
      <c r="AL9" s="248" t="str">
        <f>IF(VLOOKUP(P$2,Database!$B$22:$N$301,8)="","",VLOOKUP(P$2,Database!$B$22:$N$301,8))</f>
        <v/>
      </c>
      <c r="AM9" s="249" t="str">
        <f>IF(VLOOKUP(Q$2,Database!$B$22:$N$301,8)="","",VLOOKUP(Q$2,Database!$B$22:$N$301,8))</f>
        <v/>
      </c>
      <c r="AN9" s="27"/>
      <c r="AO9" s="27"/>
      <c r="AP9" s="1150"/>
      <c r="AQ9" s="1151"/>
      <c r="AR9" s="1151"/>
      <c r="AS9" s="1151"/>
      <c r="AT9" s="1151"/>
      <c r="AU9" s="1151"/>
      <c r="AV9" s="1151"/>
      <c r="AW9" s="1151"/>
      <c r="AX9" s="1151"/>
      <c r="AY9" s="1151"/>
    </row>
    <row r="10" spans="1:51" ht="15" customHeight="1" thickBot="1">
      <c r="A10" s="895" t="s">
        <v>914</v>
      </c>
      <c r="B10" s="897">
        <f t="shared" ref="B10:H10" si="13">IF(K10="",0,(B$11*(V$10*$AU41^(-12*V$4-30))*$D41^6)/M$41)</f>
        <v>0</v>
      </c>
      <c r="C10" s="898">
        <f t="shared" si="13"/>
        <v>0</v>
      </c>
      <c r="D10" s="898">
        <f t="shared" si="13"/>
        <v>0</v>
      </c>
      <c r="E10" s="898">
        <f t="shared" si="13"/>
        <v>0</v>
      </c>
      <c r="F10" s="898">
        <f t="shared" si="13"/>
        <v>0</v>
      </c>
      <c r="G10" s="898">
        <f t="shared" si="13"/>
        <v>0</v>
      </c>
      <c r="H10" s="899">
        <f t="shared" si="13"/>
        <v>0</v>
      </c>
      <c r="I10" s="1187" t="s">
        <v>348</v>
      </c>
      <c r="J10" s="224" t="s">
        <v>643</v>
      </c>
      <c r="K10" s="275" t="s">
        <v>591</v>
      </c>
      <c r="L10" s="276" t="s">
        <v>591</v>
      </c>
      <c r="M10" s="276" t="s">
        <v>591</v>
      </c>
      <c r="N10" s="276" t="s">
        <v>591</v>
      </c>
      <c r="O10" s="276" t="s">
        <v>591</v>
      </c>
      <c r="P10" s="276" t="s">
        <v>591</v>
      </c>
      <c r="Q10" s="277" t="s">
        <v>591</v>
      </c>
      <c r="R10" s="1239"/>
      <c r="S10" s="1240"/>
      <c r="T10" s="1241"/>
      <c r="U10" s="324" t="s">
        <v>500</v>
      </c>
      <c r="V10" s="256" t="str">
        <f t="shared" ref="V10:AB10" si="14">IF(K10="","1E-10",V9*10^K5)</f>
        <v>1E-10</v>
      </c>
      <c r="W10" s="256" t="str">
        <f t="shared" si="14"/>
        <v>1E-10</v>
      </c>
      <c r="X10" s="256" t="str">
        <f t="shared" si="14"/>
        <v>1E-10</v>
      </c>
      <c r="Y10" s="256" t="str">
        <f t="shared" si="14"/>
        <v>1E-10</v>
      </c>
      <c r="Z10" s="256" t="str">
        <f t="shared" si="14"/>
        <v>1E-10</v>
      </c>
      <c r="AA10" s="256" t="str">
        <f t="shared" si="14"/>
        <v>1E-10</v>
      </c>
      <c r="AB10" s="256" t="str">
        <f t="shared" si="14"/>
        <v>1E-10</v>
      </c>
      <c r="AC10" s="1253"/>
      <c r="AD10" s="1254"/>
      <c r="AE10" s="1255"/>
      <c r="AF10" s="224" t="s">
        <v>589</v>
      </c>
      <c r="AG10" s="257" t="str">
        <f>IF(VLOOKUP(K$2,Database!$B$22:$N$301,9)="","",VLOOKUP(K$2,Database!$B$22:$N$301,9))</f>
        <v/>
      </c>
      <c r="AH10" s="250" t="str">
        <f>IF(VLOOKUP(L$2,Database!$B$22:$N$301,9)="","",VLOOKUP(L$2,Database!$B$22:$N$301,9))</f>
        <v/>
      </c>
      <c r="AI10" s="250" t="str">
        <f>IF(VLOOKUP(M$2,Database!$B$22:$N$301,9)="","",VLOOKUP(M$2,Database!$B$22:$N$301,9))</f>
        <v/>
      </c>
      <c r="AJ10" s="250" t="str">
        <f>IF(VLOOKUP(N$2,Database!$B$22:$N$301,9)="","",VLOOKUP(N$2,Database!$B$22:$N$301,9))</f>
        <v/>
      </c>
      <c r="AK10" s="250" t="str">
        <f>IF(VLOOKUP(O$2,Database!$B$22:$N$301,9)="","",VLOOKUP(O$2,Database!$B$22:$N$301,9))</f>
        <v/>
      </c>
      <c r="AL10" s="250" t="str">
        <f>IF(VLOOKUP(P$2,Database!$B$22:$N$301,9)="","",VLOOKUP(P$2,Database!$B$22:$N$301,9))</f>
        <v/>
      </c>
      <c r="AM10" s="251" t="str">
        <f>IF(VLOOKUP(Q$2,Database!$B$22:$N$301,9)="","",VLOOKUP(Q$2,Database!$B$22:$N$301,9))</f>
        <v/>
      </c>
      <c r="AN10" s="27"/>
      <c r="AO10" s="27"/>
      <c r="AP10" s="1150" t="s">
        <v>1094</v>
      </c>
      <c r="AQ10" s="1151"/>
      <c r="AR10" s="1151"/>
      <c r="AS10" s="1151"/>
      <c r="AT10" s="1151"/>
      <c r="AU10" s="1151"/>
      <c r="AV10" s="1151"/>
      <c r="AW10" s="1151"/>
      <c r="AX10" s="1151"/>
      <c r="AY10" s="1151"/>
    </row>
    <row r="11" spans="1:51" ht="16.5" customHeight="1" thickTop="1">
      <c r="A11" s="900" t="s">
        <v>915</v>
      </c>
      <c r="B11" s="919">
        <v>2.4986983582566409E-2</v>
      </c>
      <c r="C11" s="920">
        <v>3.5093799929813735E-2</v>
      </c>
      <c r="D11" s="921">
        <v>0</v>
      </c>
      <c r="E11" s="920">
        <v>0</v>
      </c>
      <c r="F11" s="920">
        <v>0</v>
      </c>
      <c r="G11" s="920">
        <v>0</v>
      </c>
      <c r="H11" s="1065">
        <v>0</v>
      </c>
      <c r="I11" s="232">
        <f>SUM(B11:H11)</f>
        <v>6.0080783512380144E-2</v>
      </c>
      <c r="J11" s="421" t="s">
        <v>350</v>
      </c>
      <c r="K11" s="419" t="s">
        <v>591</v>
      </c>
      <c r="L11" s="419" t="s">
        <v>591</v>
      </c>
      <c r="M11" s="451" t="s">
        <v>591</v>
      </c>
      <c r="N11" s="452" t="s">
        <v>700</v>
      </c>
      <c r="O11" s="453"/>
      <c r="P11" s="454"/>
      <c r="Q11" s="492" t="s">
        <v>744</v>
      </c>
      <c r="R11" s="493"/>
      <c r="S11" s="494" t="s">
        <v>1005</v>
      </c>
      <c r="T11" s="495" t="s">
        <v>726</v>
      </c>
      <c r="U11" s="472"/>
      <c r="V11" s="378"/>
      <c r="W11" s="378"/>
      <c r="X11" s="378"/>
      <c r="Y11" s="447" t="s">
        <v>1124</v>
      </c>
      <c r="Z11" s="538">
        <f>AT41</f>
        <v>1.0862132584639951E-2</v>
      </c>
      <c r="AA11" s="467" t="s">
        <v>724</v>
      </c>
      <c r="AB11" s="466">
        <f>S23</f>
        <v>0.89870439443503658</v>
      </c>
      <c r="AC11" s="1256" t="s">
        <v>1142</v>
      </c>
      <c r="AD11" s="467" t="s">
        <v>1143</v>
      </c>
      <c r="AE11" s="1257">
        <v>0.78159394392651715</v>
      </c>
      <c r="AF11" s="27"/>
      <c r="AG11" s="27"/>
      <c r="AH11" s="27"/>
      <c r="AI11" s="27"/>
      <c r="AJ11" s="27"/>
      <c r="AK11" s="27"/>
      <c r="AL11" s="27"/>
      <c r="AM11" s="27"/>
      <c r="AN11" s="27"/>
      <c r="AO11" s="27"/>
      <c r="AP11" s="1150"/>
      <c r="AQ11" s="1151"/>
      <c r="AR11" s="1151"/>
      <c r="AS11" s="1151"/>
      <c r="AT11" s="1151"/>
      <c r="AU11" s="1151"/>
      <c r="AV11" s="1151"/>
      <c r="AW11" s="1151"/>
      <c r="AX11" s="1151"/>
      <c r="AY11" s="1151"/>
    </row>
    <row r="12" spans="1:51" ht="15" customHeight="1">
      <c r="A12" s="901" t="s">
        <v>916</v>
      </c>
      <c r="B12" s="829">
        <f t="shared" ref="B12:H12" si="15">B5+2*B6+3*B7+4*B8+5*B9+6*B10</f>
        <v>6.430696675590275E-2</v>
      </c>
      <c r="C12" s="830">
        <f t="shared" si="15"/>
        <v>4.3050127437992934E-2</v>
      </c>
      <c r="D12" s="830">
        <f t="shared" si="15"/>
        <v>0</v>
      </c>
      <c r="E12" s="830">
        <f t="shared" si="15"/>
        <v>0</v>
      </c>
      <c r="F12" s="830">
        <f t="shared" si="15"/>
        <v>0</v>
      </c>
      <c r="G12" s="830">
        <f t="shared" si="15"/>
        <v>0</v>
      </c>
      <c r="H12" s="830">
        <f t="shared" si="15"/>
        <v>0</v>
      </c>
      <c r="I12" s="237">
        <f>SUM(B12:H12)</f>
        <v>0.10735709419389569</v>
      </c>
      <c r="J12" s="422" t="s">
        <v>1032</v>
      </c>
      <c r="K12" s="138"/>
      <c r="L12" s="138"/>
      <c r="M12" s="418"/>
      <c r="N12" s="541" t="s">
        <v>746</v>
      </c>
      <c r="O12" s="236"/>
      <c r="P12" s="446">
        <v>7</v>
      </c>
      <c r="Q12" s="478" t="s">
        <v>737</v>
      </c>
      <c r="R12" s="476" t="s">
        <v>730</v>
      </c>
      <c r="S12" s="505">
        <v>0</v>
      </c>
      <c r="T12" s="506">
        <v>0</v>
      </c>
      <c r="U12" s="471" t="s">
        <v>490</v>
      </c>
      <c r="V12" s="449">
        <f t="shared" ref="V12:AB12" si="16">IF(K5="","",(V5*$AB$11^(-2*V$4)))</f>
        <v>1311297.3746533419</v>
      </c>
      <c r="W12" s="449">
        <f t="shared" si="16"/>
        <v>4844330117.9135313</v>
      </c>
      <c r="X12" s="449">
        <f t="shared" si="16"/>
        <v>402223518878.19202</v>
      </c>
      <c r="Y12" s="449">
        <f t="shared" si="16"/>
        <v>46156.591536122382</v>
      </c>
      <c r="Z12" s="449">
        <f t="shared" si="16"/>
        <v>1753880501.8417609</v>
      </c>
      <c r="AA12" s="449">
        <f t="shared" si="16"/>
        <v>13914495386.775555</v>
      </c>
      <c r="AB12" s="449">
        <f t="shared" si="16"/>
        <v>8.0766958857684576E-8</v>
      </c>
      <c r="AC12" s="1258">
        <v>6.1088909318260758E-8</v>
      </c>
      <c r="AD12" s="1259">
        <v>3395958476202674.5</v>
      </c>
      <c r="AE12" s="1260">
        <v>7960213986.6783028</v>
      </c>
      <c r="AF12" s="27"/>
      <c r="AG12" s="27"/>
      <c r="AH12" s="27"/>
      <c r="AI12" s="27"/>
      <c r="AJ12" s="27"/>
      <c r="AK12" s="27"/>
      <c r="AL12" s="27"/>
      <c r="AM12" s="27"/>
      <c r="AN12" s="27"/>
      <c r="AO12" s="27"/>
      <c r="AP12" s="1150" t="s">
        <v>1095</v>
      </c>
      <c r="AQ12" s="1151"/>
      <c r="AR12" s="1151"/>
      <c r="AS12" s="1151"/>
      <c r="AT12" s="1150" t="s">
        <v>1136</v>
      </c>
      <c r="AU12" s="1151"/>
      <c r="AV12" s="1151"/>
      <c r="AW12" s="1151"/>
      <c r="AX12" s="1151"/>
      <c r="AY12" s="1151"/>
    </row>
    <row r="13" spans="1:51" ht="15" customHeight="1" thickBot="1">
      <c r="A13" s="902" t="s">
        <v>694</v>
      </c>
      <c r="B13" s="833">
        <f>IF(K4="","0",(-K4*B11)-B12)</f>
        <v>1.0653983991796484E-2</v>
      </c>
      <c r="C13" s="834">
        <f t="shared" ref="C13:H13" si="17">IF(L4="","0",(-L4*C11)-C12)</f>
        <v>-7.9563275081791993E-3</v>
      </c>
      <c r="D13" s="834">
        <f t="shared" si="17"/>
        <v>0</v>
      </c>
      <c r="E13" s="834">
        <f t="shared" si="17"/>
        <v>0</v>
      </c>
      <c r="F13" s="834">
        <f t="shared" si="17"/>
        <v>0</v>
      </c>
      <c r="G13" s="834">
        <f t="shared" si="17"/>
        <v>0</v>
      </c>
      <c r="H13" s="903">
        <f t="shared" si="17"/>
        <v>0</v>
      </c>
      <c r="I13" s="1235">
        <f>SUM(B13:H13)</f>
        <v>2.6976564836172848E-3</v>
      </c>
      <c r="J13" s="423" t="s">
        <v>1125</v>
      </c>
      <c r="K13" s="968" t="s">
        <v>954</v>
      </c>
      <c r="L13" s="138"/>
      <c r="M13" s="418"/>
      <c r="N13" s="542" t="s">
        <v>743</v>
      </c>
      <c r="O13" s="236"/>
      <c r="P13" s="546">
        <v>1</v>
      </c>
      <c r="Q13" s="478" t="s">
        <v>583</v>
      </c>
      <c r="R13" s="476" t="s">
        <v>731</v>
      </c>
      <c r="S13" s="507">
        <v>0</v>
      </c>
      <c r="T13" s="506">
        <v>0</v>
      </c>
      <c r="U13" s="323" t="s">
        <v>492</v>
      </c>
      <c r="V13" s="448">
        <f>IF(K6="","",(V6*$AB$11^(-4*V$4-2)))</f>
        <v>49336535904.715759</v>
      </c>
      <c r="W13" s="448">
        <f t="shared" ref="W13:AB13" si="18">IF(L6="","",(W6*$AB$11^(-4*W$4-2)))</f>
        <v>1084510423717.6287</v>
      </c>
      <c r="X13" s="448">
        <f t="shared" si="18"/>
        <v>4089791723456030</v>
      </c>
      <c r="Y13" s="448" t="str">
        <f t="shared" si="18"/>
        <v/>
      </c>
      <c r="Z13" s="448" t="str">
        <f t="shared" si="18"/>
        <v/>
      </c>
      <c r="AA13" s="448">
        <f t="shared" si="18"/>
        <v>2.5275583582461972E+16</v>
      </c>
      <c r="AB13" s="448" t="str">
        <f t="shared" si="18"/>
        <v/>
      </c>
      <c r="AC13" s="522"/>
      <c r="AD13" s="448"/>
      <c r="AE13" s="473">
        <v>1.0936720513474194E+16</v>
      </c>
      <c r="AF13" s="27"/>
      <c r="AG13" s="27"/>
      <c r="AH13" s="27"/>
      <c r="AI13" s="27"/>
      <c r="AJ13" s="27"/>
      <c r="AK13" s="27"/>
      <c r="AL13" s="27"/>
      <c r="AM13" s="27"/>
      <c r="AN13" s="27"/>
      <c r="AO13" s="27"/>
      <c r="AP13" s="1150"/>
      <c r="AQ13" s="1151"/>
      <c r="AR13" s="1151"/>
      <c r="AS13" s="1151"/>
      <c r="AT13" s="1151"/>
      <c r="AU13" s="1151"/>
      <c r="AV13" s="1151"/>
      <c r="AW13" s="1151"/>
      <c r="AX13" s="1151"/>
      <c r="AY13" s="1151"/>
    </row>
    <row r="14" spans="1:51" ht="21.75" customHeight="1" thickTop="1">
      <c r="A14" s="880" t="s">
        <v>1041</v>
      </c>
      <c r="B14" s="1073" t="str">
        <f>R3</f>
        <v>Strong ACID</v>
      </c>
      <c r="C14" s="1043" t="str">
        <f>S3</f>
        <v>Strong BASE</v>
      </c>
      <c r="D14" s="1074" t="str">
        <f>T3</f>
        <v>Carbonic ac.</v>
      </c>
      <c r="E14" s="1084"/>
      <c r="F14" s="1082" t="s">
        <v>1046</v>
      </c>
      <c r="G14" s="1085"/>
      <c r="H14" s="688" t="s">
        <v>647</v>
      </c>
      <c r="I14" s="238">
        <f>I18-(I12+I13)</f>
        <v>1.4363439565651115E-5</v>
      </c>
      <c r="J14" s="1036" t="s">
        <v>1036</v>
      </c>
      <c r="K14" s="144"/>
      <c r="L14" s="144"/>
      <c r="M14" s="1037">
        <f>S15</f>
        <v>1.3880415343291224E-3</v>
      </c>
      <c r="N14" s="2"/>
      <c r="O14" s="307" t="s">
        <v>599</v>
      </c>
      <c r="P14" s="308"/>
      <c r="Q14" s="120" t="s">
        <v>732</v>
      </c>
      <c r="R14" s="477" t="s">
        <v>739</v>
      </c>
      <c r="S14" s="484">
        <f>0.5*(S12+S13*4)</f>
        <v>0</v>
      </c>
      <c r="T14" s="485">
        <f>0.5*(T12+T13*4)</f>
        <v>0</v>
      </c>
      <c r="U14" s="474" t="s">
        <v>494</v>
      </c>
      <c r="V14" s="448">
        <f>IF(K7="","",(V7*$AB$11^(-6*V$4-6)))</f>
        <v>53505987458783.047</v>
      </c>
      <c r="W14" s="448" t="str">
        <f t="shared" ref="W14:AB14" si="19">IF(L7="","",(W7*$AB$11^(-6*W$4-6)))</f>
        <v/>
      </c>
      <c r="X14" s="448" t="str">
        <f t="shared" si="19"/>
        <v/>
      </c>
      <c r="Y14" s="448" t="str">
        <f t="shared" si="19"/>
        <v/>
      </c>
      <c r="Z14" s="448" t="str">
        <f t="shared" si="19"/>
        <v/>
      </c>
      <c r="AA14" s="448" t="str">
        <f t="shared" si="19"/>
        <v/>
      </c>
      <c r="AB14" s="448" t="str">
        <f t="shared" si="19"/>
        <v/>
      </c>
      <c r="AC14" s="1261"/>
      <c r="AD14" s="1262"/>
      <c r="AE14" s="1263"/>
      <c r="AF14" s="27"/>
      <c r="AG14" s="27"/>
      <c r="AH14" s="27"/>
      <c r="AI14" s="27"/>
      <c r="AJ14" s="27"/>
      <c r="AK14" s="27"/>
      <c r="AL14" s="27"/>
      <c r="AM14" s="27"/>
      <c r="AN14" s="27"/>
      <c r="AO14" s="27"/>
      <c r="AP14" s="1150" t="s">
        <v>1126</v>
      </c>
      <c r="AQ14" s="1151"/>
      <c r="AR14" s="1151"/>
      <c r="AS14" s="1151"/>
      <c r="AT14" s="1151"/>
      <c r="AU14" s="1151"/>
      <c r="AV14" s="1151"/>
      <c r="AW14" s="1151"/>
      <c r="AX14" s="1151"/>
      <c r="AY14" s="1151"/>
    </row>
    <row r="15" spans="1:51" ht="18" customHeight="1">
      <c r="A15" s="881" t="s">
        <v>335</v>
      </c>
      <c r="B15" s="1086"/>
      <c r="C15" s="1087">
        <v>0.1</v>
      </c>
      <c r="D15" s="1088"/>
      <c r="E15" s="1076" t="s">
        <v>1044</v>
      </c>
      <c r="F15" s="1077" t="s">
        <v>611</v>
      </c>
      <c r="G15" s="1078" t="s">
        <v>351</v>
      </c>
      <c r="H15" s="688" t="s">
        <v>1028</v>
      </c>
      <c r="I15" s="239">
        <f>D41</f>
        <v>1.3096149588078488E-3</v>
      </c>
      <c r="J15" s="240">
        <f>-LOG10(I15)</f>
        <v>2.8828563729282761</v>
      </c>
      <c r="K15" s="1057" t="s">
        <v>1025</v>
      </c>
      <c r="L15" s="138"/>
      <c r="M15" s="420"/>
      <c r="N15" s="2"/>
      <c r="O15" s="309" t="s">
        <v>600</v>
      </c>
      <c r="P15" s="310"/>
      <c r="Q15" s="481" t="s">
        <v>659</v>
      </c>
      <c r="R15" s="479" t="s">
        <v>729</v>
      </c>
      <c r="S15" s="486">
        <f>-(S18/S17) - (G16/E16)*(S24- $AC$9/AU41^2/S24)</f>
        <v>1.3880415343291224E-3</v>
      </c>
      <c r="T15" s="486">
        <f>-T18/T17 - (T24- $AC$9/AE11^2/T24)</f>
        <v>0.10000000007858748</v>
      </c>
      <c r="U15" s="323" t="s">
        <v>496</v>
      </c>
      <c r="V15" s="448" t="str">
        <f>IF(K8="","",(V8*$AB$11^(-8*V$4-12)))</f>
        <v/>
      </c>
      <c r="W15" s="448" t="str">
        <f t="shared" ref="W15:AB15" si="20">IF(L8="","",(W8*$AB$11^(-8*W$4-12)))</f>
        <v/>
      </c>
      <c r="X15" s="448" t="str">
        <f t="shared" si="20"/>
        <v/>
      </c>
      <c r="Y15" s="448" t="str">
        <f t="shared" si="20"/>
        <v/>
      </c>
      <c r="Z15" s="448" t="str">
        <f t="shared" si="20"/>
        <v/>
      </c>
      <c r="AA15" s="448" t="str">
        <f t="shared" si="20"/>
        <v/>
      </c>
      <c r="AB15" s="448" t="str">
        <f t="shared" si="20"/>
        <v/>
      </c>
      <c r="AC15" s="1264"/>
      <c r="AD15" s="773"/>
      <c r="AE15" s="780"/>
      <c r="AF15" s="27"/>
      <c r="AG15" s="27"/>
      <c r="AH15" s="27"/>
      <c r="AI15" s="27"/>
      <c r="AJ15" s="27"/>
      <c r="AK15" s="27"/>
      <c r="AL15" s="27"/>
      <c r="AM15" s="27"/>
      <c r="AN15" s="27"/>
      <c r="AO15" s="27"/>
      <c r="AP15" s="1150"/>
      <c r="AQ15" s="1151"/>
      <c r="AR15" s="1151"/>
      <c r="AS15" s="1151"/>
      <c r="AT15" s="1151"/>
      <c r="AU15" s="1151"/>
      <c r="AV15" s="1151"/>
      <c r="AW15" s="1151"/>
      <c r="AX15" s="1151"/>
      <c r="AY15" s="1151"/>
    </row>
    <row r="16" spans="1:51" ht="19.5" customHeight="1" thickBot="1">
      <c r="A16" s="883" t="s">
        <v>336</v>
      </c>
      <c r="B16" s="882"/>
      <c r="C16" s="803"/>
      <c r="D16" s="804"/>
      <c r="E16" s="1079">
        <v>20</v>
      </c>
      <c r="F16" s="1080">
        <v>0</v>
      </c>
      <c r="G16" s="1081">
        <f>E16+F16</f>
        <v>20</v>
      </c>
      <c r="H16" s="1058" t="s">
        <v>1029</v>
      </c>
      <c r="I16" s="239">
        <f>AB21/I15</f>
        <v>9.5196864083442601E-12</v>
      </c>
      <c r="J16" s="241">
        <f>-LOG10(I16)</f>
        <v>11.02137735764166</v>
      </c>
      <c r="K16" s="1038" t="s">
        <v>1026</v>
      </c>
      <c r="L16" s="138"/>
      <c r="M16" s="545">
        <f>AT41</f>
        <v>1.0862132584639951E-2</v>
      </c>
      <c r="N16" s="2"/>
      <c r="O16" s="305" t="s">
        <v>509</v>
      </c>
      <c r="P16" s="306">
        <v>0.50900000000000001</v>
      </c>
      <c r="Q16" s="478" t="s">
        <v>736</v>
      </c>
      <c r="R16" s="476" t="s">
        <v>738</v>
      </c>
      <c r="S16" s="487">
        <f>0.5*S17^2*ABS(S15)</f>
        <v>6.9402076716456121E-4</v>
      </c>
      <c r="T16" s="488">
        <f>0.5*T17^2*ABS(T15)</f>
        <v>5.0000000039293738E-2</v>
      </c>
      <c r="U16" s="323" t="s">
        <v>498</v>
      </c>
      <c r="V16" s="448" t="str">
        <f>IF(K9="","",(V9*$AB$11^(-10*V$4-20)))</f>
        <v/>
      </c>
      <c r="W16" s="448" t="str">
        <f t="shared" ref="W16:AB16" si="21">IF(L9="","",(W9*$AB$11^(-10*W$4-20)))</f>
        <v/>
      </c>
      <c r="X16" s="448" t="str">
        <f t="shared" si="21"/>
        <v/>
      </c>
      <c r="Y16" s="448" t="str">
        <f t="shared" si="21"/>
        <v/>
      </c>
      <c r="Z16" s="448" t="str">
        <f t="shared" si="21"/>
        <v/>
      </c>
      <c r="AA16" s="448" t="str">
        <f t="shared" si="21"/>
        <v/>
      </c>
      <c r="AB16" s="448" t="str">
        <f t="shared" si="21"/>
        <v/>
      </c>
      <c r="AC16" s="1264"/>
      <c r="AD16" s="773"/>
      <c r="AE16" s="780"/>
      <c r="AF16" s="27"/>
      <c r="AG16" s="27"/>
      <c r="AH16" s="27"/>
      <c r="AI16" s="27"/>
      <c r="AJ16" s="27"/>
      <c r="AK16" s="27"/>
      <c r="AL16" s="27"/>
      <c r="AM16" s="27"/>
      <c r="AN16" s="27"/>
      <c r="AO16" s="27"/>
      <c r="AP16" s="1150" t="s">
        <v>1096</v>
      </c>
      <c r="AQ16" s="1151"/>
      <c r="AR16" s="1151"/>
      <c r="AS16" s="1151"/>
      <c r="AT16" s="1151"/>
      <c r="AU16" s="1151"/>
      <c r="AV16" s="1151"/>
      <c r="AW16" s="1151"/>
      <c r="AX16" s="1151"/>
      <c r="AY16" s="1151"/>
    </row>
    <row r="17" spans="1:51" ht="18" customHeight="1" thickTop="1" thickBot="1">
      <c r="A17" s="883" t="s">
        <v>885</v>
      </c>
      <c r="B17" s="807"/>
      <c r="C17" s="807"/>
      <c r="D17" s="808"/>
      <c r="E17" s="884" t="s">
        <v>348</v>
      </c>
      <c r="F17" s="885"/>
      <c r="G17" s="886"/>
      <c r="H17" s="688" t="s">
        <v>1030</v>
      </c>
      <c r="I17" s="239">
        <f>I12+ (G16/E16)*(I15-I16)</f>
        <v>0.10866670914318385</v>
      </c>
      <c r="J17" s="462"/>
      <c r="K17" s="460"/>
      <c r="L17" s="138"/>
      <c r="M17" s="420"/>
      <c r="N17" s="2"/>
      <c r="O17" s="54" t="s">
        <v>510</v>
      </c>
      <c r="P17" s="55">
        <v>0.3</v>
      </c>
      <c r="Q17" s="482" t="s">
        <v>735</v>
      </c>
      <c r="R17" s="480" t="s">
        <v>723</v>
      </c>
      <c r="S17" s="489">
        <v>1</v>
      </c>
      <c r="T17" s="490">
        <v>1</v>
      </c>
      <c r="U17" s="475" t="s">
        <v>500</v>
      </c>
      <c r="V17" s="450" t="str">
        <f>IF(K10="","",(V10*$AB$11^(-12*V$4-30)))</f>
        <v/>
      </c>
      <c r="W17" s="450" t="str">
        <f t="shared" ref="W17:AB17" si="22">IF(L10="","",(W10*$AB$11^(-12*W$4-30)))</f>
        <v/>
      </c>
      <c r="X17" s="450" t="str">
        <f t="shared" si="22"/>
        <v/>
      </c>
      <c r="Y17" s="450" t="str">
        <f t="shared" si="22"/>
        <v/>
      </c>
      <c r="Z17" s="450" t="str">
        <f t="shared" si="22"/>
        <v/>
      </c>
      <c r="AA17" s="450" t="str">
        <f t="shared" si="22"/>
        <v/>
      </c>
      <c r="AB17" s="450" t="str">
        <f t="shared" si="22"/>
        <v/>
      </c>
      <c r="AC17" s="1265"/>
      <c r="AD17" s="774"/>
      <c r="AE17" s="781"/>
      <c r="AF17" s="27"/>
      <c r="AG17" s="27"/>
      <c r="AH17" s="27"/>
      <c r="AI17" s="27"/>
      <c r="AJ17" s="27"/>
      <c r="AK17" s="27"/>
      <c r="AL17" s="27"/>
      <c r="AM17" s="27"/>
      <c r="AN17" s="27"/>
      <c r="AO17" s="27"/>
      <c r="AP17" s="1150"/>
      <c r="AQ17" s="1151"/>
      <c r="AR17" s="1151"/>
      <c r="AS17" s="1151"/>
      <c r="AT17" s="1151"/>
      <c r="AU17" s="1151"/>
      <c r="AV17" s="1151"/>
      <c r="AW17" s="1151"/>
      <c r="AX17" s="1151"/>
      <c r="AY17" s="1151"/>
    </row>
    <row r="18" spans="1:51" ht="20.25" customHeight="1" thickTop="1">
      <c r="A18" s="887" t="s">
        <v>886</v>
      </c>
      <c r="B18" s="762">
        <f>B15+B16+B17</f>
        <v>0</v>
      </c>
      <c r="C18" s="762">
        <f>C15+C16+C17</f>
        <v>0.1</v>
      </c>
      <c r="D18" s="762">
        <f>D15+D16+D17</f>
        <v>0</v>
      </c>
      <c r="E18" s="762">
        <f>SUM(B18:D18)</f>
        <v>0.1</v>
      </c>
      <c r="F18" s="888" t="s">
        <v>1031</v>
      </c>
      <c r="G18" s="889"/>
      <c r="H18" s="688" t="s">
        <v>1027</v>
      </c>
      <c r="I18" s="1071">
        <v>0.11006911411707862</v>
      </c>
      <c r="J18" s="1066" t="s">
        <v>1043</v>
      </c>
      <c r="K18" s="1066"/>
      <c r="L18" s="1066"/>
      <c r="M18" s="1067"/>
      <c r="N18" s="2"/>
      <c r="O18" s="154"/>
      <c r="P18" s="465"/>
      <c r="Q18" s="483" t="s">
        <v>727</v>
      </c>
      <c r="R18" s="496" t="s">
        <v>728</v>
      </c>
      <c r="S18" s="491">
        <f>SUM(V18:AB18)</f>
        <v>-2.6976564836172848E-3</v>
      </c>
      <c r="T18" s="500">
        <f>SUM(AC18:AE18)</f>
        <v>-1.7801328661559514E-4</v>
      </c>
      <c r="U18" s="502" t="s">
        <v>579</v>
      </c>
      <c r="V18" s="516">
        <f t="shared" ref="V18:AB18" si="23">K4*B4+(K4+1)*B5+(K4+2)*B6+(K4+3)*B7+(K4+4)*B8+(K4+5)*B9+(K4+6)*B10</f>
        <v>-1.0653983991796486E-2</v>
      </c>
      <c r="W18" s="517">
        <f t="shared" si="23"/>
        <v>7.956327508179201E-3</v>
      </c>
      <c r="X18" s="517">
        <f t="shared" si="23"/>
        <v>0</v>
      </c>
      <c r="Y18" s="517">
        <f t="shared" si="23"/>
        <v>0</v>
      </c>
      <c r="Z18" s="517">
        <f t="shared" si="23"/>
        <v>0</v>
      </c>
      <c r="AA18" s="517">
        <f t="shared" si="23"/>
        <v>0</v>
      </c>
      <c r="AB18" s="518">
        <f t="shared" si="23"/>
        <v>0</v>
      </c>
      <c r="AC18" s="523">
        <v>0</v>
      </c>
      <c r="AD18" s="517">
        <v>-1.7801328661559514E-4</v>
      </c>
      <c r="AE18" s="524">
        <v>0</v>
      </c>
      <c r="AF18" s="27"/>
      <c r="AG18" s="27"/>
      <c r="AH18" s="27"/>
      <c r="AI18" s="27"/>
      <c r="AJ18" s="27"/>
      <c r="AK18" s="27"/>
      <c r="AL18" s="27"/>
      <c r="AM18" s="27"/>
      <c r="AN18" s="27"/>
      <c r="AO18" s="27"/>
      <c r="AP18" s="1150" t="s">
        <v>1102</v>
      </c>
      <c r="AQ18" s="1151"/>
      <c r="AR18" s="1151"/>
      <c r="AS18" s="1151"/>
      <c r="AT18" s="1151"/>
      <c r="AU18" s="1151"/>
      <c r="AV18" s="1151"/>
      <c r="AW18" s="1151"/>
      <c r="AX18" s="1151"/>
      <c r="AY18" s="1151"/>
    </row>
    <row r="19" spans="1:51" ht="20.25" customHeight="1" thickBot="1">
      <c r="A19" s="890" t="s">
        <v>884</v>
      </c>
      <c r="B19" s="765">
        <f>B16+2*B17</f>
        <v>0</v>
      </c>
      <c r="C19" s="765">
        <f>C16+2*C17</f>
        <v>0</v>
      </c>
      <c r="D19" s="765">
        <f>D16+2*D17</f>
        <v>0</v>
      </c>
      <c r="E19" s="765">
        <f>SUM(B19:D19)</f>
        <v>0</v>
      </c>
      <c r="F19" s="891" t="s">
        <v>911</v>
      </c>
      <c r="G19" s="892">
        <v>12.889207394858074</v>
      </c>
      <c r="H19" s="688" t="s">
        <v>1051</v>
      </c>
      <c r="I19" s="1072">
        <f>SUM($G$41:$G$162)</f>
        <v>1.0070398416075227E-5</v>
      </c>
      <c r="J19" s="1068" t="s">
        <v>1042</v>
      </c>
      <c r="K19" s="1069"/>
      <c r="L19" s="1069"/>
      <c r="M19" s="1070"/>
      <c r="N19" s="2"/>
      <c r="O19" s="154"/>
      <c r="P19" s="465"/>
      <c r="Q19" s="482" t="s">
        <v>741</v>
      </c>
      <c r="R19" s="477" t="s">
        <v>742</v>
      </c>
      <c r="S19" s="491">
        <f>0.5*SUM(V19:AB19)</f>
        <v>9.5133043333115834E-3</v>
      </c>
      <c r="T19" s="500">
        <f>0.5*(SUM(AC19:AE19))</f>
        <v>8.900664330779757E-5</v>
      </c>
      <c r="U19" s="501" t="s">
        <v>725</v>
      </c>
      <c r="V19" s="519">
        <f t="shared" ref="V19:AB19" si="24">V4^2*B4+(V4+1)^2*B5+(V4+2)^2*B6+(V4+3)^2*B7+(V4+4)^2*B8+(V4+5)^2*B9+(V4+6)^2*B10</f>
        <v>1.1070272603406889E-2</v>
      </c>
      <c r="W19" s="520">
        <f t="shared" si="24"/>
        <v>7.9563360632162791E-3</v>
      </c>
      <c r="X19" s="520">
        <f t="shared" si="24"/>
        <v>0</v>
      </c>
      <c r="Y19" s="520">
        <f t="shared" si="24"/>
        <v>0</v>
      </c>
      <c r="Z19" s="520">
        <f t="shared" si="24"/>
        <v>0</v>
      </c>
      <c r="AA19" s="520">
        <f t="shared" si="24"/>
        <v>0</v>
      </c>
      <c r="AB19" s="521">
        <f t="shared" si="24"/>
        <v>0</v>
      </c>
      <c r="AC19" s="525">
        <v>0</v>
      </c>
      <c r="AD19" s="520">
        <v>1.7801328661559514E-4</v>
      </c>
      <c r="AE19" s="503">
        <v>0</v>
      </c>
      <c r="AF19" s="27"/>
      <c r="AG19" s="27"/>
      <c r="AH19" s="27"/>
      <c r="AI19" s="27"/>
      <c r="AJ19" s="27"/>
      <c r="AK19" s="27"/>
      <c r="AL19" s="27"/>
      <c r="AM19" s="27"/>
      <c r="AN19" s="27"/>
      <c r="AO19" s="27"/>
      <c r="AP19" s="1150"/>
      <c r="AQ19" s="1151"/>
      <c r="AR19" s="1151"/>
      <c r="AS19" s="1151"/>
      <c r="AT19" s="1151"/>
      <c r="AU19" s="1151"/>
      <c r="AV19" s="1151"/>
      <c r="AW19" s="1151"/>
      <c r="AX19" s="1151"/>
      <c r="AY19" s="1151"/>
    </row>
    <row r="20" spans="1:51" ht="21" customHeight="1" thickTop="1" thickBot="1">
      <c r="A20" s="61"/>
      <c r="B20" s="61"/>
      <c r="C20" s="27"/>
      <c r="D20" s="27"/>
      <c r="E20" s="9"/>
      <c r="F20" s="127"/>
      <c r="G20" s="127"/>
      <c r="H20" s="1053" t="s">
        <v>1033</v>
      </c>
      <c r="I20" s="277">
        <v>2</v>
      </c>
      <c r="J20" s="1054" t="s">
        <v>1035</v>
      </c>
      <c r="K20" s="511">
        <v>0</v>
      </c>
      <c r="L20" s="1054" t="s">
        <v>1034</v>
      </c>
      <c r="M20" s="511">
        <v>0</v>
      </c>
      <c r="N20" s="2"/>
      <c r="O20" s="154"/>
      <c r="P20" s="465"/>
      <c r="Q20" s="528" t="s">
        <v>733</v>
      </c>
      <c r="R20" s="1098" t="s">
        <v>1020</v>
      </c>
      <c r="S20" s="486">
        <f>S19+S16+S14+0.5*S24+0.5*S25</f>
        <v>1.0862132584639913E-2</v>
      </c>
      <c r="T20" s="529">
        <f>T19+T16+T14+0.5*T24+0.5*T25</f>
        <v>0.10000000007875259</v>
      </c>
      <c r="U20" s="497"/>
      <c r="V20" s="497"/>
      <c r="W20" s="497"/>
      <c r="X20" s="497"/>
      <c r="Y20" s="497"/>
      <c r="Z20" s="497"/>
      <c r="AA20" s="497"/>
      <c r="AB20" s="512" t="s">
        <v>339</v>
      </c>
      <c r="AC20" s="513" t="s">
        <v>339</v>
      </c>
      <c r="AD20" s="27"/>
      <c r="AE20" s="27"/>
      <c r="AF20" s="27"/>
      <c r="AG20" s="27"/>
      <c r="AH20" s="27"/>
      <c r="AI20" s="27"/>
      <c r="AJ20" s="27"/>
      <c r="AK20" s="27"/>
      <c r="AL20" s="27"/>
      <c r="AM20" s="27"/>
      <c r="AN20" s="27"/>
      <c r="AO20" s="27"/>
      <c r="AP20" s="1150" t="s">
        <v>1097</v>
      </c>
      <c r="AQ20" s="1151"/>
      <c r="AR20" s="1151"/>
      <c r="AS20" s="1151"/>
      <c r="AT20" s="1151"/>
      <c r="AU20" s="1151"/>
      <c r="AV20" s="1151"/>
      <c r="AW20" s="1151"/>
      <c r="AX20" s="1151"/>
      <c r="AY20" s="1151"/>
    </row>
    <row r="21" spans="1:51" ht="20.100000000000001" customHeight="1" thickTop="1" thickBot="1">
      <c r="A21" s="61"/>
      <c r="B21" s="61"/>
      <c r="C21" s="27"/>
      <c r="D21" s="27"/>
      <c r="E21" s="27"/>
      <c r="F21" s="27"/>
      <c r="G21" s="27"/>
      <c r="H21" s="27"/>
      <c r="I21" s="27"/>
      <c r="J21" s="27"/>
      <c r="K21" s="27"/>
      <c r="L21" s="27"/>
      <c r="M21" s="27"/>
      <c r="N21" s="2"/>
      <c r="O21" s="154"/>
      <c r="P21" s="465"/>
      <c r="Q21" s="1047" t="s">
        <v>1019</v>
      </c>
      <c r="R21" s="1046" t="s">
        <v>1017</v>
      </c>
      <c r="S21" s="494" t="s">
        <v>605</v>
      </c>
      <c r="T21" s="495" t="s">
        <v>608</v>
      </c>
      <c r="U21" s="498"/>
      <c r="V21" s="498"/>
      <c r="W21" s="498"/>
      <c r="X21" s="498"/>
      <c r="Y21" s="498"/>
      <c r="Z21" s="498"/>
      <c r="AA21" s="498"/>
      <c r="AB21" s="515">
        <f>AC9/S23^2</f>
        <v>1.2467123723527407E-14</v>
      </c>
      <c r="AC21" s="514">
        <f>AC9/T23^2</f>
        <v>1.6483051998946204E-14</v>
      </c>
      <c r="AD21" s="58"/>
      <c r="AE21" s="58"/>
      <c r="AF21" s="27"/>
      <c r="AG21" s="27"/>
      <c r="AH21" s="27"/>
      <c r="AI21" s="27"/>
      <c r="AJ21" s="27"/>
      <c r="AK21" s="27"/>
      <c r="AL21" s="27"/>
      <c r="AM21" s="27"/>
      <c r="AN21" s="27"/>
      <c r="AO21" s="27"/>
      <c r="AP21" s="1150"/>
      <c r="AQ21" s="1151"/>
      <c r="AR21" s="1151"/>
      <c r="AS21" s="1151"/>
      <c r="AT21" s="1151"/>
      <c r="AU21" s="1151"/>
      <c r="AV21" s="1151"/>
      <c r="AW21" s="1151"/>
      <c r="AX21" s="1151"/>
      <c r="AY21" s="1151"/>
    </row>
    <row r="22" spans="1:51" ht="20.100000000000001" customHeight="1" thickTop="1">
      <c r="A22" s="61"/>
      <c r="B22" s="61"/>
      <c r="C22" s="27"/>
      <c r="D22" s="27"/>
      <c r="E22" s="27"/>
      <c r="F22" s="27"/>
      <c r="G22" s="27"/>
      <c r="H22" s="27"/>
      <c r="I22" s="27"/>
      <c r="J22" s="27"/>
      <c r="K22" s="27"/>
      <c r="L22" s="27"/>
      <c r="M22" s="27"/>
      <c r="N22" s="2"/>
      <c r="O22" s="154"/>
      <c r="P22" s="465"/>
      <c r="Q22" s="1048"/>
      <c r="R22" s="1049" t="s">
        <v>1018</v>
      </c>
      <c r="S22" s="1050">
        <f>AT41</f>
        <v>1.0862132584639951E-2</v>
      </c>
      <c r="T22" s="1051">
        <v>0.10000000003620024</v>
      </c>
      <c r="U22" s="27"/>
      <c r="V22" s="498"/>
      <c r="W22" s="498"/>
      <c r="X22" s="498"/>
      <c r="Y22" s="498"/>
      <c r="Z22" s="498"/>
      <c r="AA22" s="498"/>
      <c r="AB22" s="27"/>
      <c r="AC22" s="27"/>
      <c r="AD22" s="27"/>
      <c r="AE22" s="27"/>
      <c r="AF22" s="27"/>
      <c r="AG22" s="27"/>
      <c r="AH22" s="27"/>
      <c r="AI22" s="27"/>
      <c r="AJ22" s="27"/>
      <c r="AK22" s="27"/>
      <c r="AL22" s="27"/>
      <c r="AM22" s="27"/>
      <c r="AN22" s="27"/>
      <c r="AO22" s="27"/>
      <c r="AP22" s="1150" t="s">
        <v>1137</v>
      </c>
      <c r="AQ22" s="1151"/>
      <c r="AR22" s="1151"/>
      <c r="AS22" s="1151"/>
      <c r="AT22" s="1151"/>
      <c r="AU22" s="1151"/>
      <c r="AV22" s="1151"/>
      <c r="AW22" s="1151"/>
      <c r="AX22" s="1151"/>
      <c r="AY22" s="1151"/>
    </row>
    <row r="23" spans="1:51" ht="20.100000000000001" customHeight="1">
      <c r="A23" s="61"/>
      <c r="B23" s="61"/>
      <c r="C23" s="27"/>
      <c r="D23" s="27"/>
      <c r="E23" s="27"/>
      <c r="F23" s="27"/>
      <c r="G23" s="27"/>
      <c r="H23" s="27"/>
      <c r="I23" s="27"/>
      <c r="J23" s="27"/>
      <c r="K23" s="27"/>
      <c r="L23" s="27"/>
      <c r="M23" s="27"/>
      <c r="N23" s="27"/>
      <c r="O23" s="27"/>
      <c r="P23" s="27"/>
      <c r="Q23" s="504"/>
      <c r="R23" s="540" t="s">
        <v>511</v>
      </c>
      <c r="S23" s="543">
        <f>AU41</f>
        <v>0.89870439443503658</v>
      </c>
      <c r="T23" s="544">
        <v>0.78159394392651715</v>
      </c>
      <c r="U23" s="539"/>
      <c r="V23" s="58"/>
      <c r="W23" s="58"/>
      <c r="X23" s="58"/>
      <c r="Y23" s="58"/>
      <c r="Z23" s="58"/>
      <c r="AA23" s="58"/>
      <c r="AB23" s="27"/>
      <c r="AC23" s="27"/>
      <c r="AD23" s="27"/>
      <c r="AE23" s="27"/>
      <c r="AF23" s="27"/>
      <c r="AG23" s="27"/>
      <c r="AH23" s="27"/>
      <c r="AI23" s="27"/>
      <c r="AJ23" s="27"/>
      <c r="AK23" s="27"/>
      <c r="AL23" s="27"/>
      <c r="AM23" s="27"/>
      <c r="AN23" s="27"/>
      <c r="AO23" s="27"/>
      <c r="AP23" s="1150"/>
      <c r="AQ23" s="1151"/>
      <c r="AR23" s="1151"/>
      <c r="AS23" s="1151"/>
      <c r="AT23" s="1151"/>
      <c r="AU23" s="1151"/>
      <c r="AV23" s="1151"/>
      <c r="AW23" s="1151"/>
      <c r="AX23" s="1151"/>
      <c r="AY23" s="1151"/>
    </row>
    <row r="24" spans="1:51" ht="20.100000000000001" customHeight="1">
      <c r="A24" s="140"/>
      <c r="B24" s="61"/>
      <c r="C24" s="81"/>
      <c r="D24" s="27"/>
      <c r="E24" s="27"/>
      <c r="F24" s="27"/>
      <c r="G24" s="27"/>
      <c r="H24" s="27"/>
      <c r="I24" s="27"/>
      <c r="J24" s="27"/>
      <c r="K24" s="27"/>
      <c r="L24" s="27"/>
      <c r="M24" s="27"/>
      <c r="N24" s="27"/>
      <c r="O24" s="27"/>
      <c r="P24" s="27"/>
      <c r="Q24" s="504"/>
      <c r="R24" s="535" t="s">
        <v>734</v>
      </c>
      <c r="S24" s="536">
        <f>D41</f>
        <v>1.3096149588078488E-3</v>
      </c>
      <c r="T24" s="537">
        <v>1.6512446334362659E-13</v>
      </c>
      <c r="U24" s="27"/>
      <c r="V24" s="2"/>
      <c r="W24" s="27"/>
      <c r="X24" s="27"/>
      <c r="Y24" s="27"/>
      <c r="Z24" s="2"/>
      <c r="AA24" s="27"/>
      <c r="AB24" s="27"/>
      <c r="AC24" s="27"/>
      <c r="AD24" s="27"/>
      <c r="AE24" s="27"/>
      <c r="AF24" s="27"/>
      <c r="AG24" s="27"/>
      <c r="AH24" s="27"/>
      <c r="AI24" s="27"/>
      <c r="AJ24" s="27"/>
      <c r="AK24" s="27"/>
      <c r="AL24" s="27"/>
      <c r="AM24" s="27"/>
      <c r="AN24" s="27"/>
      <c r="AO24" s="27"/>
      <c r="AP24" s="1150" t="s">
        <v>1098</v>
      </c>
      <c r="AQ24" s="1151"/>
      <c r="AR24" s="1151"/>
      <c r="AS24" s="1151"/>
      <c r="AT24" s="1151"/>
      <c r="AU24" s="1151"/>
      <c r="AV24" s="1151"/>
      <c r="AW24" s="1151"/>
      <c r="AX24" s="1151"/>
      <c r="AY24" s="1151"/>
    </row>
    <row r="25" spans="1:51" ht="20.100000000000001" customHeight="1">
      <c r="A25" s="140"/>
      <c r="B25" s="61"/>
      <c r="C25" s="81"/>
      <c r="D25" s="27"/>
      <c r="E25" s="27"/>
      <c r="F25" s="27"/>
      <c r="G25" s="27"/>
      <c r="H25" s="27"/>
      <c r="I25" s="27"/>
      <c r="J25" s="27"/>
      <c r="K25" s="27"/>
      <c r="L25" s="27"/>
      <c r="M25" s="27"/>
      <c r="N25" s="27"/>
      <c r="O25" s="27"/>
      <c r="P25" s="27"/>
      <c r="Q25" s="504"/>
      <c r="R25" s="530" t="s">
        <v>745</v>
      </c>
      <c r="S25" s="532">
        <f>AB21/D41</f>
        <v>9.5196864083442601E-12</v>
      </c>
      <c r="T25" s="526">
        <v>9.9821986792136996E-2</v>
      </c>
      <c r="U25" s="61"/>
      <c r="V25" s="2"/>
      <c r="W25" s="27"/>
      <c r="X25" s="27"/>
      <c r="Y25" s="27"/>
      <c r="Z25" s="2"/>
      <c r="AA25" s="27"/>
      <c r="AB25" s="27"/>
      <c r="AC25" s="27"/>
      <c r="AD25" s="27"/>
      <c r="AE25" s="27"/>
      <c r="AF25" s="27"/>
      <c r="AG25" s="27"/>
      <c r="AH25" s="27"/>
      <c r="AI25" s="27"/>
      <c r="AJ25" s="27"/>
      <c r="AK25" s="27"/>
      <c r="AL25" s="27"/>
      <c r="AM25" s="27"/>
      <c r="AN25" s="27"/>
      <c r="AO25" s="27"/>
      <c r="AP25" s="1150" t="s">
        <v>966</v>
      </c>
      <c r="AQ25" s="1151"/>
      <c r="AR25" s="1151"/>
      <c r="AS25" s="1151"/>
      <c r="AT25" s="1151"/>
      <c r="AU25" s="1151"/>
      <c r="AV25" s="1151"/>
      <c r="AW25" s="1151"/>
      <c r="AX25" s="1151"/>
      <c r="AY25" s="1151"/>
    </row>
    <row r="26" spans="1:51" ht="20.100000000000001" customHeight="1" thickBot="1">
      <c r="A26" s="140"/>
      <c r="B26" s="61"/>
      <c r="C26" s="81"/>
      <c r="D26" s="27"/>
      <c r="E26" s="27"/>
      <c r="F26" s="27"/>
      <c r="G26" s="27"/>
      <c r="H26" s="27"/>
      <c r="I26" s="27"/>
      <c r="J26" s="27"/>
      <c r="K26" s="27"/>
      <c r="L26" s="27"/>
      <c r="M26" s="27"/>
      <c r="N26" s="27"/>
      <c r="O26" s="27"/>
      <c r="P26" s="27"/>
      <c r="Q26" s="533"/>
      <c r="R26" s="1052" t="s">
        <v>334</v>
      </c>
      <c r="S26" s="531">
        <f>B41</f>
        <v>2.9292395076433086</v>
      </c>
      <c r="T26" s="527">
        <v>12.889207394858074</v>
      </c>
      <c r="U26" s="61"/>
      <c r="V26" s="2"/>
      <c r="W26" s="27"/>
      <c r="X26" s="27"/>
      <c r="Y26" s="27"/>
      <c r="Z26" s="2"/>
      <c r="AA26" s="27"/>
      <c r="AB26" s="27"/>
      <c r="AC26" s="27"/>
      <c r="AD26" s="27"/>
      <c r="AE26" s="27"/>
      <c r="AF26" s="27"/>
      <c r="AG26" s="27"/>
      <c r="AH26" s="27"/>
      <c r="AI26" s="27"/>
      <c r="AJ26" s="27"/>
      <c r="AK26" s="27"/>
      <c r="AL26" s="27"/>
      <c r="AM26" s="27"/>
      <c r="AN26" s="27"/>
      <c r="AO26" s="27"/>
      <c r="AP26" s="1150" t="s">
        <v>965</v>
      </c>
      <c r="AQ26" s="1151"/>
      <c r="AR26" s="1151"/>
      <c r="AS26" s="1151"/>
      <c r="AT26" s="1151"/>
      <c r="AU26" s="1151"/>
      <c r="AV26" s="1151"/>
      <c r="AW26" s="1151"/>
      <c r="AX26" s="1151"/>
      <c r="AY26" s="1151"/>
    </row>
    <row r="27" spans="1:51" ht="20.100000000000001" customHeight="1" thickTop="1">
      <c r="A27" s="140"/>
      <c r="B27" s="61"/>
      <c r="C27" s="27"/>
      <c r="D27" s="27"/>
      <c r="E27" s="27"/>
      <c r="F27" s="27"/>
      <c r="G27" s="27"/>
      <c r="H27" s="27"/>
      <c r="I27" s="27"/>
      <c r="J27" s="27"/>
      <c r="K27" s="27"/>
      <c r="L27" s="27"/>
      <c r="M27" s="27"/>
      <c r="N27" s="27"/>
      <c r="O27" s="27"/>
      <c r="P27" s="27"/>
      <c r="Q27" s="27"/>
      <c r="R27" s="27"/>
      <c r="S27" s="27"/>
      <c r="T27" s="27"/>
      <c r="U27" s="27"/>
      <c r="V27" s="2"/>
      <c r="W27" s="27"/>
      <c r="X27" s="27"/>
      <c r="Y27" s="27"/>
      <c r="Z27" s="2"/>
      <c r="AA27" s="27"/>
      <c r="AB27" s="27"/>
      <c r="AC27" s="27"/>
      <c r="AD27" s="27"/>
      <c r="AE27" s="27"/>
      <c r="AF27" s="27"/>
      <c r="AG27" s="27"/>
      <c r="AH27" s="27"/>
      <c r="AI27" s="27"/>
      <c r="AJ27" s="27"/>
      <c r="AK27" s="27"/>
      <c r="AL27" s="27"/>
      <c r="AM27" s="27"/>
      <c r="AN27" s="27"/>
      <c r="AO27" s="27"/>
      <c r="AP27" s="1151"/>
      <c r="AQ27" s="1151"/>
      <c r="AR27" s="1151"/>
      <c r="AS27" s="1151"/>
      <c r="AT27" s="1151"/>
      <c r="AU27" s="1151"/>
      <c r="AV27" s="1151"/>
      <c r="AW27" s="1151"/>
      <c r="AX27" s="1151"/>
      <c r="AY27" s="1151"/>
    </row>
    <row r="28" spans="1:51" ht="20.100000000000001" customHeight="1">
      <c r="A28" s="140"/>
      <c r="B28" s="61"/>
      <c r="C28" s="27"/>
      <c r="D28" s="27"/>
      <c r="E28" s="27"/>
      <c r="F28" s="27"/>
      <c r="G28" s="27"/>
      <c r="H28" s="27"/>
      <c r="I28" s="27"/>
      <c r="J28" s="27"/>
      <c r="K28" s="27"/>
      <c r="L28" s="27"/>
      <c r="M28" s="27"/>
      <c r="N28" s="27"/>
      <c r="O28" s="27"/>
      <c r="P28" s="27"/>
      <c r="Q28" s="27"/>
      <c r="R28" s="27"/>
      <c r="S28" s="27"/>
      <c r="T28" s="27"/>
      <c r="U28" s="2"/>
      <c r="V28" s="2"/>
      <c r="W28" s="27"/>
      <c r="X28" s="27"/>
      <c r="Y28" s="27"/>
      <c r="Z28" s="2"/>
      <c r="AA28" s="27"/>
      <c r="AB28" s="27"/>
      <c r="AC28" s="27"/>
      <c r="AD28" s="27"/>
      <c r="AE28" s="27"/>
      <c r="AF28" s="27"/>
      <c r="AG28" s="27"/>
      <c r="AH28" s="27"/>
      <c r="AI28" s="27"/>
      <c r="AJ28" s="27"/>
      <c r="AK28" s="27"/>
      <c r="AL28" s="27"/>
      <c r="AM28" s="27"/>
      <c r="AN28" s="27"/>
      <c r="AO28" s="27"/>
      <c r="AP28" s="27"/>
      <c r="AQ28" s="27"/>
      <c r="AR28" s="27"/>
      <c r="AS28" s="27"/>
      <c r="AT28" s="27"/>
      <c r="AU28" s="27"/>
      <c r="AV28" s="27"/>
      <c r="AW28" s="27"/>
      <c r="AX28" s="27"/>
      <c r="AY28" s="27"/>
    </row>
    <row r="29" spans="1:51" ht="20.100000000000001" customHeight="1">
      <c r="A29" s="140"/>
      <c r="B29" s="61"/>
      <c r="C29" s="27"/>
      <c r="D29" s="27"/>
      <c r="E29" s="27"/>
      <c r="F29" s="27"/>
      <c r="G29" s="27"/>
      <c r="H29" s="27"/>
      <c r="I29" s="27"/>
      <c r="J29" s="27"/>
      <c r="K29" s="27"/>
      <c r="L29" s="27"/>
      <c r="M29" s="27"/>
      <c r="N29" s="27"/>
      <c r="O29" s="27"/>
      <c r="P29" s="27"/>
      <c r="Q29" s="1169"/>
      <c r="R29" s="1170" t="s">
        <v>601</v>
      </c>
      <c r="S29" s="1171"/>
      <c r="T29" s="27"/>
      <c r="U29" s="27"/>
      <c r="V29" s="2"/>
      <c r="W29" s="27"/>
      <c r="X29" s="27"/>
      <c r="Y29" s="27"/>
      <c r="Z29" s="2"/>
      <c r="AA29" s="27"/>
      <c r="AB29" s="27"/>
      <c r="AC29" s="27"/>
      <c r="AD29" s="27"/>
      <c r="AE29" s="27"/>
      <c r="AF29" s="27"/>
      <c r="AG29" s="27"/>
      <c r="AH29" s="27"/>
      <c r="AI29" s="27"/>
      <c r="AJ29" s="27"/>
      <c r="AK29" s="27"/>
      <c r="AL29" s="27"/>
      <c r="AM29" s="27"/>
      <c r="AN29" s="27"/>
      <c r="AO29" s="27"/>
      <c r="AP29" s="27"/>
      <c r="AQ29" s="27"/>
      <c r="AR29" s="27"/>
      <c r="AS29" s="27"/>
      <c r="AT29" s="27"/>
      <c r="AU29" s="27"/>
      <c r="AV29" s="27"/>
      <c r="AW29" s="27"/>
      <c r="AX29" s="27"/>
      <c r="AY29" s="27"/>
    </row>
    <row r="30" spans="1:51" ht="20.100000000000001" customHeight="1">
      <c r="A30" s="61"/>
      <c r="B30" s="61"/>
      <c r="C30" s="27"/>
      <c r="D30" s="27"/>
      <c r="E30" s="27"/>
      <c r="F30" s="27"/>
      <c r="G30" s="27"/>
      <c r="H30" s="27"/>
      <c r="I30" s="27"/>
      <c r="J30" s="27"/>
      <c r="K30" s="27"/>
      <c r="L30" s="27"/>
      <c r="M30" s="27"/>
      <c r="N30" s="27"/>
      <c r="O30" s="27"/>
      <c r="P30" s="27"/>
      <c r="Q30" s="957"/>
      <c r="R30" s="958" t="s">
        <v>602</v>
      </c>
      <c r="S30" s="959"/>
      <c r="T30" s="27"/>
      <c r="U30" s="27"/>
      <c r="V30" s="2"/>
      <c r="W30" s="27"/>
      <c r="X30" s="27"/>
      <c r="Y30" s="27"/>
      <c r="Z30" s="2"/>
      <c r="AA30" s="27"/>
      <c r="AB30" s="27"/>
      <c r="AC30" s="27"/>
      <c r="AD30" s="27"/>
      <c r="AE30" s="27"/>
      <c r="AF30" s="27"/>
      <c r="AG30" s="27"/>
      <c r="AH30" s="27"/>
      <c r="AI30" s="27"/>
      <c r="AJ30" s="27"/>
      <c r="AK30" s="27"/>
      <c r="AL30" s="27"/>
      <c r="AM30" s="27"/>
      <c r="AN30" s="27"/>
      <c r="AO30" s="27"/>
      <c r="AP30" s="27"/>
      <c r="AQ30" s="27"/>
      <c r="AR30" s="27"/>
      <c r="AS30" s="27"/>
      <c r="AT30" s="27"/>
      <c r="AU30" s="27"/>
      <c r="AV30" s="27"/>
      <c r="AW30" s="27"/>
      <c r="AX30" s="27"/>
      <c r="AY30" s="27"/>
    </row>
    <row r="31" spans="1:51" ht="20.100000000000001" customHeight="1">
      <c r="A31" s="61"/>
      <c r="B31" s="61"/>
      <c r="C31" s="27"/>
      <c r="D31" s="27"/>
      <c r="E31" s="27"/>
      <c r="F31" s="27"/>
      <c r="G31" s="27"/>
      <c r="H31" s="27"/>
      <c r="I31" s="27"/>
      <c r="J31" s="27"/>
      <c r="K31" s="27"/>
      <c r="L31" s="27"/>
      <c r="M31" s="27"/>
      <c r="N31" s="27"/>
      <c r="O31" s="1060"/>
      <c r="P31" s="2"/>
      <c r="Q31" s="960"/>
      <c r="R31" s="960" t="s">
        <v>603</v>
      </c>
      <c r="S31" s="961"/>
      <c r="T31" s="27"/>
      <c r="U31" s="2"/>
      <c r="V31" s="2"/>
      <c r="W31" s="27"/>
      <c r="X31" s="27"/>
      <c r="Y31" s="27"/>
      <c r="Z31" s="2"/>
      <c r="AA31" s="27"/>
      <c r="AB31" s="27"/>
      <c r="AC31" s="27"/>
      <c r="AD31" s="27"/>
      <c r="AE31" s="27"/>
      <c r="AF31" s="27"/>
      <c r="AG31" s="27"/>
      <c r="AH31" s="27"/>
      <c r="AI31" s="27"/>
      <c r="AJ31" s="27"/>
      <c r="AK31" s="27"/>
      <c r="AL31" s="27"/>
      <c r="AM31" s="27"/>
      <c r="AN31" s="27"/>
      <c r="AO31" s="27"/>
      <c r="AP31" s="27"/>
      <c r="AQ31" s="27"/>
      <c r="AR31" s="27"/>
      <c r="AS31" s="27"/>
      <c r="AT31" s="27"/>
      <c r="AU31" s="27"/>
      <c r="AV31" s="27"/>
      <c r="AW31" s="27"/>
      <c r="AX31" s="27"/>
      <c r="AY31" s="27"/>
    </row>
    <row r="32" spans="1:51" ht="20.100000000000001" customHeight="1">
      <c r="A32" s="61"/>
      <c r="B32" s="61"/>
      <c r="C32" s="27"/>
      <c r="D32" s="27"/>
      <c r="E32" s="27"/>
      <c r="F32" s="27"/>
      <c r="G32" s="27"/>
      <c r="H32" s="27"/>
      <c r="I32" s="27"/>
      <c r="J32" s="27"/>
      <c r="K32" s="27"/>
      <c r="L32" s="27"/>
      <c r="M32" s="27"/>
      <c r="N32" s="27"/>
      <c r="O32" s="1060"/>
      <c r="P32" s="2"/>
      <c r="Q32" s="962"/>
      <c r="R32" s="962" t="s">
        <v>604</v>
      </c>
      <c r="S32" s="963"/>
      <c r="T32" s="2"/>
      <c r="U32" s="2"/>
      <c r="V32" s="2"/>
      <c r="W32" s="27"/>
      <c r="X32" s="27"/>
      <c r="Y32" s="27"/>
      <c r="Z32" s="2"/>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c r="AY32" s="27"/>
    </row>
    <row r="33" spans="1:53" ht="20.100000000000001" customHeight="1">
      <c r="A33" s="61"/>
      <c r="B33" s="61"/>
      <c r="C33" s="27"/>
      <c r="D33" s="27"/>
      <c r="E33" s="27"/>
      <c r="F33" s="27"/>
      <c r="G33" s="27"/>
      <c r="H33" s="27"/>
      <c r="I33" s="27"/>
      <c r="J33" s="27"/>
      <c r="K33" s="27"/>
      <c r="L33" s="27"/>
      <c r="M33" s="27"/>
      <c r="N33" s="27"/>
      <c r="O33" s="1060"/>
      <c r="P33" s="2"/>
      <c r="Q33" s="2"/>
      <c r="R33" s="2"/>
      <c r="S33" s="2"/>
      <c r="T33" s="2"/>
      <c r="U33" s="2"/>
      <c r="V33" s="2"/>
      <c r="W33" s="27"/>
      <c r="X33" s="27"/>
      <c r="Y33" s="27"/>
      <c r="Z33" s="2"/>
      <c r="AA33" s="27"/>
      <c r="AB33" s="27"/>
      <c r="AC33" s="27"/>
      <c r="AD33" s="27"/>
      <c r="AE33" s="27"/>
      <c r="AF33" s="27"/>
      <c r="AG33" s="27"/>
      <c r="AH33" s="27"/>
      <c r="AI33" s="27"/>
      <c r="AJ33" s="27"/>
      <c r="AK33" s="27"/>
      <c r="AL33" s="27"/>
      <c r="AM33" s="27"/>
      <c r="AN33" s="27"/>
      <c r="AO33" s="27"/>
      <c r="AP33" s="27"/>
      <c r="AQ33" s="27"/>
      <c r="AR33" s="27"/>
      <c r="AS33" s="27"/>
      <c r="AT33" s="27"/>
      <c r="AU33" s="27"/>
      <c r="AV33" s="27"/>
      <c r="AW33" s="27"/>
      <c r="AX33" s="27"/>
      <c r="AY33" s="27"/>
    </row>
    <row r="34" spans="1:53" ht="20.100000000000001" customHeight="1">
      <c r="A34" s="61"/>
      <c r="B34" s="61"/>
      <c r="C34" s="27"/>
      <c r="D34" s="27"/>
      <c r="E34" s="27"/>
      <c r="F34" s="27"/>
      <c r="G34" s="27"/>
      <c r="H34" s="27"/>
      <c r="I34" s="27"/>
      <c r="J34" s="27"/>
      <c r="K34" s="27"/>
      <c r="L34" s="27"/>
      <c r="M34" s="27"/>
      <c r="N34" s="27"/>
      <c r="O34" s="1060"/>
      <c r="P34" s="2"/>
      <c r="Q34" s="2"/>
      <c r="R34" s="2"/>
      <c r="S34" s="2"/>
      <c r="T34" s="2"/>
      <c r="U34" s="2"/>
      <c r="V34" s="2"/>
      <c r="W34" s="27"/>
      <c r="X34" s="27"/>
      <c r="Y34" s="27"/>
      <c r="Z34" s="2"/>
      <c r="AA34" s="27"/>
      <c r="AB34" s="27"/>
      <c r="AC34" s="27"/>
      <c r="AD34" s="27"/>
      <c r="AE34" s="27"/>
      <c r="AF34" s="27"/>
      <c r="AG34" s="27"/>
      <c r="AH34" s="27"/>
      <c r="AI34" s="27"/>
      <c r="AJ34" s="27"/>
      <c r="AK34" s="27"/>
      <c r="AL34" s="27"/>
      <c r="AM34" s="27"/>
      <c r="AN34" s="27"/>
      <c r="AO34" s="27"/>
      <c r="AP34" s="27"/>
      <c r="AQ34" s="27"/>
      <c r="AR34" s="27"/>
      <c r="AS34" s="27"/>
      <c r="AT34" s="27"/>
      <c r="AU34" s="27"/>
      <c r="AV34" s="27"/>
      <c r="AW34" s="27"/>
      <c r="AX34" s="27"/>
      <c r="AY34" s="27"/>
    </row>
    <row r="35" spans="1:53" ht="20.100000000000001" customHeight="1">
      <c r="A35" s="61"/>
      <c r="B35" s="61"/>
      <c r="C35" s="27"/>
      <c r="D35" s="27"/>
      <c r="E35" s="27"/>
      <c r="F35" s="27"/>
      <c r="G35" s="27"/>
      <c r="H35" s="27"/>
      <c r="I35" s="27"/>
      <c r="J35" s="27"/>
      <c r="K35" s="27"/>
      <c r="L35" s="27"/>
      <c r="M35" s="27"/>
      <c r="N35" s="27"/>
      <c r="O35" s="1060"/>
      <c r="P35" s="2"/>
      <c r="Q35" s="2"/>
      <c r="R35" s="2"/>
      <c r="S35" s="1059" t="s">
        <v>352</v>
      </c>
      <c r="T35" s="2"/>
      <c r="U35" s="2"/>
      <c r="V35" s="2"/>
      <c r="W35" s="27"/>
      <c r="X35" s="27"/>
      <c r="Y35" s="27"/>
      <c r="Z35" s="2"/>
      <c r="AA35" s="27"/>
      <c r="AB35" s="27"/>
      <c r="AC35" s="27"/>
      <c r="AD35" s="27"/>
      <c r="AE35" s="27"/>
      <c r="AF35" s="27"/>
      <c r="AG35" s="27"/>
      <c r="AH35" s="27"/>
      <c r="AI35" s="27"/>
      <c r="AJ35" s="27"/>
      <c r="AK35" s="27"/>
      <c r="AL35" s="27"/>
      <c r="AM35" s="27"/>
      <c r="AN35" s="27"/>
      <c r="AO35" s="27"/>
      <c r="AP35" s="27"/>
      <c r="AQ35" s="27"/>
      <c r="AR35" s="27"/>
      <c r="AS35" s="27"/>
      <c r="AT35" s="27"/>
      <c r="AU35" s="27"/>
      <c r="AV35" s="27"/>
      <c r="AW35" s="27"/>
      <c r="AX35" s="27"/>
      <c r="AY35" s="27"/>
    </row>
    <row r="36" spans="1:53" ht="20.100000000000001" customHeight="1">
      <c r="A36" s="61"/>
      <c r="B36" s="61"/>
      <c r="C36" s="27"/>
      <c r="D36" s="27"/>
      <c r="E36" s="27"/>
      <c r="F36" s="27"/>
      <c r="G36" s="27"/>
      <c r="H36" s="27"/>
      <c r="I36" s="27"/>
      <c r="J36" s="27"/>
      <c r="K36" s="27"/>
      <c r="L36" s="27"/>
      <c r="M36" s="27"/>
      <c r="N36" s="27"/>
      <c r="O36" s="1060"/>
      <c r="P36" s="2"/>
      <c r="Q36" s="2"/>
      <c r="R36" s="2"/>
      <c r="S36" s="2"/>
      <c r="T36" s="2"/>
      <c r="U36" s="2"/>
      <c r="V36" s="2"/>
      <c r="W36" s="27"/>
      <c r="X36" s="27"/>
      <c r="Y36" s="27"/>
      <c r="Z36" s="2"/>
      <c r="AA36" s="27"/>
      <c r="AB36" s="27"/>
      <c r="AC36" s="27"/>
      <c r="AD36" s="27"/>
      <c r="AE36" s="27"/>
      <c r="AF36" s="27"/>
      <c r="AG36" s="27"/>
      <c r="AH36" s="27"/>
      <c r="AI36" s="27"/>
      <c r="AJ36" s="27"/>
      <c r="AK36" s="27"/>
      <c r="AL36" s="27"/>
      <c r="AM36" s="27"/>
      <c r="AN36" s="27"/>
      <c r="AO36" s="27"/>
      <c r="AP36" s="27"/>
      <c r="AQ36" s="27"/>
      <c r="AR36" s="27"/>
      <c r="AS36" s="27"/>
      <c r="AT36" s="27"/>
      <c r="AU36" s="27"/>
      <c r="AV36" s="27"/>
      <c r="AW36" s="27"/>
      <c r="AX36" s="27"/>
      <c r="AY36" s="27"/>
    </row>
    <row r="37" spans="1:53" ht="20.100000000000001" customHeight="1">
      <c r="A37" s="61"/>
      <c r="B37" s="61"/>
      <c r="C37" s="27"/>
      <c r="D37" s="27"/>
      <c r="E37" s="27"/>
      <c r="F37" s="27"/>
      <c r="G37" s="27"/>
      <c r="H37" s="27"/>
      <c r="I37" s="27"/>
      <c r="J37" s="27"/>
      <c r="K37" s="27"/>
      <c r="L37" s="27"/>
      <c r="M37" s="27"/>
      <c r="N37" s="27"/>
      <c r="O37" s="1060"/>
      <c r="P37" s="2"/>
      <c r="Q37" s="231"/>
      <c r="R37" s="2"/>
      <c r="S37" s="2"/>
      <c r="T37" s="2"/>
      <c r="U37" s="27"/>
      <c r="V37" s="2"/>
      <c r="W37" s="2"/>
      <c r="X37" s="27"/>
      <c r="Y37" s="27"/>
      <c r="Z37" s="2"/>
      <c r="AA37" s="27"/>
      <c r="AB37" s="27"/>
      <c r="AC37" s="27"/>
      <c r="AD37" s="27"/>
      <c r="AE37" s="27"/>
      <c r="AF37" s="27"/>
      <c r="AG37" s="27"/>
      <c r="AH37" s="27"/>
      <c r="AI37" s="27"/>
      <c r="AJ37" s="27"/>
      <c r="AK37" s="27"/>
      <c r="AL37" s="27"/>
      <c r="AM37" s="27"/>
      <c r="AN37" s="27"/>
      <c r="AO37" s="27"/>
      <c r="AP37" s="27"/>
      <c r="AQ37" s="27"/>
      <c r="AR37" s="499"/>
      <c r="AS37" s="27"/>
      <c r="AT37" s="27"/>
      <c r="AU37" s="27"/>
      <c r="AV37" s="27"/>
      <c r="AW37" s="27"/>
      <c r="AX37" s="27"/>
      <c r="AY37" s="27"/>
    </row>
    <row r="38" spans="1:53" ht="21.95" customHeight="1">
      <c r="A38" s="508" t="s">
        <v>740</v>
      </c>
      <c r="B38" s="61"/>
      <c r="C38" s="27"/>
      <c r="D38" s="27"/>
      <c r="E38" s="27"/>
      <c r="F38" s="338"/>
      <c r="G38" s="338"/>
      <c r="H38" s="508"/>
      <c r="I38" s="508" t="s">
        <v>1127</v>
      </c>
      <c r="J38" s="27"/>
      <c r="K38" s="27"/>
      <c r="L38" s="27"/>
      <c r="M38" s="27"/>
      <c r="N38" s="461"/>
      <c r="O38" s="1060"/>
      <c r="P38" s="2"/>
      <c r="Q38" s="2"/>
      <c r="R38" s="2"/>
      <c r="S38" s="2"/>
      <c r="T38" s="27"/>
      <c r="U38" s="27"/>
      <c r="V38" s="27"/>
      <c r="W38" s="27"/>
      <c r="X38" s="27"/>
      <c r="Y38" s="27"/>
      <c r="Z38" s="27"/>
      <c r="AA38" s="27"/>
      <c r="AB38" s="27"/>
      <c r="AC38" s="27"/>
      <c r="AD38" s="27"/>
      <c r="AE38" s="27"/>
      <c r="AF38" s="27"/>
      <c r="AG38" s="139"/>
      <c r="AH38" s="27"/>
      <c r="AI38" s="27"/>
      <c r="AJ38" s="27"/>
      <c r="AK38" s="27"/>
      <c r="AL38" s="27"/>
      <c r="AM38" s="27"/>
      <c r="AN38" s="27"/>
      <c r="AO38" s="27"/>
      <c r="AP38" s="27"/>
      <c r="AQ38" s="27"/>
      <c r="AR38" s="27"/>
      <c r="AS38" s="27"/>
      <c r="AT38" s="27"/>
      <c r="AU38" s="27"/>
      <c r="AV38" s="27"/>
      <c r="AW38" s="27"/>
      <c r="AX38" s="27"/>
      <c r="AY38" s="27"/>
    </row>
    <row r="39" spans="1:53" s="4" customFormat="1" ht="18.75">
      <c r="A39" s="141" t="s">
        <v>1039</v>
      </c>
      <c r="B39" s="445" t="s">
        <v>747</v>
      </c>
      <c r="C39" s="1152" t="s">
        <v>748</v>
      </c>
      <c r="D39" s="132" t="s">
        <v>581</v>
      </c>
      <c r="E39" s="132" t="s">
        <v>315</v>
      </c>
      <c r="F39" s="1055" t="s">
        <v>1022</v>
      </c>
      <c r="G39" s="132" t="s">
        <v>722</v>
      </c>
      <c r="H39" s="464" t="s">
        <v>1023</v>
      </c>
      <c r="I39" s="464" t="s">
        <v>721</v>
      </c>
      <c r="J39" s="132" t="s">
        <v>1024</v>
      </c>
      <c r="K39" s="132" t="s">
        <v>634</v>
      </c>
      <c r="L39" s="132" t="s">
        <v>635</v>
      </c>
      <c r="M39" s="132" t="s">
        <v>701</v>
      </c>
      <c r="N39" s="132" t="s">
        <v>702</v>
      </c>
      <c r="O39" s="132" t="s">
        <v>703</v>
      </c>
      <c r="P39" s="132" t="s">
        <v>704</v>
      </c>
      <c r="Q39" s="132" t="s">
        <v>705</v>
      </c>
      <c r="R39" s="132" t="s">
        <v>706</v>
      </c>
      <c r="S39" s="132" t="s">
        <v>707</v>
      </c>
      <c r="T39" s="132" t="s">
        <v>708</v>
      </c>
      <c r="U39" s="132" t="s">
        <v>709</v>
      </c>
      <c r="V39" s="132" t="s">
        <v>710</v>
      </c>
      <c r="W39" s="132" t="s">
        <v>340</v>
      </c>
      <c r="X39" s="132" t="s">
        <v>341</v>
      </c>
      <c r="Y39" s="132" t="s">
        <v>342</v>
      </c>
      <c r="Z39" s="132" t="s">
        <v>343</v>
      </c>
      <c r="AA39" s="132" t="s">
        <v>344</v>
      </c>
      <c r="AB39" s="132" t="s">
        <v>345</v>
      </c>
      <c r="AC39" s="132" t="s">
        <v>347</v>
      </c>
      <c r="AD39" s="132" t="s">
        <v>630</v>
      </c>
      <c r="AE39" s="132" t="s">
        <v>631</v>
      </c>
      <c r="AF39" s="132" t="s">
        <v>632</v>
      </c>
      <c r="AG39" s="458" t="s">
        <v>711</v>
      </c>
      <c r="AH39" s="458" t="s">
        <v>712</v>
      </c>
      <c r="AI39" s="458" t="s">
        <v>713</v>
      </c>
      <c r="AJ39" s="458" t="s">
        <v>714</v>
      </c>
      <c r="AK39" s="458" t="s">
        <v>715</v>
      </c>
      <c r="AL39" s="458" t="s">
        <v>716</v>
      </c>
      <c r="AM39" s="458" t="s">
        <v>717</v>
      </c>
      <c r="AN39" s="458" t="s">
        <v>718</v>
      </c>
      <c r="AO39" s="458" t="s">
        <v>719</v>
      </c>
      <c r="AP39" s="458" t="s">
        <v>720</v>
      </c>
      <c r="AQ39" s="457" t="s">
        <v>1011</v>
      </c>
      <c r="AR39" s="458" t="s">
        <v>1012</v>
      </c>
      <c r="AS39" s="1159" t="s">
        <v>1116</v>
      </c>
      <c r="AT39" s="1160" t="s">
        <v>1013</v>
      </c>
      <c r="AU39" s="456" t="s">
        <v>511</v>
      </c>
      <c r="AV39" s="456"/>
      <c r="AW39" s="132" t="s">
        <v>1038</v>
      </c>
      <c r="AX39" s="456"/>
      <c r="AY39" s="27"/>
    </row>
    <row r="40" spans="1:53" s="167" customFormat="1" ht="24" customHeight="1">
      <c r="A40" s="148" t="s">
        <v>582</v>
      </c>
      <c r="B40" s="148" t="s">
        <v>698</v>
      </c>
      <c r="C40" s="149" t="s">
        <v>749</v>
      </c>
      <c r="D40" s="149" t="s">
        <v>583</v>
      </c>
      <c r="E40" s="1056" t="s">
        <v>1021</v>
      </c>
      <c r="F40" s="1056" t="s">
        <v>1021</v>
      </c>
      <c r="G40" s="463" t="s">
        <v>1037</v>
      </c>
      <c r="H40" s="149" t="s">
        <v>583</v>
      </c>
      <c r="I40" s="149" t="s">
        <v>583</v>
      </c>
      <c r="J40" s="149" t="s">
        <v>583</v>
      </c>
      <c r="K40" s="149"/>
      <c r="L40" s="149"/>
      <c r="M40" s="230" t="str">
        <f t="shared" ref="M40:V40" si="25">K3</f>
        <v>Citric acid</v>
      </c>
      <c r="N40" s="230" t="str">
        <f t="shared" si="25"/>
        <v>Glycine</v>
      </c>
      <c r="O40" s="230" t="str">
        <f t="shared" si="25"/>
        <v xml:space="preserve">Ascorbic acid </v>
      </c>
      <c r="P40" s="230" t="str">
        <f t="shared" si="25"/>
        <v>Acetic acid</v>
      </c>
      <c r="Q40" s="230" t="str">
        <f t="shared" si="25"/>
        <v>Ammonia</v>
      </c>
      <c r="R40" s="230" t="str">
        <f t="shared" si="25"/>
        <v>Carbonic acid</v>
      </c>
      <c r="S40" s="230" t="str">
        <f t="shared" si="25"/>
        <v>HCl</v>
      </c>
      <c r="T40" s="255" t="str">
        <f t="shared" si="25"/>
        <v>Strong ACID</v>
      </c>
      <c r="U40" s="255" t="str">
        <f t="shared" si="25"/>
        <v>Strong BASE</v>
      </c>
      <c r="V40" s="230" t="str">
        <f t="shared" si="25"/>
        <v>Carbonic ac.</v>
      </c>
      <c r="W40" s="230" t="str">
        <f t="shared" ref="W40:AF40" si="26">K3</f>
        <v>Citric acid</v>
      </c>
      <c r="X40" s="230" t="str">
        <f t="shared" si="26"/>
        <v>Glycine</v>
      </c>
      <c r="Y40" s="230" t="str">
        <f t="shared" si="26"/>
        <v xml:space="preserve">Ascorbic acid </v>
      </c>
      <c r="Z40" s="230" t="str">
        <f t="shared" si="26"/>
        <v>Acetic acid</v>
      </c>
      <c r="AA40" s="230" t="str">
        <f t="shared" si="26"/>
        <v>Ammonia</v>
      </c>
      <c r="AB40" s="230" t="str">
        <f t="shared" si="26"/>
        <v>Carbonic acid</v>
      </c>
      <c r="AC40" s="230" t="str">
        <f t="shared" si="26"/>
        <v>HCl</v>
      </c>
      <c r="AD40" s="230" t="str">
        <f t="shared" si="26"/>
        <v>Strong ACID</v>
      </c>
      <c r="AE40" s="230" t="str">
        <f t="shared" si="26"/>
        <v>Strong BASE</v>
      </c>
      <c r="AF40" s="230" t="str">
        <f t="shared" si="26"/>
        <v>Carbonic ac.</v>
      </c>
      <c r="AG40" s="230" t="str">
        <f t="shared" ref="AG40:AM40" si="27">K3</f>
        <v>Citric acid</v>
      </c>
      <c r="AH40" s="230" t="str">
        <f t="shared" si="27"/>
        <v>Glycine</v>
      </c>
      <c r="AI40" s="230" t="str">
        <f t="shared" si="27"/>
        <v xml:space="preserve">Ascorbic acid </v>
      </c>
      <c r="AJ40" s="230" t="str">
        <f t="shared" si="27"/>
        <v>Acetic acid</v>
      </c>
      <c r="AK40" s="230" t="str">
        <f t="shared" si="27"/>
        <v>Ammonia</v>
      </c>
      <c r="AL40" s="230" t="str">
        <f t="shared" si="27"/>
        <v>Carbonic acid</v>
      </c>
      <c r="AM40" s="230" t="str">
        <f t="shared" si="27"/>
        <v>HCl</v>
      </c>
      <c r="AN40" s="230" t="str">
        <f>R3</f>
        <v>Strong ACID</v>
      </c>
      <c r="AO40" s="230" t="str">
        <f>S3</f>
        <v>Strong BASE</v>
      </c>
      <c r="AP40" s="230" t="str">
        <f>T3</f>
        <v>Carbonic ac.</v>
      </c>
      <c r="AQ40" s="743" t="s">
        <v>583</v>
      </c>
      <c r="AR40" s="459" t="s">
        <v>583</v>
      </c>
      <c r="AS40" s="1056" t="s">
        <v>1117</v>
      </c>
      <c r="AT40" s="1056" t="s">
        <v>1015</v>
      </c>
      <c r="AU40" s="1045" t="s">
        <v>1014</v>
      </c>
      <c r="AV40" s="119"/>
      <c r="AW40" s="119"/>
      <c r="AX40" s="119"/>
      <c r="AY40" s="27"/>
      <c r="AZ40" s="1040"/>
    </row>
    <row r="41" spans="1:53">
      <c r="A41" s="6">
        <v>0</v>
      </c>
      <c r="B41" s="534">
        <v>2.9292395076433086</v>
      </c>
      <c r="C41" s="136">
        <v>2.8861618041992188</v>
      </c>
      <c r="D41" s="135">
        <f>IF(A41="","",10^-((((B41-P$12)/P$13)+7))/$AU41)</f>
        <v>1.3096149588078488E-3</v>
      </c>
      <c r="E41" s="135">
        <f>IF(A42="","0",(B42-B41)/(A42-A41))</f>
        <v>0.1082286251696329</v>
      </c>
      <c r="F41" s="136">
        <f>IF(A41="","",IF(C41="","0,00001",(IF(ABS(C41-B41)&lt;0.00001,0.00001,C41-B41))))</f>
        <v>-4.3077703444089899E-2</v>
      </c>
      <c r="G41" s="134">
        <f t="shared" ref="G41:G105" si="28">IF(A41="","",IF(ABS(E41)&lt;0.00001,(0.00001^M$20)*(ABS(H41)^I$20)*ABS(F41)^K$20,((ABS(E41))^M$20)*((ABS(H41))^I$20)*ABS(F41)^K$20))</f>
        <v>1.9667397108048583E-6</v>
      </c>
      <c r="H41" s="134">
        <f>IF(A41="","",I41-J41)</f>
        <v>1.4024049738947941E-3</v>
      </c>
      <c r="I41" s="135">
        <f>IF(A41="","",L41*I$18+K41*E$19)</f>
        <v>0.11006911411707862</v>
      </c>
      <c r="J41" s="135">
        <f>IF(A41="","",D41 -$AC$9/AU41^2/D41+L41*(W41*$B$11+X41*$C$11+Y41*$D$11+Z41*$E$11+AA41*$F$11+AB41*$G$11+AC41*$H$11)+K41*(AD41*$B$18+AE41*$C$18+AF41*$D$18))</f>
        <v>0.10866670914318383</v>
      </c>
      <c r="K41" s="136">
        <f>IF(A41="","",A41/(A41+$G$16))</f>
        <v>0</v>
      </c>
      <c r="L41" s="136">
        <f>IF(A41="","",$E$16/(A41+$G$16))</f>
        <v>1</v>
      </c>
      <c r="M41" s="134">
        <f t="shared" ref="M41:S41" si="29">IF($A41="","",(1+(V$5*$AU41^(-2*V$4))*$D41+(V$6*$AU41^(-4*V$4-2))*$D41^2+(V$7*$AU41^(-6*V$4-6))*$D41^3+(V$8*$AU41^(-8*V$4-12))*$D41^4+(V$9*$AU41^(-10*V$4-20))*$D41^5+(V$10*$AU41^(-12*V$4-30))*$D41^6))</f>
        <v>206515.25484990954</v>
      </c>
      <c r="N41" s="134">
        <f t="shared" si="29"/>
        <v>8204242.6240422362</v>
      </c>
      <c r="O41" s="134">
        <f t="shared" si="29"/>
        <v>7541124306.7733831</v>
      </c>
      <c r="P41" s="134">
        <f t="shared" si="29"/>
        <v>61.447362723289615</v>
      </c>
      <c r="Q41" s="134">
        <f t="shared" si="29"/>
        <v>2296909.1411733869</v>
      </c>
      <c r="R41" s="134">
        <f t="shared" si="29"/>
        <v>43368157156.45343</v>
      </c>
      <c r="S41" s="134">
        <f t="shared" si="29"/>
        <v>1.0000000001057738</v>
      </c>
      <c r="T41" s="134">
        <f>IF($A41="","",(1+(AC$5*$AU41^(-2*AC$4))*$D41+(AC$6*$AU41^(-4*AC$4-2))*$D41^2))</f>
        <v>1.0000000001057738</v>
      </c>
      <c r="U41" s="134">
        <f>IF($A41="","",(1+(AD$5*$AU41^(-2*AD$4))*$D41+(AD$6*$AU41^(-4*AD$4-2))*$D41^2))</f>
        <v>5880000427372.9082</v>
      </c>
      <c r="V41" s="134">
        <f>IF($A41="","",(1+(AE$5*$AU41^(-2*AE$4))*$D41+(AE$6*$AU41^(-4*AE$4-2))*$D41^2))</f>
        <v>43368157156.45343</v>
      </c>
      <c r="W41" s="19">
        <f t="shared" ref="W41:AC41" si="30">IF($A41="","",((V$5*$AU41^(-2*V$4))*$D41+2*(V$6*$AU41^(-4*V$4-2))*$D41^2+3*(V$7*$AU41^(-6*V$4-6))*$D41^3+4*(V$8*$AU41^(-8*V$4-12))*$D41^4+5*(V$9*$AU41^(-10*V$4-20))*$D41^5+6*(V$10*$AU41^(-12*V$4-30))*$D41^6)/M41)</f>
        <v>2.5736186420184843</v>
      </c>
      <c r="X41" s="19">
        <f t="shared" si="30"/>
        <v>1.2267160445460894</v>
      </c>
      <c r="Y41" s="19">
        <f t="shared" si="30"/>
        <v>1.9301486200626503</v>
      </c>
      <c r="Z41" s="19">
        <f t="shared" si="30"/>
        <v>0.98372590855520992</v>
      </c>
      <c r="AA41" s="19">
        <f t="shared" si="30"/>
        <v>0.99999956463232176</v>
      </c>
      <c r="AB41" s="19">
        <f t="shared" si="30"/>
        <v>1.9995798153645989</v>
      </c>
      <c r="AC41" s="19">
        <f t="shared" si="30"/>
        <v>1.0577389520731927E-10</v>
      </c>
      <c r="AD41" s="19">
        <f>IF($A41="","",((AC$5*$AU41^(-2*AC$4))*$D41+2*(AC$6*$AU41^(-4*AC$4-2))*$D41^2)/T41)</f>
        <v>1.0577389453167715E-10</v>
      </c>
      <c r="AE41" s="19">
        <f>IF($A41="","",((AD$5*$AU41^(-2*AD$4))*$D41+2*(AD$6*$AU41^(-4*AD$4-2))*$D41^2)/U41)</f>
        <v>0.99999999999982991</v>
      </c>
      <c r="AF41" s="19">
        <f>IF($A41="","",((AE$5*$AU41^(-2*AE$4))*$D41+2*(AE$6*$AU41^(-4*AE$4-2))*$D41^2)/V41)</f>
        <v>1.9995798153645989</v>
      </c>
      <c r="AG41" s="134">
        <f t="shared" ref="AG41:AM41" si="31">IF(B$11=0,"",IF($A41="","",0.5*B$11*$L41*(1*V$4^2+(V$5*$AU41^(-2*V$4))*$D41*(V$4+1)^2+(V$6*$AU41^(-4*V$4-2))*$D41^2*(V$4+2)^2+(V$7*$AU41^(-6*V$4-6))*$D41^3*(V$4+3)^2+(V$8*$AU41^(-8*V$4-12))*$D41^4*(V$4+4)^2+(V$9*$AU41^(-10*V$4-20))*$D41^5*(V$4+5)^2+(V$10*$AU41^(-12*V$4-30))*$D41^6*(V$4+6)^2)/M41))</f>
        <v>5.5351363017034456E-3</v>
      </c>
      <c r="AH41" s="134">
        <f t="shared" si="31"/>
        <v>3.9781680316081395E-3</v>
      </c>
      <c r="AI41" s="134" t="str">
        <f t="shared" si="31"/>
        <v/>
      </c>
      <c r="AJ41" s="134" t="str">
        <f t="shared" si="31"/>
        <v/>
      </c>
      <c r="AK41" s="134" t="str">
        <f t="shared" si="31"/>
        <v/>
      </c>
      <c r="AL41" s="134" t="str">
        <f t="shared" si="31"/>
        <v/>
      </c>
      <c r="AM41" s="134" t="str">
        <f t="shared" si="31"/>
        <v/>
      </c>
      <c r="AN41" s="134" t="str">
        <f>IF(B$18=0,"",IF($A41="","",0.5*B$18*$K41*(1*AC$4^2+(AC$5*$AU41^(-2*AC$4))*$D41*(AC$4+1)^2+(AC$6*$AU41^(-4*AC$4-2))*$D41^2*(AC$4+2)^2)/T41))</f>
        <v/>
      </c>
      <c r="AO41" s="134">
        <f>IF(C$18=0,"",IF($A41="","",0.5*C$18*$K41*(1*AD$4^2+(AD$5*$AU41^(-2*AD$4))*$D41*(AD$4+1)^2+(AD$6*$AU41^(-4*AD$4-2))*$D41^2*(AD$4+2)^2)/U41))</f>
        <v>0</v>
      </c>
      <c r="AP41" s="134" t="str">
        <f>IF(D$18=0,"",IF($A41="","",0.5*D$18*$K41*(1*AE$4^2+(AE$5*$AU41^(-2*AE$4))*$D41*(AE$4+1)^2+(AE$6*$AU41^(-4*AE$4-2))*$D41^2*(AE$4+2)^2)/V41))</f>
        <v/>
      </c>
      <c r="AQ41" s="142">
        <f>IF(A41="","",SUM(AG41:AP41)+0.5*(D41+ $AC$9/AU41^2/D41)+$L41*$S$16+$K41*$T$16)</f>
        <v>1.0862132584639915E-2</v>
      </c>
      <c r="AR41" s="134">
        <f>IF(A41="","",AQ41+$L41*S$14+$K41*$T$14)</f>
        <v>1.0862132584639915E-2</v>
      </c>
      <c r="AS41" s="1042"/>
      <c r="AT41" s="468">
        <v>1.0862132584639951E-2</v>
      </c>
      <c r="AU41" s="143">
        <f t="shared" ref="AU41" si="32">IF(A41="","",10^(-$P$16*($AT41^0.5/(1+$AT41^0.5)-$P$17*$AT41)))</f>
        <v>0.89870439443503658</v>
      </c>
      <c r="AV41" s="17"/>
      <c r="AW41" s="136">
        <f>IF(C41="","",C41-B41)</f>
        <v>-4.3077703444089899E-2</v>
      </c>
      <c r="AX41" s="17"/>
      <c r="AY41" s="27"/>
      <c r="AZ41" s="1041"/>
      <c r="BA41" s="1041"/>
    </row>
    <row r="42" spans="1:53">
      <c r="A42" s="6">
        <v>0.87795368308434263</v>
      </c>
      <c r="B42" s="534">
        <v>3.0242592277261426</v>
      </c>
      <c r="C42" s="136">
        <v>3.0255355834960938</v>
      </c>
      <c r="D42" s="135">
        <f t="shared" ref="D42:D72" si="33">IF(A42="","",10^-((((B42-P$12)/P$13)+7))/$AU42)</f>
        <v>1.0598621303015406E-3</v>
      </c>
      <c r="E42" s="135">
        <f>IF(A42="","",IF(A43="",(B42-B41)/(A42-A41),((B43-B42)/(A43-A42)+(B42-B41)/(A42-A41))/2))</f>
        <v>0.11590039089020304</v>
      </c>
      <c r="F42" s="136">
        <f t="shared" ref="F42:F105" si="34">IF(A42="","",IF(C42="","0,00001",(IF(ABS(C42-B42)&lt;0.00001,0.00001,C42-B42))))</f>
        <v>1.2763557699511097E-3</v>
      </c>
      <c r="G42" s="134">
        <f t="shared" si="28"/>
        <v>1.4206360420873596E-9</v>
      </c>
      <c r="H42" s="134">
        <f t="shared" ref="H42:H91" si="35">IF(A42="","",I42-J42)</f>
        <v>-3.7691325820238264E-5</v>
      </c>
      <c r="I42" s="135">
        <f t="shared" ref="I42:I91" si="36">IF(A42="","",L42*I$18+K42*E$19)</f>
        <v>0.10544051949522083</v>
      </c>
      <c r="J42" s="135">
        <f t="shared" ref="J42:J91" si="37">IF(A42="","",D42 -$AC$9/AU42^2/D42+L42*(W42*$B$11+X42*$C$11+Y42*$D$11+Z42*$E$11+AA42*$F$11+AB42*$G$11+AC42*$H$11)+K42*(AD42*$B$18+AE42*$C$18+AF42*$D$18))</f>
        <v>0.10547821082104107</v>
      </c>
      <c r="K42" s="136">
        <f t="shared" ref="K42:K91" si="38">IF(A42="","",A42/(A42+$G$16))</f>
        <v>4.2051711408655677E-2</v>
      </c>
      <c r="L42" s="136">
        <f t="shared" ref="L42:L91" si="39">IF(A42="","",$E$16/(A42+$G$16))</f>
        <v>0.95794828859134429</v>
      </c>
      <c r="M42" s="134">
        <f t="shared" ref="M42:M91" si="40">IF($A42="","",(1+(V$5*$AU42^(-2*V$4))*$D42+(V$6*$AU42^(-4*V$4-2))*$D42^2+(V$7*$AU42^(-6*V$4-6))*$D42^3+(V$8*$AU42^(-8*V$4-12))*$D42^4+(V$9*$AU42^(-10*V$4-20))*$D42^5+(V$10*$AU42^(-12*V$4-30))*$D42^6))</f>
        <v>111335.12401834768</v>
      </c>
      <c r="N42" s="134">
        <f t="shared" ref="N42:N91" si="41">IF($A42="","",(1+(W$5*$AU42^(-2*W$4))*$D42+(W$6*$AU42^(-4*W$4-2))*$D42^2+(W$7*$AU42^(-6*W$4-6))*$D42^3+(W$8*$AU42^(-8*W$4-12))*$D42^4+(W$9*$AU42^(-10*W$4-20))*$D42^5+(W$10*$AU42^(-12*W$4-30))*$D42^6))</f>
        <v>6261782.4769644924</v>
      </c>
      <c r="O42" s="134">
        <f t="shared" ref="O42:O91" si="42">IF($A42="","",(1+(X$5*$AU42^(-2*X$4))*$D42+(X$6*$AU42^(-4*X$4-2))*$D42^2+(X$7*$AU42^(-6*X$4-6))*$D42^3+(X$8*$AU42^(-8*X$4-12))*$D42^4+(X$9*$AU42^(-10*X$4-20))*$D42^5+(X$10*$AU42^(-12*X$4-30))*$D42^6))</f>
        <v>4814148499.753108</v>
      </c>
      <c r="P42" s="134">
        <f t="shared" ref="P42:P91" si="43">IF($A42="","",(1+(Y$5*$AU42^(-2*Y$4))*$D42+(Y$6*$AU42^(-4*Y$4-2))*$D42^2+(Y$7*$AU42^(-6*Y$4-6))*$D42^3+(Y$8*$AU42^(-8*Y$4-12))*$D42^4+(Y$9*$AU42^(-10*Y$4-20))*$D42^5+(Y$10*$AU42^(-12*Y$4-30))*$D42^6))</f>
        <v>49.220551132026927</v>
      </c>
      <c r="Q42" s="134">
        <f t="shared" ref="Q42:Q91" si="44">IF($A42="","",(1+(Z$5*$AU42^(-2*Z$4))*$D42+(Z$6*$AU42^(-4*Z$4-2))*$D42^2+(Z$7*$AU42^(-6*Z$4-6))*$D42^3+(Z$8*$AU42^(-8*Z$4-12))*$D42^4+(Z$9*$AU42^(-10*Z$4-20))*$D42^5+(Z$10*$AU42^(-12*Z$4-30))*$D42^6))</f>
        <v>1858872.5249763436</v>
      </c>
      <c r="R42" s="134">
        <f t="shared" ref="R42:R91" si="45">IF($A42="","",(1+(AA$5*$AU42^(-2*AA$4))*$D42+(AA$6*$AU42^(-4*AA$4-2))*$D42^2+(AA$7*$AU42^(-6*AA$4-6))*$D42^3+(AA$8*$AU42^(-8*AA$4-12))*$D42^4+(AA$9*$AU42^(-10*AA$4-20))*$D42^5+(AA$10*$AU42^(-12*AA$4-30))*$D42^6))</f>
        <v>27206703584.018333</v>
      </c>
      <c r="S42" s="134">
        <f t="shared" ref="S42:S91" si="46">IF($A42="","",(1+(AB$5*$AU42^(-2*AB$4))*$D42+(AB$6*$AU42^(-4*AB$4-2))*$D42^2+(AB$7*$AU42^(-6*AB$4-6))*$D42^3+(AB$8*$AU42^(-8*AB$4-12))*$D42^4+(AB$9*$AU42^(-10*AB$4-20))*$D42^5+(AB$10*$AU42^(-12*AB$4-30))*$D42^6))</f>
        <v>1.0000000000843785</v>
      </c>
      <c r="T42" s="134">
        <f t="shared" ref="T42:T91" si="47">IF($A42="","",(1+(AC$5*$AU42^(-2*AC$4))*$D42+(AC$6*$AU42^(-4*AC$4-2))*$D42^2))</f>
        <v>1.0000000000843785</v>
      </c>
      <c r="U42" s="134">
        <f t="shared" ref="U42:U91" si="48">IF($A42="","",(1+(AD$5*$AU42^(-2*AD$4))*$D42+(AD$6*$AU42^(-4*AD$4-2))*$D42^2))</f>
        <v>4690640724268.4307</v>
      </c>
      <c r="V42" s="134">
        <f t="shared" ref="V42:V91" si="49">IF($A42="","",(1+(AE$5*$AU42^(-2*AE$4))*$D42+(AE$6*$AU42^(-4*AE$4-2))*$D42^2))</f>
        <v>27206703584.018333</v>
      </c>
      <c r="W42" s="19">
        <f t="shared" ref="W42:W91" si="50">IF($A42="","",((V$5*$AU42^(-2*V$4))*$D42+2*(V$6*$AU42^(-4*V$4-2))*$D42^2+3*(V$7*$AU42^(-6*V$4-6))*$D42^3+4*(V$8*$AU42^(-8*V$4-12))*$D42^4+5*(V$9*$AU42^(-10*V$4-20))*$D42^5+6*(V$10*$AU42^(-12*V$4-30))*$D42^6)/M42)</f>
        <v>2.512849400316731</v>
      </c>
      <c r="X42" s="19">
        <f t="shared" ref="X42:X91" si="51">IF($A42="","",((W$5*$AU42^(-2*W$4))*$D42+2*(W$6*$AU42^(-4*W$4-2))*$D42^2+3*(W$7*$AU42^(-6*W$4-6))*$D42^3+4*(W$8*$AU42^(-8*W$4-12))*$D42^4+5*(W$9*$AU42^(-10*W$4-20))*$D42^5+6*(W$10*$AU42^(-12*W$4-30))*$D42^6)/N42)</f>
        <v>1.191771120567652</v>
      </c>
      <c r="Y42" s="19">
        <f t="shared" ref="Y42:Y91" si="52">IF($A42="","",((X$5*$AU42^(-2*X$4))*$D42+2*(X$6*$AU42^(-4*X$4-2))*$D42^2+3*(X$7*$AU42^(-6*X$4-6))*$D42^3+4*(X$8*$AU42^(-8*X$4-12))*$D42^4+5*(X$9*$AU42^(-10*X$4-20))*$D42^5+6*(X$10*$AU42^(-12*X$4-30))*$D42^6)/O42)</f>
        <v>1.9139609742024162</v>
      </c>
      <c r="Z42" s="19">
        <f t="shared" ref="Z42:Z91" si="53">IF($A42="","",((Y$5*$AU42^(-2*Y$4))*$D42+2*(Y$6*$AU42^(-4*Y$4-2))*$D42^2+3*(Y$7*$AU42^(-6*Y$4-6))*$D42^3+4*(Y$8*$AU42^(-8*Y$4-12))*$D42^4+5*(Y$9*$AU42^(-10*Y$4-20))*$D42^5+6*(Y$10*$AU42^(-12*Y$4-30))*$D42^6)/P42)</f>
        <v>0.97968328316118103</v>
      </c>
      <c r="AA42" s="19">
        <f t="shared" ref="AA42:AA91" si="54">IF($A42="","",((Z$5*$AU42^(-2*Z$4))*$D42+2*(Z$6*$AU42^(-4*Z$4-2))*$D42^2+3*(Z$7*$AU42^(-6*Z$4-6))*$D42^3+4*(Z$8*$AU42^(-8*Z$4-12))*$D42^4+5*(Z$9*$AU42^(-10*Z$4-20))*$D42^5+6*(Z$10*$AU42^(-12*Z$4-30))*$D42^6)/Q42)</f>
        <v>0.99999946203949619</v>
      </c>
      <c r="AB42" s="19">
        <f t="shared" ref="AB42:AB91" si="55">IF($A42="","",((AA$5*$AU42^(-2*AA$4))*$D42+2*(AA$6*$AU42^(-4*AA$4-2))*$D42^2+3*(AA$7*$AU42^(-6*AA$4-6))*$D42^3+4*(AA$8*$AU42^(-8*AA$4-12))*$D42^4+5*(AA$9*$AU42^(-10*AA$4-20))*$D42^5+6*(AA$10*$AU42^(-12*AA$4-30))*$D42^6)/R42)</f>
        <v>1.9994733293699882</v>
      </c>
      <c r="AC42" s="19">
        <f t="shared" ref="AC42:AC91" si="56">IF($A42="","",((AB$5*$AU42^(-2*AB$4))*$D42+2*(AB$6*$AU42^(-4*AB$4-2))*$D42^2+3*(AB$7*$AU42^(-6*AB$4-6))*$D42^3+4*(AB$8*$AU42^(-8*AB$4-12))*$D42^4+5*(AB$9*$AU42^(-10*AB$4-20))*$D42^5+6*(AB$10*$AU42^(-12*AB$4-30))*$D42^6)/S42)</f>
        <v>8.437875093218288E-11</v>
      </c>
      <c r="AD42" s="19">
        <f t="shared" ref="AD42:AD91" si="57">IF($A42="","",((AC$5*$AU42^(-2*AC$4))*$D42+2*(AC$6*$AU42^(-4*AC$4-2))*$D42^2)/T42)</f>
        <v>8.4378750574219048E-11</v>
      </c>
      <c r="AE42" s="19">
        <f t="shared" ref="AE42:AE91" si="58">IF($A42="","",((AD$5*$AU42^(-2*AD$4))*$D42+2*(AD$6*$AU42^(-4*AD$4-2))*$D42^2)/U42)</f>
        <v>0.99999999999978684</v>
      </c>
      <c r="AF42" s="19">
        <f t="shared" ref="AF42:AF91" si="59">IF($A42="","",((AE$5*$AU42^(-2*AE$4))*$D42+2*(AE$6*$AU42^(-4*AE$4-2))*$D42^2)/V42)</f>
        <v>1.9994733293699882</v>
      </c>
      <c r="AG42" s="134">
        <f t="shared" ref="AG42:AG91" si="60">IF(B$11=0,"",IF($A42="","",0.5*B$11*$L42*(1*V$4^2+(V$5*$AU42^(-2*V$4))*$D42*(V$4+1)^2+(V$6*$AU42^(-4*V$4-2))*$D42^2*(V$4+2)^2+(V$7*$AU42^(-6*V$4-6))*$D42^3*(V$4+3)^2+(V$8*$AU42^(-8*V$4-12))*$D42^4*(V$4+4)^2+(V$9*$AU42^(-10*V$4-20))*$D42^5*(V$4+5)^2+(V$10*$AU42^(-12*V$4-30))*$D42^6*(V$4+6)^2)/M42))</f>
        <v>6.1170896230883353E-3</v>
      </c>
      <c r="AH42" s="134">
        <f t="shared" ref="AH42:AH91" si="61">IF(C$11=0,"",IF($A42="","",0.5*C$11*$L42*(1*W$4^2+(W$5*$AU42^(-2*W$4))*$D42*(W$4+1)^2+(W$6*$AU42^(-4*W$4-2))*$D42^2*(W$4+2)^2+(W$7*$AU42^(-6*W$4-6))*$D42^3*(W$4+3)^2+(W$8*$AU42^(-8*W$4-12))*$D42^4*(W$4+4)^2+(W$9*$AU42^(-10*W$4-20))*$D42^5*(W$4+5)^2+(W$10*$AU42^(-12*W$4-30))*$D42^6*(W$4+6)^2)/N42))</f>
        <v>3.2234905051327606E-3</v>
      </c>
      <c r="AI42" s="134" t="str">
        <f t="shared" ref="AI42:AI91" si="62">IF(D$11=0,"",IF($A42="","",0.5*D$11*$L42*(1*X$4^2+(X$5*$AU42^(-2*X$4))*$D42*(X$4+1)^2+(X$6*$AU42^(-4*X$4-2))*$D42^2*(X$4+2)^2+(X$7*$AU42^(-6*X$4-6))*$D42^3*(X$4+3)^2+(X$8*$AU42^(-8*X$4-12))*$D42^4*(X$4+4)^2+(X$9*$AU42^(-10*X$4-20))*$D42^5*(X$4+5)^2+(X$10*$AU42^(-12*X$4-30))*$D42^6*(X$4+6)^2)/O42))</f>
        <v/>
      </c>
      <c r="AJ42" s="134" t="str">
        <f t="shared" ref="AJ42:AJ91" si="63">IF(E$11=0,"",IF($A42="","",0.5*E$11*$L42*(1*Y$4^2+(Y$5*$AU42^(-2*Y$4))*$D42*(Y$4+1)^2+(Y$6*$AU42^(-4*Y$4-2))*$D42^2*(Y$4+2)^2+(Y$7*$AU42^(-6*Y$4-6))*$D42^3*(Y$4+3)^2+(Y$8*$AU42^(-8*Y$4-12))*$D42^4*(Y$4+4)^2+(Y$9*$AU42^(-10*Y$4-20))*$D42^5*(Y$4+5)^2+(Y$10*$AU42^(-12*Y$4-30))*$D42^6*(Y$4+6)^2)/P42))</f>
        <v/>
      </c>
      <c r="AK42" s="134" t="str">
        <f t="shared" ref="AK42:AK91" si="64">IF(F$11=0,"",IF($A42="","",0.5*F$11*$L42*(1*Z$4^2+(Z$5*$AU42^(-2*Z$4))*$D42*(Z$4+1)^2+(Z$6*$AU42^(-4*Z$4-2))*$D42^2*(Z$4+2)^2+(Z$7*$AU42^(-6*Z$4-6))*$D42^3*(Z$4+3)^2+(Z$8*$AU42^(-8*Z$4-12))*$D42^4*(Z$4+4)^2+(Z$9*$AU42^(-10*Z$4-20))*$D42^5*(Z$4+5)^2+(Z$10*$AU42^(-12*Z$4-30))*$D42^6*(Z$4+6)^2)/Q42))</f>
        <v/>
      </c>
      <c r="AL42" s="134" t="str">
        <f t="shared" ref="AL42:AL91" si="65">IF(G$11=0,"",IF($A42="","",0.5*G$11*$L42*(1*AA$4^2+(AA$5*$AU42^(-2*AA$4))*$D42*(AA$4+1)^2+(AA$6*$AU42^(-4*AA$4-2))*$D42^2*(AA$4+2)^2+(AA$7*$AU42^(-6*AA$4-6))*$D42^3*(AA$4+3)^2+(AA$8*$AU42^(-8*AA$4-12))*$D42^4*(AA$4+4)^2+(AA$9*$AU42^(-10*AA$4-20))*$D42^5*(AA$4+5)^2+(AA$10*$AU42^(-12*AA$4-30))*$D42^6*(AA$4+6)^2)/R42))</f>
        <v/>
      </c>
      <c r="AM42" s="134" t="str">
        <f t="shared" ref="AM42:AM91" si="66">IF(H$11=0,"",IF($A42="","",0.5*H$11*$L42*(1*AB$4^2+(AB$5*$AU42^(-2*AB$4))*$D42*(AB$4+1)^2+(AB$6*$AU42^(-4*AB$4-2))*$D42^2*(AB$4+2)^2+(AB$7*$AU42^(-6*AB$4-6))*$D42^3*(AB$4+3)^2+(AB$8*$AU42^(-8*AB$4-12))*$D42^4*(AB$4+4)^2+(AB$9*$AU42^(-10*AB$4-20))*$D42^5*(AB$4+5)^2+(AB$10*$AU42^(-12*AB$4-30))*$D42^6*(AB$4+6)^2)/S42))</f>
        <v/>
      </c>
      <c r="AN42" s="134" t="str">
        <f>IF(B$18=0,"",IF($A42="","",0.5*B$18*$K42*(1*AC$4^2+(AC$5*$AU42^(-2*AC$4))*$D42*(AC$4+1)^2+(AC$6*$AU42^(-4*AC$4-2))*$D42^2*(AC$4+2)^2)/T42))</f>
        <v/>
      </c>
      <c r="AO42" s="134">
        <f t="shared" ref="AO42:AO91" si="67">IF(C$18=0,"",IF($A42="","",0.5*C$18*$K42*(1*AD$4^2+(AD$5*$AU42^(-2*AD$4))*$D42*(AD$4+1)^2+(AD$6*$AU42^(-4*AD$4-2))*$D42^2*(AD$4+2)^2)/U42))</f>
        <v>4.4825125052840429E-16</v>
      </c>
      <c r="AP42" s="134" t="str">
        <f t="shared" ref="AP42:AP91" si="68">IF(D$18=0,"",IF($A42="","",0.5*D$18*$K42*(1*AE$4^2+(AE$5*$AU42^(-2*AE$4))*$D42*(AE$4+1)^2+(AE$6*$AU42^(-4*AE$4-2))*$D42^2*(AE$4+2)^2)/V42))</f>
        <v/>
      </c>
      <c r="AQ42" s="142">
        <f t="shared" ref="AQ42:AQ105" si="69">IF(A42="","",SUM(AG42:AP42)+0.5*(D42+ $AC$9/AU42^2/D42)+$L42*$S$16+$K42*$T$16)</f>
        <v>1.263793277757636E-2</v>
      </c>
      <c r="AR42" s="134">
        <f t="shared" ref="AR42:AR105" si="70">IF(A42="","",AQ42+$L42*S$14+$K42*$T$14)</f>
        <v>1.263793277757636E-2</v>
      </c>
      <c r="AS42" s="1042"/>
      <c r="AT42" s="468">
        <v>1.2637932777576378E-2</v>
      </c>
      <c r="AU42" s="143">
        <f t="shared" ref="AU42:AU105" si="71">IF(A42="","",10^(-$P$16*($AT42^0.5/(1+$AT42^0.5)-$P$17*$AT42)))</f>
        <v>0.89225994558311383</v>
      </c>
      <c r="AV42" s="17"/>
      <c r="AW42" s="136">
        <f t="shared" ref="AW42:AW105" si="72">IF(C42="","",C42-B42)</f>
        <v>1.2763557699511097E-3</v>
      </c>
      <c r="AX42" s="17"/>
      <c r="AY42" s="27"/>
      <c r="AZ42" s="1041"/>
      <c r="BA42" s="1041"/>
    </row>
    <row r="43" spans="1:53">
      <c r="A43" s="6">
        <v>1.6979725172859617</v>
      </c>
      <c r="B43" s="534">
        <v>3.1255907235298888</v>
      </c>
      <c r="C43" s="136">
        <v>3.1648178100585938</v>
      </c>
      <c r="D43" s="135">
        <f t="shared" si="33"/>
        <v>8.4456191498520855E-4</v>
      </c>
      <c r="E43" s="135">
        <f t="shared" ref="E43:E106" si="73">IF(A43="","",IF(A44="",(B43-B42)/(A43-A42),((B44-B43)/(A44-A43)+(B43-B42)/(A43-A42))/2))</f>
        <v>0.17315044192717757</v>
      </c>
      <c r="F43" s="136">
        <f t="shared" si="34"/>
        <v>3.9227086528704991E-2</v>
      </c>
      <c r="G43" s="134">
        <f t="shared" si="28"/>
        <v>1.0800128464400487E-6</v>
      </c>
      <c r="H43" s="134">
        <f t="shared" si="35"/>
        <v>-1.0392366652692969E-3</v>
      </c>
      <c r="I43" s="135">
        <f t="shared" si="36"/>
        <v>0.10145566737112482</v>
      </c>
      <c r="J43" s="135">
        <f t="shared" si="37"/>
        <v>0.10249490403639412</v>
      </c>
      <c r="K43" s="136">
        <f t="shared" si="38"/>
        <v>7.8254892982892788E-2</v>
      </c>
      <c r="L43" s="136">
        <f t="shared" si="39"/>
        <v>0.92174510701710721</v>
      </c>
      <c r="M43" s="134">
        <f t="shared" si="40"/>
        <v>59216.630933278029</v>
      </c>
      <c r="N43" s="134">
        <f t="shared" si="41"/>
        <v>4735828.684759181</v>
      </c>
      <c r="O43" s="134">
        <f t="shared" si="42"/>
        <v>3013015115.1200366</v>
      </c>
      <c r="P43" s="134">
        <f t="shared" si="43"/>
        <v>38.947839901190292</v>
      </c>
      <c r="Q43" s="134">
        <f t="shared" si="44"/>
        <v>1481261.6752906961</v>
      </c>
      <c r="R43" s="134">
        <f t="shared" si="45"/>
        <v>16642569923.798519</v>
      </c>
      <c r="S43" s="134">
        <f t="shared" si="46"/>
        <v>1.0000000000664029</v>
      </c>
      <c r="T43" s="134">
        <f t="shared" si="47"/>
        <v>1.0000000000664029</v>
      </c>
      <c r="U43" s="134">
        <f t="shared" si="48"/>
        <v>3691365591222.5537</v>
      </c>
      <c r="V43" s="134">
        <f t="shared" si="49"/>
        <v>16642569923.798519</v>
      </c>
      <c r="W43" s="19">
        <f t="shared" si="50"/>
        <v>2.4459303010391529</v>
      </c>
      <c r="X43" s="19">
        <f t="shared" si="51"/>
        <v>1.159009104780778</v>
      </c>
      <c r="Y43" s="19">
        <f t="shared" si="52"/>
        <v>1.8931581699235756</v>
      </c>
      <c r="Z43" s="19">
        <f t="shared" si="53"/>
        <v>0.97432463513927925</v>
      </c>
      <c r="AA43" s="19">
        <f t="shared" si="54"/>
        <v>0.9999993248998359</v>
      </c>
      <c r="AB43" s="19">
        <f t="shared" si="55"/>
        <v>1.9993308518005144</v>
      </c>
      <c r="AC43" s="19">
        <f t="shared" si="56"/>
        <v>6.6403014330925087E-11</v>
      </c>
      <c r="AD43" s="19">
        <f t="shared" si="57"/>
        <v>6.6403014149871213E-11</v>
      </c>
      <c r="AE43" s="19">
        <f t="shared" si="58"/>
        <v>0.99999999999972911</v>
      </c>
      <c r="AF43" s="19">
        <f t="shared" si="59"/>
        <v>1.9993308518005144</v>
      </c>
      <c r="AG43" s="134">
        <f t="shared" si="60"/>
        <v>6.7790863722028477E-3</v>
      </c>
      <c r="AH43" s="134">
        <f t="shared" si="61"/>
        <v>2.5717833895783611E-3</v>
      </c>
      <c r="AI43" s="134" t="str">
        <f t="shared" si="62"/>
        <v/>
      </c>
      <c r="AJ43" s="134" t="str">
        <f t="shared" si="63"/>
        <v/>
      </c>
      <c r="AK43" s="134" t="str">
        <f t="shared" si="64"/>
        <v/>
      </c>
      <c r="AL43" s="134" t="str">
        <f t="shared" si="65"/>
        <v/>
      </c>
      <c r="AM43" s="134" t="str">
        <f t="shared" si="66"/>
        <v/>
      </c>
      <c r="AN43" s="134" t="str">
        <f t="shared" ref="AN43:AN91" si="74">IF(B$18=0,"",IF($A43="","",0.5*B$18*$K43*(1*AC$4^2+(AC$5*$AU43^(-2*AC$4))*$D43*(AC$4+1)^2+(AC$6*$AU43^(-4*AC$4-2))*$D43^2*(AC$4+2)^2)/T43))</f>
        <v/>
      </c>
      <c r="AO43" s="134">
        <f t="shared" si="67"/>
        <v>1.0599721302188241E-15</v>
      </c>
      <c r="AP43" s="134" t="str">
        <f t="shared" si="68"/>
        <v/>
      </c>
      <c r="AQ43" s="142">
        <f t="shared" si="69"/>
        <v>1.4325605625378619E-2</v>
      </c>
      <c r="AR43" s="134">
        <f t="shared" si="70"/>
        <v>1.4325605625378619E-2</v>
      </c>
      <c r="AS43" s="1042"/>
      <c r="AT43" s="468">
        <v>1.4325605625378626E-2</v>
      </c>
      <c r="AU43" s="143">
        <f t="shared" si="71"/>
        <v>0.88670219427116725</v>
      </c>
      <c r="AV43" s="17"/>
      <c r="AW43" s="136">
        <f t="shared" si="72"/>
        <v>3.9227086528704991E-2</v>
      </c>
      <c r="AX43" s="17"/>
      <c r="AY43" s="27"/>
      <c r="AZ43" s="1041"/>
      <c r="BA43" s="1041"/>
    </row>
    <row r="44" spans="1:53">
      <c r="A44" s="6">
        <v>2.4511264302418567</v>
      </c>
      <c r="B44" s="534">
        <v>3.2933397359810788</v>
      </c>
      <c r="C44" s="136">
        <v>3.3038558959960938</v>
      </c>
      <c r="D44" s="135">
        <f t="shared" si="33"/>
        <v>5.7771648719251857E-4</v>
      </c>
      <c r="E44" s="135">
        <f t="shared" si="73"/>
        <v>0.22713069347543746</v>
      </c>
      <c r="F44" s="136">
        <f t="shared" si="34"/>
        <v>1.0516160015014986E-2</v>
      </c>
      <c r="G44" s="134">
        <f t="shared" si="28"/>
        <v>5.867175598223386E-8</v>
      </c>
      <c r="H44" s="134">
        <f t="shared" si="35"/>
        <v>-2.4222253401001703E-4</v>
      </c>
      <c r="I44" s="135">
        <f t="shared" si="36"/>
        <v>9.8052197477997885E-2</v>
      </c>
      <c r="J44" s="135">
        <f t="shared" si="37"/>
        <v>9.8294420012007902E-2</v>
      </c>
      <c r="K44" s="136">
        <f t="shared" si="38"/>
        <v>0.10917610026640662</v>
      </c>
      <c r="L44" s="136">
        <f t="shared" si="39"/>
        <v>0.89082389973359333</v>
      </c>
      <c r="M44" s="134">
        <f t="shared" si="40"/>
        <v>22277.843162487537</v>
      </c>
      <c r="N44" s="134">
        <f t="shared" si="41"/>
        <v>3036886.4059992009</v>
      </c>
      <c r="O44" s="134">
        <f t="shared" si="42"/>
        <v>1425418306.1322117</v>
      </c>
      <c r="P44" s="134">
        <f t="shared" si="43"/>
        <v>26.621571646924508</v>
      </c>
      <c r="Q44" s="134">
        <f t="shared" si="44"/>
        <v>1013246.6824794736</v>
      </c>
      <c r="R44" s="134">
        <f t="shared" si="45"/>
        <v>7490883225.6561403</v>
      </c>
      <c r="S44" s="134">
        <f t="shared" si="46"/>
        <v>1.0000000000448339</v>
      </c>
      <c r="T44" s="134">
        <f t="shared" si="47"/>
        <v>1.0000000000448339</v>
      </c>
      <c r="U44" s="134">
        <f t="shared" si="48"/>
        <v>2492331268835.8379</v>
      </c>
      <c r="V44" s="134">
        <f t="shared" si="49"/>
        <v>7490883225.6561403</v>
      </c>
      <c r="W44" s="19">
        <f t="shared" si="50"/>
        <v>2.3341769975778224</v>
      </c>
      <c r="X44" s="19">
        <f t="shared" si="51"/>
        <v>1.1145224767353441</v>
      </c>
      <c r="Y44" s="19">
        <f t="shared" si="52"/>
        <v>1.8494937820433246</v>
      </c>
      <c r="Z44" s="19">
        <f t="shared" si="53"/>
        <v>0.96243647770827512</v>
      </c>
      <c r="AA44" s="19">
        <f t="shared" si="54"/>
        <v>0.99999901307350192</v>
      </c>
      <c r="AB44" s="19">
        <f t="shared" si="55"/>
        <v>1.9990092505028525</v>
      </c>
      <c r="AC44" s="19">
        <f t="shared" si="56"/>
        <v>4.4833874162115867E-11</v>
      </c>
      <c r="AD44" s="19">
        <f t="shared" si="57"/>
        <v>4.483387410419681E-11</v>
      </c>
      <c r="AE44" s="19">
        <f t="shared" si="58"/>
        <v>0.99999999999959877</v>
      </c>
      <c r="AF44" s="19">
        <f t="shared" si="59"/>
        <v>1.9990092505028525</v>
      </c>
      <c r="AG44" s="134">
        <f t="shared" si="60"/>
        <v>8.0847355619729153E-3</v>
      </c>
      <c r="AH44" s="134">
        <f t="shared" si="61"/>
        <v>1.7901337869180084E-3</v>
      </c>
      <c r="AI44" s="134" t="str">
        <f t="shared" si="62"/>
        <v/>
      </c>
      <c r="AJ44" s="134" t="str">
        <f t="shared" si="63"/>
        <v/>
      </c>
      <c r="AK44" s="134" t="str">
        <f t="shared" si="64"/>
        <v/>
      </c>
      <c r="AL44" s="134" t="str">
        <f t="shared" si="65"/>
        <v/>
      </c>
      <c r="AM44" s="134" t="str">
        <f t="shared" si="66"/>
        <v/>
      </c>
      <c r="AN44" s="134" t="str">
        <f t="shared" si="74"/>
        <v/>
      </c>
      <c r="AO44" s="134">
        <f t="shared" si="67"/>
        <v>2.1902405517185226E-15</v>
      </c>
      <c r="AP44" s="134" t="str">
        <f t="shared" si="68"/>
        <v/>
      </c>
      <c r="AQ44" s="142">
        <f t="shared" si="69"/>
        <v>1.6240782907630875E-2</v>
      </c>
      <c r="AR44" s="134">
        <f t="shared" si="70"/>
        <v>1.6240782907630875E-2</v>
      </c>
      <c r="AS44" s="1042"/>
      <c r="AT44" s="468">
        <v>1.6240782907630882E-2</v>
      </c>
      <c r="AU44" s="143">
        <f t="shared" si="71"/>
        <v>0.88093832073079925</v>
      </c>
      <c r="AV44" s="17"/>
      <c r="AW44" s="136">
        <f t="shared" si="72"/>
        <v>1.0516160015014986E-2</v>
      </c>
      <c r="AX44" s="17"/>
      <c r="AY44" s="27"/>
      <c r="AZ44" s="1041"/>
      <c r="BA44" s="1041"/>
    </row>
    <row r="45" spans="1:53">
      <c r="A45" s="6">
        <v>3.1349450364359654</v>
      </c>
      <c r="B45" s="534">
        <v>3.4516660766305347</v>
      </c>
      <c r="C45" s="136">
        <v>3.4426345825195313</v>
      </c>
      <c r="D45" s="135">
        <f t="shared" si="33"/>
        <v>4.0372692437400261E-4</v>
      </c>
      <c r="E45" s="135">
        <f t="shared" si="73"/>
        <v>0.22572427870847189</v>
      </c>
      <c r="F45" s="136">
        <f t="shared" si="34"/>
        <v>-9.0314941110034574E-3</v>
      </c>
      <c r="G45" s="134">
        <f t="shared" si="28"/>
        <v>3.2725154558722638E-8</v>
      </c>
      <c r="H45" s="134">
        <f t="shared" si="35"/>
        <v>1.8090095234332693E-4</v>
      </c>
      <c r="I45" s="135">
        <f t="shared" si="36"/>
        <v>9.5153987998438938E-2</v>
      </c>
      <c r="J45" s="135">
        <f t="shared" si="37"/>
        <v>9.4973087046095611E-2</v>
      </c>
      <c r="K45" s="136">
        <f t="shared" si="38"/>
        <v>0.13550691525303563</v>
      </c>
      <c r="L45" s="136">
        <f t="shared" si="39"/>
        <v>0.8644930847469644</v>
      </c>
      <c r="M45" s="134">
        <f t="shared" si="40"/>
        <v>9214.3713934291955</v>
      </c>
      <c r="N45" s="134">
        <f t="shared" si="41"/>
        <v>2023762.2917954666</v>
      </c>
      <c r="O45" s="134">
        <f t="shared" si="42"/>
        <v>715950631.90931404</v>
      </c>
      <c r="P45" s="134">
        <f t="shared" si="43"/>
        <v>18.683984820718994</v>
      </c>
      <c r="Q45" s="134">
        <f t="shared" si="44"/>
        <v>708089.78072810639</v>
      </c>
      <c r="R45" s="134">
        <f t="shared" si="45"/>
        <v>3525950957.8353581</v>
      </c>
      <c r="S45" s="134">
        <f t="shared" si="46"/>
        <v>1.0000000000309444</v>
      </c>
      <c r="T45" s="134">
        <f t="shared" si="47"/>
        <v>1.0000000000309444</v>
      </c>
      <c r="U45" s="134">
        <f t="shared" si="48"/>
        <v>1720204713967.8364</v>
      </c>
      <c r="V45" s="134">
        <f t="shared" si="49"/>
        <v>3525950957.8353581</v>
      </c>
      <c r="W45" s="19">
        <f t="shared" si="50"/>
        <v>2.2297758692987855</v>
      </c>
      <c r="X45" s="19">
        <f t="shared" si="51"/>
        <v>1.0828906906590348</v>
      </c>
      <c r="Y45" s="19">
        <f t="shared" si="52"/>
        <v>1.7957371050068924</v>
      </c>
      <c r="Z45" s="19">
        <f t="shared" si="53"/>
        <v>0.94647822669545933</v>
      </c>
      <c r="AA45" s="19">
        <f t="shared" si="54"/>
        <v>0.9999985877497074</v>
      </c>
      <c r="AB45" s="19">
        <f t="shared" si="55"/>
        <v>1.9985651831842748</v>
      </c>
      <c r="AC45" s="19">
        <f t="shared" si="56"/>
        <v>3.0944287285089735E-11</v>
      </c>
      <c r="AD45" s="19">
        <f t="shared" si="57"/>
        <v>3.0944287265329935E-11</v>
      </c>
      <c r="AE45" s="19">
        <f t="shared" si="58"/>
        <v>0.99999999999941869</v>
      </c>
      <c r="AF45" s="19">
        <f t="shared" si="59"/>
        <v>1.9985651831842748</v>
      </c>
      <c r="AG45" s="134">
        <f t="shared" si="60"/>
        <v>9.3865234167827098E-3</v>
      </c>
      <c r="AH45" s="134">
        <f t="shared" si="61"/>
        <v>1.2573982739928265E-3</v>
      </c>
      <c r="AI45" s="134" t="str">
        <f t="shared" si="62"/>
        <v/>
      </c>
      <c r="AJ45" s="134" t="str">
        <f t="shared" si="63"/>
        <v/>
      </c>
      <c r="AK45" s="134" t="str">
        <f t="shared" si="64"/>
        <v/>
      </c>
      <c r="AL45" s="134" t="str">
        <f t="shared" si="65"/>
        <v/>
      </c>
      <c r="AM45" s="134" t="str">
        <f t="shared" si="66"/>
        <v/>
      </c>
      <c r="AN45" s="134" t="str">
        <f t="shared" si="74"/>
        <v/>
      </c>
      <c r="AO45" s="134">
        <f t="shared" si="67"/>
        <v>3.9386857317834694E-15</v>
      </c>
      <c r="AP45" s="134" t="str">
        <f t="shared" si="68"/>
        <v/>
      </c>
      <c r="AQ45" s="142">
        <f t="shared" si="69"/>
        <v>1.8221107091097463E-2</v>
      </c>
      <c r="AR45" s="134">
        <f t="shared" si="70"/>
        <v>1.8221107091097463E-2</v>
      </c>
      <c r="AS45" s="1042"/>
      <c r="AT45" s="468">
        <v>1.8221107091097477E-2</v>
      </c>
      <c r="AU45" s="143">
        <f t="shared" si="71"/>
        <v>0.87547996137163497</v>
      </c>
      <c r="AV45" s="17"/>
      <c r="AW45" s="136">
        <f t="shared" si="72"/>
        <v>-9.0314941110034574E-3</v>
      </c>
      <c r="AX45" s="17"/>
      <c r="AY45" s="27"/>
      <c r="AZ45" s="1041"/>
      <c r="BA45" s="1041"/>
    </row>
    <row r="46" spans="1:53">
      <c r="A46" s="6">
        <v>3.7547393163549714</v>
      </c>
      <c r="B46" s="534">
        <v>3.5879686920942295</v>
      </c>
      <c r="C46" s="136">
        <v>3.5813674926757813</v>
      </c>
      <c r="D46" s="135">
        <f t="shared" si="33"/>
        <v>2.9661056104558997E-4</v>
      </c>
      <c r="E46" s="135">
        <f t="shared" si="73"/>
        <v>0.19737749587873965</v>
      </c>
      <c r="F46" s="136">
        <f t="shared" si="34"/>
        <v>-6.6011994184482781E-3</v>
      </c>
      <c r="G46" s="134">
        <f t="shared" si="28"/>
        <v>1.3627485260408837E-8</v>
      </c>
      <c r="H46" s="134">
        <f t="shared" si="35"/>
        <v>1.1673682049982703E-4</v>
      </c>
      <c r="I46" s="135">
        <f t="shared" si="36"/>
        <v>9.2671287738608693E-2</v>
      </c>
      <c r="J46" s="135">
        <f t="shared" si="37"/>
        <v>9.2554550918108866E-2</v>
      </c>
      <c r="K46" s="136">
        <f t="shared" si="38"/>
        <v>0.15806274555788788</v>
      </c>
      <c r="L46" s="136">
        <f t="shared" si="39"/>
        <v>0.84193725444211209</v>
      </c>
      <c r="M46" s="134">
        <f t="shared" si="40"/>
        <v>4437.8481383154603</v>
      </c>
      <c r="N46" s="134">
        <f t="shared" si="41"/>
        <v>1438128.1845874875</v>
      </c>
      <c r="O46" s="134">
        <f t="shared" si="42"/>
        <v>402559760.37733662</v>
      </c>
      <c r="P46" s="134">
        <f t="shared" si="43"/>
        <v>13.849197527177932</v>
      </c>
      <c r="Q46" s="134">
        <f t="shared" si="44"/>
        <v>520220.47965820559</v>
      </c>
      <c r="R46" s="134">
        <f t="shared" si="45"/>
        <v>1842041415.2371655</v>
      </c>
      <c r="S46" s="134">
        <f t="shared" si="46"/>
        <v>1.0000000000224842</v>
      </c>
      <c r="T46" s="134">
        <f t="shared" si="47"/>
        <v>1.0000000000224842</v>
      </c>
      <c r="U46" s="134">
        <f t="shared" si="48"/>
        <v>1249902122233.4158</v>
      </c>
      <c r="V46" s="134">
        <f t="shared" si="49"/>
        <v>1842041415.2371655</v>
      </c>
      <c r="W46" s="19">
        <f t="shared" si="50"/>
        <v>2.1421342306263673</v>
      </c>
      <c r="X46" s="19">
        <f t="shared" si="51"/>
        <v>1.0622673191836469</v>
      </c>
      <c r="Y46" s="19">
        <f t="shared" si="52"/>
        <v>1.7389431773238044</v>
      </c>
      <c r="Z46" s="19">
        <f t="shared" si="53"/>
        <v>0.92779365027918903</v>
      </c>
      <c r="AA46" s="19">
        <f t="shared" si="54"/>
        <v>0.99999807773811467</v>
      </c>
      <c r="AB46" s="19">
        <f t="shared" si="55"/>
        <v>1.9980263676771988</v>
      </c>
      <c r="AC46" s="19">
        <f t="shared" si="56"/>
        <v>2.2484139089803126E-11</v>
      </c>
      <c r="AD46" s="19">
        <f t="shared" si="57"/>
        <v>2.2484139081969186E-11</v>
      </c>
      <c r="AE46" s="19">
        <f t="shared" si="58"/>
        <v>0.99999999999919997</v>
      </c>
      <c r="AF46" s="19">
        <f t="shared" si="59"/>
        <v>1.9980263676771988</v>
      </c>
      <c r="AG46" s="134">
        <f t="shared" si="60"/>
        <v>1.0562204294594504E-2</v>
      </c>
      <c r="AH46" s="134">
        <f t="shared" si="61"/>
        <v>9.1991985991656108E-4</v>
      </c>
      <c r="AI46" s="134" t="str">
        <f t="shared" si="62"/>
        <v/>
      </c>
      <c r="AJ46" s="134" t="str">
        <f t="shared" si="63"/>
        <v/>
      </c>
      <c r="AK46" s="134" t="str">
        <f t="shared" si="64"/>
        <v/>
      </c>
      <c r="AL46" s="134" t="str">
        <f t="shared" si="65"/>
        <v/>
      </c>
      <c r="AM46" s="134" t="str">
        <f t="shared" si="66"/>
        <v/>
      </c>
      <c r="AN46" s="134" t="str">
        <f t="shared" si="74"/>
        <v/>
      </c>
      <c r="AO46" s="134">
        <f t="shared" si="67"/>
        <v>6.3230049275958465E-15</v>
      </c>
      <c r="AP46" s="134" t="str">
        <f t="shared" si="68"/>
        <v/>
      </c>
      <c r="AQ46" s="142">
        <f t="shared" si="69"/>
        <v>2.0117888680769851E-2</v>
      </c>
      <c r="AR46" s="134">
        <f t="shared" si="70"/>
        <v>2.0117888680769851E-2</v>
      </c>
      <c r="AS46" s="1042"/>
      <c r="AT46" s="468">
        <v>2.0117888680769871E-2</v>
      </c>
      <c r="AU46" s="143">
        <f t="shared" si="71"/>
        <v>0.87065219158023777</v>
      </c>
      <c r="AV46" s="17"/>
      <c r="AW46" s="136">
        <f t="shared" si="72"/>
        <v>-6.6011994184482781E-3</v>
      </c>
      <c r="AX46" s="17"/>
      <c r="AY46" s="27"/>
      <c r="AZ46" s="1041"/>
      <c r="BA46" s="1041"/>
    </row>
    <row r="47" spans="1:53">
      <c r="A47" s="6">
        <v>4.3231222967733629</v>
      </c>
      <c r="B47" s="534">
        <v>3.6873442574627857</v>
      </c>
      <c r="C47" s="136">
        <v>3.7205734252929688</v>
      </c>
      <c r="D47" s="135">
        <f t="shared" si="33"/>
        <v>2.3699001688608801E-4</v>
      </c>
      <c r="E47" s="135">
        <f t="shared" si="73"/>
        <v>0.24702101495004952</v>
      </c>
      <c r="F47" s="136">
        <f t="shared" si="34"/>
        <v>3.3229167830183037E-2</v>
      </c>
      <c r="G47" s="134">
        <f t="shared" si="28"/>
        <v>2.858077394889765E-7</v>
      </c>
      <c r="H47" s="134">
        <f t="shared" si="35"/>
        <v>-5.3460989467926656E-4</v>
      </c>
      <c r="I47" s="135">
        <f t="shared" si="36"/>
        <v>9.0505744101512881E-2</v>
      </c>
      <c r="J47" s="135">
        <f t="shared" si="37"/>
        <v>9.1040353996192147E-2</v>
      </c>
      <c r="K47" s="136">
        <f t="shared" si="38"/>
        <v>0.17773714427061266</v>
      </c>
      <c r="L47" s="136">
        <f t="shared" si="39"/>
        <v>0.82226285572938729</v>
      </c>
      <c r="M47" s="134">
        <f t="shared" si="40"/>
        <v>2643.5427458699478</v>
      </c>
      <c r="N47" s="134">
        <f t="shared" si="41"/>
        <v>1124690.5910565162</v>
      </c>
      <c r="O47" s="134">
        <f t="shared" si="42"/>
        <v>267428915.15585458</v>
      </c>
      <c r="P47" s="134">
        <f t="shared" si="43"/>
        <v>11.176101571159389</v>
      </c>
      <c r="Q47" s="134">
        <f t="shared" si="44"/>
        <v>415653.16974765941</v>
      </c>
      <c r="R47" s="134">
        <f t="shared" si="45"/>
        <v>1145769691.0081758</v>
      </c>
      <c r="S47" s="134">
        <f t="shared" si="46"/>
        <v>1.0000000000178066</v>
      </c>
      <c r="T47" s="134">
        <f t="shared" si="47"/>
        <v>1.0000000000178066</v>
      </c>
      <c r="U47" s="134">
        <f t="shared" si="48"/>
        <v>989877455222.76917</v>
      </c>
      <c r="V47" s="134">
        <f t="shared" si="49"/>
        <v>1145769691.0081758</v>
      </c>
      <c r="W47" s="19">
        <f t="shared" si="50"/>
        <v>2.079225686305918</v>
      </c>
      <c r="X47" s="19">
        <f t="shared" si="51"/>
        <v>1.0503814611648428</v>
      </c>
      <c r="Y47" s="19">
        <f t="shared" si="52"/>
        <v>1.6915218111584465</v>
      </c>
      <c r="Z47" s="19">
        <f t="shared" si="53"/>
        <v>0.91052336151090818</v>
      </c>
      <c r="AA47" s="19">
        <f t="shared" si="54"/>
        <v>0.99999759414802347</v>
      </c>
      <c r="AB47" s="19">
        <f t="shared" si="55"/>
        <v>1.9975092175955314</v>
      </c>
      <c r="AC47" s="19">
        <f t="shared" si="56"/>
        <v>1.780662608106092E-11</v>
      </c>
      <c r="AD47" s="19">
        <f t="shared" si="57"/>
        <v>1.7806626077065573E-11</v>
      </c>
      <c r="AE47" s="19">
        <f t="shared" si="58"/>
        <v>0.99999999999898981</v>
      </c>
      <c r="AF47" s="19">
        <f t="shared" si="59"/>
        <v>1.9975092175955314</v>
      </c>
      <c r="AG47" s="134">
        <f t="shared" si="60"/>
        <v>1.1426934802027239E-2</v>
      </c>
      <c r="AH47" s="134">
        <f t="shared" si="61"/>
        <v>7.269376451173997E-4</v>
      </c>
      <c r="AI47" s="134" t="str">
        <f t="shared" si="62"/>
        <v/>
      </c>
      <c r="AJ47" s="134" t="str">
        <f t="shared" si="63"/>
        <v/>
      </c>
      <c r="AK47" s="134" t="str">
        <f t="shared" si="64"/>
        <v/>
      </c>
      <c r="AL47" s="134" t="str">
        <f t="shared" si="65"/>
        <v/>
      </c>
      <c r="AM47" s="134" t="str">
        <f t="shared" si="66"/>
        <v/>
      </c>
      <c r="AN47" s="134" t="str">
        <f t="shared" si="74"/>
        <v/>
      </c>
      <c r="AO47" s="134">
        <f t="shared" si="67"/>
        <v>8.9777347353876967E-15</v>
      </c>
      <c r="AP47" s="134" t="str">
        <f t="shared" si="68"/>
        <v/>
      </c>
      <c r="AQ47" s="142">
        <f t="shared" si="69"/>
        <v>2.1729892202329563E-2</v>
      </c>
      <c r="AR47" s="134">
        <f t="shared" si="70"/>
        <v>2.1729892202329563E-2</v>
      </c>
      <c r="AS47" s="1042"/>
      <c r="AT47" s="468">
        <v>2.1729892202329605E-2</v>
      </c>
      <c r="AU47" s="143">
        <f t="shared" si="71"/>
        <v>0.86681354811079847</v>
      </c>
      <c r="AV47" s="17"/>
      <c r="AW47" s="136">
        <f t="shared" si="72"/>
        <v>3.3229167830183037E-2</v>
      </c>
      <c r="AX47" s="17"/>
      <c r="AY47" s="27"/>
      <c r="AZ47" s="1041"/>
      <c r="BA47" s="1041"/>
    </row>
    <row r="48" spans="1:53">
      <c r="A48" s="6">
        <v>4.8577314577414654</v>
      </c>
      <c r="B48" s="534">
        <v>3.8579930711773232</v>
      </c>
      <c r="C48" s="136">
        <v>3.8588485717773438</v>
      </c>
      <c r="D48" s="135">
        <f t="shared" si="33"/>
        <v>1.6099599477750664E-4</v>
      </c>
      <c r="E48" s="135">
        <f t="shared" si="73"/>
        <v>0.29863770306023651</v>
      </c>
      <c r="F48" s="136">
        <f t="shared" si="34"/>
        <v>8.555006000205978E-4</v>
      </c>
      <c r="G48" s="134">
        <f t="shared" si="28"/>
        <v>1.6011150236660857E-10</v>
      </c>
      <c r="H48" s="134">
        <f t="shared" si="35"/>
        <v>-1.2653517391089664E-5</v>
      </c>
      <c r="I48" s="135">
        <f t="shared" si="36"/>
        <v>8.8559259161840931E-2</v>
      </c>
      <c r="J48" s="135">
        <f t="shared" si="37"/>
        <v>8.857191267923202E-2</v>
      </c>
      <c r="K48" s="136">
        <f t="shared" si="38"/>
        <v>0.19542135073748323</v>
      </c>
      <c r="L48" s="136">
        <f t="shared" si="39"/>
        <v>0.80457864926251677</v>
      </c>
      <c r="M48" s="134">
        <f t="shared" si="40"/>
        <v>1135.5268039372511</v>
      </c>
      <c r="N48" s="134">
        <f t="shared" si="41"/>
        <v>742295.70509116538</v>
      </c>
      <c r="O48" s="134">
        <f t="shared" si="42"/>
        <v>136831902.80711013</v>
      </c>
      <c r="P48" s="134">
        <f t="shared" si="43"/>
        <v>7.8265108646780188</v>
      </c>
      <c r="Q48" s="134">
        <f t="shared" si="44"/>
        <v>282368.73611488688</v>
      </c>
      <c r="R48" s="134">
        <f t="shared" si="45"/>
        <v>509794119.65451956</v>
      </c>
      <c r="S48" s="134">
        <f t="shared" si="46"/>
        <v>1.0000000000119453</v>
      </c>
      <c r="T48" s="134">
        <f t="shared" si="47"/>
        <v>1.0000000000119453</v>
      </c>
      <c r="U48" s="134">
        <f t="shared" si="48"/>
        <v>664046949170.8822</v>
      </c>
      <c r="V48" s="134">
        <f t="shared" si="49"/>
        <v>509794119.65451956</v>
      </c>
      <c r="W48" s="19">
        <f t="shared" si="50"/>
        <v>1.9722855779684034</v>
      </c>
      <c r="X48" s="19">
        <f t="shared" si="51"/>
        <v>1.0347872494755006</v>
      </c>
      <c r="Y48" s="19">
        <f t="shared" si="52"/>
        <v>1.6006118738045969</v>
      </c>
      <c r="Z48" s="19">
        <f t="shared" si="53"/>
        <v>0.8722291430638498</v>
      </c>
      <c r="AA48" s="19">
        <f t="shared" si="54"/>
        <v>0.99999645853144448</v>
      </c>
      <c r="AB48" s="19">
        <f t="shared" si="55"/>
        <v>1.9962915866366819</v>
      </c>
      <c r="AC48" s="19">
        <f t="shared" si="56"/>
        <v>1.1945351278832944E-11</v>
      </c>
      <c r="AD48" s="19">
        <f t="shared" si="57"/>
        <v>1.1945351277580565E-11</v>
      </c>
      <c r="AE48" s="19">
        <f t="shared" si="58"/>
        <v>0.99999999999849409</v>
      </c>
      <c r="AF48" s="19">
        <f t="shared" si="59"/>
        <v>1.9962915866366819</v>
      </c>
      <c r="AG48" s="134">
        <f t="shared" si="60"/>
        <v>1.3281380592527479E-2</v>
      </c>
      <c r="AH48" s="134">
        <f t="shared" si="61"/>
        <v>4.9115959356450844E-4</v>
      </c>
      <c r="AI48" s="134" t="str">
        <f t="shared" si="62"/>
        <v/>
      </c>
      <c r="AJ48" s="134" t="str">
        <f t="shared" si="63"/>
        <v/>
      </c>
      <c r="AK48" s="134" t="str">
        <f t="shared" si="64"/>
        <v/>
      </c>
      <c r="AL48" s="134" t="str">
        <f t="shared" si="65"/>
        <v/>
      </c>
      <c r="AM48" s="134" t="str">
        <f t="shared" si="66"/>
        <v/>
      </c>
      <c r="AN48" s="134" t="str">
        <f t="shared" si="74"/>
        <v/>
      </c>
      <c r="AO48" s="134">
        <f t="shared" si="67"/>
        <v>1.4714422751394541E-14</v>
      </c>
      <c r="AP48" s="134" t="str">
        <f t="shared" si="68"/>
        <v/>
      </c>
      <c r="AQ48" s="142">
        <f t="shared" si="69"/>
        <v>2.4182500061601293E-2</v>
      </c>
      <c r="AR48" s="134">
        <f t="shared" si="70"/>
        <v>2.4182500061601293E-2</v>
      </c>
      <c r="AS48" s="1042"/>
      <c r="AT48" s="468">
        <v>2.4182500061601414E-2</v>
      </c>
      <c r="AU48" s="143">
        <f t="shared" si="71"/>
        <v>0.86137419477422594</v>
      </c>
      <c r="AV48" s="17"/>
      <c r="AW48" s="136">
        <f t="shared" si="72"/>
        <v>8.555006000205978E-4</v>
      </c>
      <c r="AX48" s="17"/>
      <c r="AY48" s="27"/>
      <c r="AZ48" s="1041"/>
      <c r="BA48" s="1041"/>
    </row>
    <row r="49" spans="1:53">
      <c r="A49" s="6">
        <v>5.3776574277435429</v>
      </c>
      <c r="B49" s="534">
        <v>4.0025701700123921</v>
      </c>
      <c r="C49" s="136">
        <v>3.9975051879882813</v>
      </c>
      <c r="D49" s="135">
        <f t="shared" si="33"/>
        <v>1.1607844058406663E-4</v>
      </c>
      <c r="E49" s="135">
        <f t="shared" si="73"/>
        <v>0.2576760924357373</v>
      </c>
      <c r="F49" s="136">
        <f t="shared" si="34"/>
        <v>-5.0649820241108756E-3</v>
      </c>
      <c r="G49" s="134">
        <f t="shared" si="28"/>
        <v>5.2014115787262756E-9</v>
      </c>
      <c r="H49" s="134">
        <f t="shared" si="35"/>
        <v>7.2120812382600596E-5</v>
      </c>
      <c r="I49" s="135">
        <f t="shared" si="36"/>
        <v>8.6744897105237209E-2</v>
      </c>
      <c r="J49" s="135">
        <f t="shared" si="37"/>
        <v>8.6672776292854609E-2</v>
      </c>
      <c r="K49" s="136">
        <f t="shared" si="38"/>
        <v>0.21190519428576343</v>
      </c>
      <c r="L49" s="136">
        <f t="shared" si="39"/>
        <v>0.78809480571423651</v>
      </c>
      <c r="M49" s="134">
        <f t="shared" si="40"/>
        <v>572.37602642851914</v>
      </c>
      <c r="N49" s="134">
        <f t="shared" si="41"/>
        <v>523902.73516013211</v>
      </c>
      <c r="O49" s="134">
        <f t="shared" si="42"/>
        <v>79764478.830318809</v>
      </c>
      <c r="P49" s="134">
        <f t="shared" si="43"/>
        <v>5.8652828638129186</v>
      </c>
      <c r="Q49" s="134">
        <f t="shared" si="44"/>
        <v>203588.71362459182</v>
      </c>
      <c r="R49" s="134">
        <f t="shared" si="45"/>
        <v>256350985.91911548</v>
      </c>
      <c r="S49" s="134">
        <f t="shared" si="46"/>
        <v>1.0000000000085134</v>
      </c>
      <c r="T49" s="134">
        <f t="shared" si="47"/>
        <v>1.0000000000085134</v>
      </c>
      <c r="U49" s="134">
        <f t="shared" si="48"/>
        <v>473269039867.36511</v>
      </c>
      <c r="V49" s="134">
        <f t="shared" si="49"/>
        <v>256350985.91911548</v>
      </c>
      <c r="W49" s="19">
        <f t="shared" si="50"/>
        <v>1.879355260485988</v>
      </c>
      <c r="X49" s="19">
        <f t="shared" si="51"/>
        <v>1.0253265634496083</v>
      </c>
      <c r="Y49" s="19">
        <f t="shared" si="52"/>
        <v>1.5173246553907556</v>
      </c>
      <c r="Z49" s="19">
        <f t="shared" si="53"/>
        <v>0.82950523901077167</v>
      </c>
      <c r="AA49" s="19">
        <f t="shared" si="54"/>
        <v>0.99999508813635984</v>
      </c>
      <c r="AB49" s="19">
        <f t="shared" si="55"/>
        <v>1.9948044648808967</v>
      </c>
      <c r="AC49" s="19">
        <f t="shared" si="56"/>
        <v>8.5135010853295995E-12</v>
      </c>
      <c r="AD49" s="19">
        <f t="shared" si="57"/>
        <v>8.513501084860244E-12</v>
      </c>
      <c r="AE49" s="19">
        <f t="shared" si="58"/>
        <v>0.99999999999788702</v>
      </c>
      <c r="AF49" s="19">
        <f t="shared" si="59"/>
        <v>1.9948044648808967</v>
      </c>
      <c r="AG49" s="134">
        <f t="shared" si="60"/>
        <v>1.5058460876060746E-2</v>
      </c>
      <c r="AH49" s="134">
        <f t="shared" si="61"/>
        <v>3.502842308476244E-4</v>
      </c>
      <c r="AI49" s="134" t="str">
        <f t="shared" si="62"/>
        <v/>
      </c>
      <c r="AJ49" s="134" t="str">
        <f t="shared" si="63"/>
        <v/>
      </c>
      <c r="AK49" s="134" t="str">
        <f t="shared" si="64"/>
        <v/>
      </c>
      <c r="AL49" s="134" t="str">
        <f t="shared" si="65"/>
        <v/>
      </c>
      <c r="AM49" s="134" t="str">
        <f t="shared" si="66"/>
        <v/>
      </c>
      <c r="AN49" s="134" t="str">
        <f t="shared" si="74"/>
        <v/>
      </c>
      <c r="AO49" s="134">
        <f t="shared" si="67"/>
        <v>2.2387392416916859E-14</v>
      </c>
      <c r="AP49" s="134" t="str">
        <f t="shared" si="68"/>
        <v/>
      </c>
      <c r="AQ49" s="142">
        <f t="shared" si="69"/>
        <v>2.6608998270635065E-2</v>
      </c>
      <c r="AR49" s="134">
        <f t="shared" si="70"/>
        <v>2.6608998270635065E-2</v>
      </c>
      <c r="AS49" s="1042"/>
      <c r="AT49" s="468">
        <v>2.6608998270635391E-2</v>
      </c>
      <c r="AU49" s="143">
        <f t="shared" si="71"/>
        <v>0.85640316747662326</v>
      </c>
      <c r="AV49" s="17"/>
      <c r="AW49" s="136">
        <f t="shared" si="72"/>
        <v>-5.0649820241108756E-3</v>
      </c>
      <c r="AX49" s="17"/>
      <c r="AY49" s="27"/>
      <c r="AZ49" s="1041"/>
      <c r="BA49" s="1041"/>
    </row>
    <row r="50" spans="1:53">
      <c r="A50" s="6">
        <v>5.8992317426600493</v>
      </c>
      <c r="B50" s="534">
        <v>4.126329174600178</v>
      </c>
      <c r="C50" s="136">
        <v>4.1369247436523438</v>
      </c>
      <c r="D50" s="135">
        <f t="shared" si="33"/>
        <v>8.7755099590879654E-5</v>
      </c>
      <c r="E50" s="135">
        <f t="shared" si="73"/>
        <v>0.27261102838781448</v>
      </c>
      <c r="F50" s="136">
        <f t="shared" si="34"/>
        <v>1.0595569052165743E-2</v>
      </c>
      <c r="G50" s="134">
        <f t="shared" si="28"/>
        <v>2.2159936607400687E-8</v>
      </c>
      <c r="H50" s="134">
        <f t="shared" si="35"/>
        <v>-1.4886213960373096E-4</v>
      </c>
      <c r="I50" s="135">
        <f t="shared" si="36"/>
        <v>8.4997976164503539E-2</v>
      </c>
      <c r="J50" s="135">
        <f t="shared" si="37"/>
        <v>8.514683830410727E-2</v>
      </c>
      <c r="K50" s="136">
        <f t="shared" si="38"/>
        <v>0.22777632175641335</v>
      </c>
      <c r="L50" s="136">
        <f t="shared" si="39"/>
        <v>0.77222367824358662</v>
      </c>
      <c r="M50" s="134">
        <f t="shared" si="40"/>
        <v>326.1346639002432</v>
      </c>
      <c r="N50" s="134">
        <f t="shared" si="41"/>
        <v>389511.05480021395</v>
      </c>
      <c r="O50" s="134">
        <f t="shared" si="42"/>
        <v>51353995.906198181</v>
      </c>
      <c r="P50" s="134">
        <f t="shared" si="43"/>
        <v>4.6397309979009265</v>
      </c>
      <c r="Q50" s="134">
        <f t="shared" si="44"/>
        <v>153912.9581096257</v>
      </c>
      <c r="R50" s="134">
        <f t="shared" si="45"/>
        <v>142218753.74741644</v>
      </c>
      <c r="S50" s="134">
        <f t="shared" si="46"/>
        <v>1.0000000000063689</v>
      </c>
      <c r="T50" s="134">
        <f t="shared" si="47"/>
        <v>1.0000000000063689</v>
      </c>
      <c r="U50" s="134">
        <f t="shared" si="48"/>
        <v>354053822351.30841</v>
      </c>
      <c r="V50" s="134">
        <f t="shared" si="49"/>
        <v>142218753.74741644</v>
      </c>
      <c r="W50" s="19">
        <f t="shared" si="50"/>
        <v>1.7962237243930503</v>
      </c>
      <c r="X50" s="19">
        <f t="shared" si="51"/>
        <v>1.0192647771864989</v>
      </c>
      <c r="Y50" s="19">
        <f t="shared" si="52"/>
        <v>1.4450012568054045</v>
      </c>
      <c r="Z50" s="19">
        <f t="shared" si="53"/>
        <v>0.78447026337250747</v>
      </c>
      <c r="AA50" s="19">
        <f t="shared" si="54"/>
        <v>0.9999935028212551</v>
      </c>
      <c r="AB50" s="19">
        <f t="shared" si="55"/>
        <v>1.9930671752257405</v>
      </c>
      <c r="AC50" s="19">
        <f t="shared" si="56"/>
        <v>6.368972352143083E-12</v>
      </c>
      <c r="AD50" s="19">
        <f t="shared" si="57"/>
        <v>6.3689723519402986E-12</v>
      </c>
      <c r="AE50" s="19">
        <f t="shared" si="58"/>
        <v>0.99999999999717559</v>
      </c>
      <c r="AF50" s="19">
        <f t="shared" si="59"/>
        <v>1.9930671752257405</v>
      </c>
      <c r="AG50" s="134">
        <f t="shared" si="60"/>
        <v>1.6731206307443996E-2</v>
      </c>
      <c r="AH50" s="134">
        <f t="shared" si="61"/>
        <v>2.6110984183236991E-4</v>
      </c>
      <c r="AI50" s="134" t="str">
        <f t="shared" si="62"/>
        <v/>
      </c>
      <c r="AJ50" s="134" t="str">
        <f t="shared" si="63"/>
        <v/>
      </c>
      <c r="AK50" s="134" t="str">
        <f t="shared" si="64"/>
        <v/>
      </c>
      <c r="AL50" s="134" t="str">
        <f t="shared" si="65"/>
        <v/>
      </c>
      <c r="AM50" s="134" t="str">
        <f t="shared" si="66"/>
        <v/>
      </c>
      <c r="AN50" s="134" t="str">
        <f t="shared" si="74"/>
        <v/>
      </c>
      <c r="AO50" s="134">
        <f t="shared" si="67"/>
        <v>3.2166906184450578E-14</v>
      </c>
      <c r="AP50" s="134" t="str">
        <f t="shared" si="68"/>
        <v/>
      </c>
      <c r="AQ50" s="142">
        <f t="shared" si="69"/>
        <v>2.8960949144521866E-2</v>
      </c>
      <c r="AR50" s="134">
        <f t="shared" si="70"/>
        <v>2.8960949144521866E-2</v>
      </c>
      <c r="AS50" s="1042"/>
      <c r="AT50" s="468">
        <v>2.8960949144522501E-2</v>
      </c>
      <c r="AU50" s="143">
        <f t="shared" si="71"/>
        <v>0.85191930940440397</v>
      </c>
      <c r="AV50" s="17"/>
      <c r="AW50" s="136">
        <f t="shared" si="72"/>
        <v>1.0595569052165743E-2</v>
      </c>
      <c r="AX50" s="17"/>
      <c r="AY50" s="27"/>
      <c r="AZ50" s="1041"/>
      <c r="BA50" s="1041"/>
    </row>
    <row r="51" spans="1:53">
      <c r="A51" s="6">
        <v>6.4320653895265423</v>
      </c>
      <c r="B51" s="534">
        <v>4.2904112158044843</v>
      </c>
      <c r="C51" s="136">
        <v>4.2750167846679688</v>
      </c>
      <c r="D51" s="135">
        <f t="shared" si="33"/>
        <v>6.0552287962491985E-5</v>
      </c>
      <c r="E51" s="135">
        <f t="shared" si="73"/>
        <v>0.26303553612373054</v>
      </c>
      <c r="F51" s="136">
        <f t="shared" si="34"/>
        <v>-1.5394431136515507E-2</v>
      </c>
      <c r="G51" s="134">
        <f t="shared" si="28"/>
        <v>4.6887116605979929E-8</v>
      </c>
      <c r="H51" s="134">
        <f t="shared" si="35"/>
        <v>2.1653433124098342E-4</v>
      </c>
      <c r="I51" s="135">
        <f t="shared" si="36"/>
        <v>8.328453527562206E-2</v>
      </c>
      <c r="J51" s="135">
        <f t="shared" si="37"/>
        <v>8.3068000944381076E-2</v>
      </c>
      <c r="K51" s="136">
        <f t="shared" si="38"/>
        <v>0.24334327623429639</v>
      </c>
      <c r="L51" s="136">
        <f t="shared" si="39"/>
        <v>0.75665672376570359</v>
      </c>
      <c r="M51" s="134">
        <f t="shared" si="40"/>
        <v>161.13339084406834</v>
      </c>
      <c r="N51" s="134">
        <f t="shared" si="41"/>
        <v>263570.25336897175</v>
      </c>
      <c r="O51" s="134">
        <f t="shared" si="42"/>
        <v>29588404.086176075</v>
      </c>
      <c r="P51" s="134">
        <f t="shared" si="43"/>
        <v>3.4776902442337394</v>
      </c>
      <c r="Q51" s="134">
        <f t="shared" si="44"/>
        <v>106202.47719932225</v>
      </c>
      <c r="R51" s="134">
        <f t="shared" si="45"/>
        <v>65229141.995767377</v>
      </c>
      <c r="S51" s="134">
        <f t="shared" si="46"/>
        <v>1.0000000000043356</v>
      </c>
      <c r="T51" s="134">
        <f t="shared" si="47"/>
        <v>1.0000000000043356</v>
      </c>
      <c r="U51" s="134">
        <f t="shared" si="48"/>
        <v>241016630646.76367</v>
      </c>
      <c r="V51" s="134">
        <f t="shared" si="49"/>
        <v>65229141.995767377</v>
      </c>
      <c r="W51" s="19">
        <f t="shared" si="50"/>
        <v>1.6800569798774798</v>
      </c>
      <c r="X51" s="19">
        <f t="shared" si="51"/>
        <v>1.0133708174037104</v>
      </c>
      <c r="Y51" s="19">
        <f t="shared" si="52"/>
        <v>1.3530928246359704</v>
      </c>
      <c r="Z51" s="19">
        <f t="shared" si="53"/>
        <v>0.71245282651090847</v>
      </c>
      <c r="AA51" s="19">
        <f t="shared" si="54"/>
        <v>0.99999058402377827</v>
      </c>
      <c r="AB51" s="19">
        <f t="shared" si="55"/>
        <v>1.9898486661718253</v>
      </c>
      <c r="AC51" s="19">
        <f t="shared" si="56"/>
        <v>4.3355785944161859E-12</v>
      </c>
      <c r="AD51" s="19">
        <f t="shared" si="57"/>
        <v>4.3355785943495696E-12</v>
      </c>
      <c r="AE51" s="19">
        <f t="shared" si="58"/>
        <v>0.99999999999585087</v>
      </c>
      <c r="AF51" s="19">
        <f t="shared" si="59"/>
        <v>1.9898486661718253</v>
      </c>
      <c r="AG51" s="134">
        <f t="shared" si="60"/>
        <v>1.932073423777194E-2</v>
      </c>
      <c r="AH51" s="134">
        <f t="shared" si="61"/>
        <v>1.7762482028895135E-4</v>
      </c>
      <c r="AI51" s="134" t="str">
        <f t="shared" si="62"/>
        <v/>
      </c>
      <c r="AJ51" s="134" t="str">
        <f t="shared" si="63"/>
        <v/>
      </c>
      <c r="AK51" s="134" t="str">
        <f t="shared" si="64"/>
        <v/>
      </c>
      <c r="AL51" s="134" t="str">
        <f t="shared" si="65"/>
        <v/>
      </c>
      <c r="AM51" s="134" t="str">
        <f t="shared" si="66"/>
        <v/>
      </c>
      <c r="AN51" s="134" t="str">
        <f t="shared" si="74"/>
        <v/>
      </c>
      <c r="AO51" s="134">
        <f t="shared" si="67"/>
        <v>5.0482673245677951E-14</v>
      </c>
      <c r="AP51" s="134" t="str">
        <f t="shared" si="68"/>
        <v/>
      </c>
      <c r="AQ51" s="142">
        <f t="shared" si="69"/>
        <v>3.2220934619401675E-2</v>
      </c>
      <c r="AR51" s="134">
        <f t="shared" si="70"/>
        <v>3.2220934619401675E-2</v>
      </c>
      <c r="AS51" s="1042"/>
      <c r="AT51" s="468">
        <v>3.2220934619402987E-2</v>
      </c>
      <c r="AU51" s="143">
        <f t="shared" si="71"/>
        <v>0.8461711744475614</v>
      </c>
      <c r="AV51" s="17"/>
      <c r="AW51" s="136">
        <f t="shared" si="72"/>
        <v>-1.5394431136515507E-2</v>
      </c>
      <c r="AX51" s="17"/>
      <c r="AY51" s="27"/>
      <c r="AZ51" s="1041"/>
      <c r="BA51" s="1041"/>
    </row>
    <row r="52" spans="1:53">
      <c r="A52" s="6">
        <v>6.9767121531185694</v>
      </c>
      <c r="B52" s="534">
        <v>4.4092143226863287</v>
      </c>
      <c r="C52" s="136">
        <v>4.4148788452148438</v>
      </c>
      <c r="D52" s="135">
        <f t="shared" si="33"/>
        <v>4.6294698469667576E-5</v>
      </c>
      <c r="E52" s="135">
        <f t="shared" si="73"/>
        <v>0.22015720444589365</v>
      </c>
      <c r="F52" s="136">
        <f t="shared" si="34"/>
        <v>5.6645225285150147E-3</v>
      </c>
      <c r="G52" s="134">
        <f t="shared" si="28"/>
        <v>6.2407644578504325E-9</v>
      </c>
      <c r="H52" s="134">
        <f t="shared" si="35"/>
        <v>-7.8998509212835355E-5</v>
      </c>
      <c r="I52" s="135">
        <f t="shared" si="36"/>
        <v>8.1603060812104472E-2</v>
      </c>
      <c r="J52" s="135">
        <f t="shared" si="37"/>
        <v>8.1682059321317307E-2</v>
      </c>
      <c r="K52" s="136">
        <f t="shared" si="38"/>
        <v>0.25861980931994505</v>
      </c>
      <c r="L52" s="136">
        <f t="shared" si="39"/>
        <v>0.7413801906800549</v>
      </c>
      <c r="M52" s="134">
        <f t="shared" si="40"/>
        <v>99.481414167847305</v>
      </c>
      <c r="N52" s="134">
        <f t="shared" si="41"/>
        <v>198847.52145688375</v>
      </c>
      <c r="O52" s="134">
        <f t="shared" si="42"/>
        <v>20263638.707003966</v>
      </c>
      <c r="P52" s="134">
        <f t="shared" si="43"/>
        <v>2.8751676190041744</v>
      </c>
      <c r="Q52" s="134">
        <f t="shared" si="44"/>
        <v>81196.368984593573</v>
      </c>
      <c r="R52" s="134">
        <f t="shared" si="45"/>
        <v>37105175.500466958</v>
      </c>
      <c r="S52" s="134">
        <f t="shared" si="46"/>
        <v>1.0000000000032812</v>
      </c>
      <c r="T52" s="134">
        <f t="shared" si="47"/>
        <v>1.0000000000032812</v>
      </c>
      <c r="U52" s="134">
        <f t="shared" si="48"/>
        <v>182406409551.27695</v>
      </c>
      <c r="V52" s="134">
        <f t="shared" si="49"/>
        <v>37105175.500466958</v>
      </c>
      <c r="W52" s="19">
        <f t="shared" si="50"/>
        <v>1.5918712078966932</v>
      </c>
      <c r="X52" s="19">
        <f t="shared" si="51"/>
        <v>1.0102526988717915</v>
      </c>
      <c r="Y52" s="19">
        <f t="shared" si="52"/>
        <v>1.2923287422242762</v>
      </c>
      <c r="Z52" s="19">
        <f t="shared" si="53"/>
        <v>0.65219419090899688</v>
      </c>
      <c r="AA52" s="19">
        <f t="shared" si="54"/>
        <v>0.99998768417833817</v>
      </c>
      <c r="AB52" s="19">
        <f t="shared" si="55"/>
        <v>1.9866304684384037</v>
      </c>
      <c r="AC52" s="19">
        <f t="shared" si="56"/>
        <v>3.2812561525591388E-12</v>
      </c>
      <c r="AD52" s="19">
        <f t="shared" si="57"/>
        <v>3.2812561525293696E-12</v>
      </c>
      <c r="AE52" s="19">
        <f t="shared" si="58"/>
        <v>0.99999999999451772</v>
      </c>
      <c r="AF52" s="19">
        <f t="shared" si="59"/>
        <v>1.9866304684384037</v>
      </c>
      <c r="AG52" s="134">
        <f t="shared" si="60"/>
        <v>2.1240933352879868E-2</v>
      </c>
      <c r="AH52" s="134">
        <f t="shared" si="61"/>
        <v>1.335074240572364E-4</v>
      </c>
      <c r="AI52" s="134" t="str">
        <f t="shared" si="62"/>
        <v/>
      </c>
      <c r="AJ52" s="134" t="str">
        <f t="shared" si="63"/>
        <v/>
      </c>
      <c r="AK52" s="134" t="str">
        <f t="shared" si="64"/>
        <v/>
      </c>
      <c r="AL52" s="134" t="str">
        <f t="shared" si="65"/>
        <v/>
      </c>
      <c r="AM52" s="134" t="str">
        <f t="shared" si="66"/>
        <v/>
      </c>
      <c r="AN52" s="134" t="str">
        <f t="shared" si="74"/>
        <v/>
      </c>
      <c r="AO52" s="134">
        <f t="shared" si="67"/>
        <v>7.0891096962040543E-14</v>
      </c>
      <c r="AP52" s="134" t="str">
        <f t="shared" si="68"/>
        <v/>
      </c>
      <c r="AQ52" s="142">
        <f t="shared" si="69"/>
        <v>3.4843112004535534E-2</v>
      </c>
      <c r="AR52" s="134">
        <f t="shared" si="70"/>
        <v>3.4843112004535534E-2</v>
      </c>
      <c r="AS52" s="1042"/>
      <c r="AT52" s="468">
        <v>3.4843112004537206E-2</v>
      </c>
      <c r="AU52" s="143">
        <f t="shared" si="71"/>
        <v>0.84188819052267061</v>
      </c>
      <c r="AV52" s="17"/>
      <c r="AW52" s="136">
        <f t="shared" si="72"/>
        <v>5.6645225285150147E-3</v>
      </c>
      <c r="AX52" s="17"/>
      <c r="AY52" s="27"/>
      <c r="AZ52" s="1041"/>
      <c r="BA52" s="1041"/>
    </row>
    <row r="53" spans="1:53">
      <c r="A53" s="6">
        <v>7.5253937233355828</v>
      </c>
      <c r="B53" s="534">
        <v>4.5311235098191993</v>
      </c>
      <c r="C53" s="136">
        <v>4.5546188354492188</v>
      </c>
      <c r="D53" s="135">
        <f t="shared" si="33"/>
        <v>3.5139005569706172E-5</v>
      </c>
      <c r="E53" s="135">
        <f t="shared" si="73"/>
        <v>0.23631333186498227</v>
      </c>
      <c r="F53" s="136">
        <f t="shared" si="34"/>
        <v>2.3495325630019437E-2</v>
      </c>
      <c r="G53" s="134">
        <f t="shared" si="28"/>
        <v>1.0283873671069321E-7</v>
      </c>
      <c r="H53" s="134">
        <f t="shared" si="35"/>
        <v>-3.2068479338860645E-4</v>
      </c>
      <c r="I53" s="135">
        <f t="shared" si="36"/>
        <v>7.9976413942274546E-2</v>
      </c>
      <c r="J53" s="135">
        <f t="shared" si="37"/>
        <v>8.0297098735663153E-2</v>
      </c>
      <c r="K53" s="136">
        <f t="shared" si="38"/>
        <v>0.27339822270936948</v>
      </c>
      <c r="L53" s="136">
        <f t="shared" si="39"/>
        <v>0.72660177729063047</v>
      </c>
      <c r="M53" s="134">
        <f t="shared" si="40"/>
        <v>62.381079971648994</v>
      </c>
      <c r="N53" s="134">
        <f t="shared" si="41"/>
        <v>149062.87695334523</v>
      </c>
      <c r="O53" s="134">
        <f t="shared" si="42"/>
        <v>13981423.07583604</v>
      </c>
      <c r="P53" s="134">
        <f t="shared" si="43"/>
        <v>2.409170404492631</v>
      </c>
      <c r="Q53" s="134">
        <f t="shared" si="44"/>
        <v>61630.616722816689</v>
      </c>
      <c r="R53" s="134">
        <f t="shared" si="45"/>
        <v>20838305.1174445</v>
      </c>
      <c r="S53" s="134">
        <f t="shared" si="46"/>
        <v>1.0000000000024658</v>
      </c>
      <c r="T53" s="134">
        <f t="shared" si="47"/>
        <v>1.0000000000024658</v>
      </c>
      <c r="U53" s="134">
        <f t="shared" si="48"/>
        <v>137076659880.88673</v>
      </c>
      <c r="V53" s="134">
        <f t="shared" si="49"/>
        <v>20838305.1174445</v>
      </c>
      <c r="W53" s="19">
        <f t="shared" si="50"/>
        <v>1.4994869497899479</v>
      </c>
      <c r="X53" s="19">
        <f t="shared" si="51"/>
        <v>1.0077984814561933</v>
      </c>
      <c r="Y53" s="19">
        <f t="shared" si="52"/>
        <v>1.236891547499936</v>
      </c>
      <c r="Z53" s="19">
        <f t="shared" si="53"/>
        <v>0.58491935724629684</v>
      </c>
      <c r="AA53" s="19">
        <f t="shared" si="54"/>
        <v>0.99998377429834107</v>
      </c>
      <c r="AB53" s="19">
        <f t="shared" si="55"/>
        <v>1.9822875955381241</v>
      </c>
      <c r="AC53" s="19">
        <f t="shared" si="56"/>
        <v>2.4658323393100153E-12</v>
      </c>
      <c r="AD53" s="19">
        <f t="shared" si="57"/>
        <v>2.4658323392969977E-12</v>
      </c>
      <c r="AE53" s="19">
        <f t="shared" si="58"/>
        <v>0.99999999999270484</v>
      </c>
      <c r="AF53" s="19">
        <f t="shared" si="59"/>
        <v>1.9822875955381241</v>
      </c>
      <c r="AG53" s="134">
        <f t="shared" si="60"/>
        <v>2.3290148435880551E-2</v>
      </c>
      <c r="AH53" s="134">
        <f t="shared" si="61"/>
        <v>9.9598650523777184E-5</v>
      </c>
      <c r="AI53" s="134" t="str">
        <f t="shared" si="62"/>
        <v/>
      </c>
      <c r="AJ53" s="134" t="str">
        <f t="shared" si="63"/>
        <v/>
      </c>
      <c r="AK53" s="134" t="str">
        <f t="shared" si="64"/>
        <v/>
      </c>
      <c r="AL53" s="134" t="str">
        <f t="shared" si="65"/>
        <v/>
      </c>
      <c r="AM53" s="134" t="str">
        <f t="shared" si="66"/>
        <v/>
      </c>
      <c r="AN53" s="134" t="str">
        <f t="shared" si="74"/>
        <v/>
      </c>
      <c r="AO53" s="134">
        <f t="shared" si="67"/>
        <v>9.9724571253392038E-14</v>
      </c>
      <c r="AP53" s="134" t="str">
        <f t="shared" si="68"/>
        <v/>
      </c>
      <c r="AQ53" s="142">
        <f t="shared" si="69"/>
        <v>3.7581504662575441E-2</v>
      </c>
      <c r="AR53" s="134">
        <f t="shared" si="70"/>
        <v>3.7581504662575441E-2</v>
      </c>
      <c r="AS53" s="1042"/>
      <c r="AT53" s="468">
        <v>3.7581504662577286E-2</v>
      </c>
      <c r="AU53" s="143">
        <f t="shared" si="71"/>
        <v>0.83769712192013734</v>
      </c>
      <c r="AV53" s="17"/>
      <c r="AW53" s="136">
        <f t="shared" si="72"/>
        <v>2.3495325630019437E-2</v>
      </c>
      <c r="AX53" s="17"/>
      <c r="AY53" s="27"/>
      <c r="AZ53" s="1041"/>
      <c r="BA53" s="1041"/>
    </row>
    <row r="54" spans="1:53">
      <c r="A54" s="6">
        <v>8.0660327701480128</v>
      </c>
      <c r="B54" s="534">
        <v>4.666521685185482</v>
      </c>
      <c r="C54" s="136">
        <v>4.6936111450195313</v>
      </c>
      <c r="D54" s="135">
        <f t="shared" si="33"/>
        <v>2.586049681074817E-5</v>
      </c>
      <c r="E54" s="135">
        <f t="shared" si="73"/>
        <v>0.30919147879390374</v>
      </c>
      <c r="F54" s="136">
        <f t="shared" si="34"/>
        <v>2.7089459834049201E-2</v>
      </c>
      <c r="G54" s="134">
        <f t="shared" si="28"/>
        <v>1.2572582213453161E-7</v>
      </c>
      <c r="H54" s="134">
        <f t="shared" si="35"/>
        <v>-3.5457837234458001E-4</v>
      </c>
      <c r="I54" s="135">
        <f t="shared" si="36"/>
        <v>7.8435819567738749E-2</v>
      </c>
      <c r="J54" s="135">
        <f t="shared" si="37"/>
        <v>7.8790397940083329E-2</v>
      </c>
      <c r="K54" s="136">
        <f t="shared" si="38"/>
        <v>0.28739483190254517</v>
      </c>
      <c r="L54" s="136">
        <f t="shared" si="39"/>
        <v>0.71260516809745478</v>
      </c>
      <c r="M54" s="134">
        <f t="shared" si="40"/>
        <v>38.448675186920667</v>
      </c>
      <c r="N54" s="134">
        <f t="shared" si="41"/>
        <v>108350.48191044509</v>
      </c>
      <c r="O54" s="134">
        <f t="shared" si="42"/>
        <v>9430444.1461157762</v>
      </c>
      <c r="P54" s="134">
        <f t="shared" si="43"/>
        <v>2.0264073792501693</v>
      </c>
      <c r="Q54" s="134">
        <f t="shared" si="44"/>
        <v>45357.221124312258</v>
      </c>
      <c r="R54" s="134">
        <f t="shared" si="45"/>
        <v>11013945.841229536</v>
      </c>
      <c r="S54" s="134">
        <f t="shared" si="46"/>
        <v>1.0000000000017961</v>
      </c>
      <c r="T54" s="134">
        <f t="shared" si="47"/>
        <v>1.0000000000017961</v>
      </c>
      <c r="U54" s="134">
        <f t="shared" si="48"/>
        <v>99843492863.979126</v>
      </c>
      <c r="V54" s="134">
        <f t="shared" si="49"/>
        <v>11013945.841229536</v>
      </c>
      <c r="W54" s="19">
        <f t="shared" si="50"/>
        <v>1.3969178391023014</v>
      </c>
      <c r="X54" s="19">
        <f t="shared" si="51"/>
        <v>1.0057468369219669</v>
      </c>
      <c r="Y54" s="19">
        <f t="shared" si="52"/>
        <v>1.1844123644552749</v>
      </c>
      <c r="Z54" s="19">
        <f t="shared" si="53"/>
        <v>0.50651581205254514</v>
      </c>
      <c r="AA54" s="19">
        <f t="shared" si="54"/>
        <v>0.99997795279394963</v>
      </c>
      <c r="AB54" s="19">
        <f t="shared" si="55"/>
        <v>1.9758418877260728</v>
      </c>
      <c r="AC54" s="19">
        <f t="shared" si="56"/>
        <v>1.7960556466565612E-12</v>
      </c>
      <c r="AD54" s="19">
        <f t="shared" si="57"/>
        <v>1.7960556466513724E-12</v>
      </c>
      <c r="AE54" s="19">
        <f t="shared" si="58"/>
        <v>0.99999999998998435</v>
      </c>
      <c r="AF54" s="19">
        <f t="shared" si="59"/>
        <v>1.9758418877260728</v>
      </c>
      <c r="AG54" s="134">
        <f t="shared" si="60"/>
        <v>2.5646879381699617E-2</v>
      </c>
      <c r="AH54" s="134">
        <f t="shared" si="61"/>
        <v>7.2089322285908715E-5</v>
      </c>
      <c r="AI54" s="134" t="str">
        <f t="shared" si="62"/>
        <v/>
      </c>
      <c r="AJ54" s="134" t="str">
        <f t="shared" si="63"/>
        <v/>
      </c>
      <c r="AK54" s="134" t="str">
        <f t="shared" si="64"/>
        <v/>
      </c>
      <c r="AL54" s="134" t="str">
        <f t="shared" si="65"/>
        <v/>
      </c>
      <c r="AM54" s="134" t="str">
        <f t="shared" si="66"/>
        <v/>
      </c>
      <c r="AN54" s="134" t="str">
        <f t="shared" si="74"/>
        <v/>
      </c>
      <c r="AO54" s="134">
        <f t="shared" si="67"/>
        <v>1.4392266519265051E-13</v>
      </c>
      <c r="AP54" s="134" t="str">
        <f t="shared" si="68"/>
        <v/>
      </c>
      <c r="AQ54" s="142">
        <f t="shared" si="69"/>
        <v>4.0596203624720842E-2</v>
      </c>
      <c r="AR54" s="134">
        <f t="shared" si="70"/>
        <v>4.0596203624720842E-2</v>
      </c>
      <c r="AS54" s="1042"/>
      <c r="AT54" s="468">
        <v>4.0596203624722708E-2</v>
      </c>
      <c r="AU54" s="143">
        <f t="shared" si="71"/>
        <v>0.83337688580887803</v>
      </c>
      <c r="AV54" s="17"/>
      <c r="AW54" s="136">
        <f t="shared" si="72"/>
        <v>2.7089459834049201E-2</v>
      </c>
      <c r="AX54" s="17"/>
      <c r="AY54" s="27"/>
      <c r="AZ54" s="1041"/>
      <c r="BA54" s="1041"/>
    </row>
    <row r="55" spans="1:53">
      <c r="A55" s="6">
        <v>8.5878766272799112</v>
      </c>
      <c r="B55" s="534">
        <v>4.8585299434066762</v>
      </c>
      <c r="C55" s="136">
        <v>4.8298263549804688</v>
      </c>
      <c r="D55" s="135">
        <f t="shared" si="33"/>
        <v>1.673039758730465E-5</v>
      </c>
      <c r="E55" s="135">
        <f t="shared" si="73"/>
        <v>0.27436846030679235</v>
      </c>
      <c r="F55" s="136">
        <f t="shared" si="34"/>
        <v>-2.870358842620746E-2</v>
      </c>
      <c r="G55" s="134">
        <f t="shared" si="28"/>
        <v>1.2360781747578426E-7</v>
      </c>
      <c r="H55" s="134">
        <f t="shared" si="35"/>
        <v>3.5157903446562944E-4</v>
      </c>
      <c r="I55" s="135">
        <f t="shared" si="36"/>
        <v>7.7004050039900782E-2</v>
      </c>
      <c r="J55" s="135">
        <f t="shared" si="37"/>
        <v>7.6652471005435152E-2</v>
      </c>
      <c r="K55" s="136">
        <f t="shared" si="38"/>
        <v>0.30040274551503243</v>
      </c>
      <c r="L55" s="136">
        <f t="shared" si="39"/>
        <v>0.69959725448496757</v>
      </c>
      <c r="M55" s="134">
        <f t="shared" si="40"/>
        <v>20.575701945660199</v>
      </c>
      <c r="N55" s="134">
        <f t="shared" si="41"/>
        <v>69034.111630236512</v>
      </c>
      <c r="O55" s="134">
        <f t="shared" si="42"/>
        <v>5545268.0685677854</v>
      </c>
      <c r="P55" s="134">
        <f t="shared" si="43"/>
        <v>1.6552904690708528</v>
      </c>
      <c r="Q55" s="134">
        <f t="shared" si="44"/>
        <v>29344.118116434063</v>
      </c>
      <c r="R55" s="134">
        <f t="shared" si="45"/>
        <v>4490734.8493234292</v>
      </c>
      <c r="S55" s="134">
        <f t="shared" si="46"/>
        <v>1.0000000000011466</v>
      </c>
      <c r="T55" s="134">
        <f t="shared" si="47"/>
        <v>1.0000000000011466</v>
      </c>
      <c r="U55" s="134">
        <f t="shared" si="48"/>
        <v>63743198456.617615</v>
      </c>
      <c r="V55" s="134">
        <f t="shared" si="49"/>
        <v>4490734.8493234292</v>
      </c>
      <c r="W55" s="19">
        <f t="shared" si="50"/>
        <v>1.2558150905119021</v>
      </c>
      <c r="X55" s="19">
        <f t="shared" si="51"/>
        <v>1.0037169536341162</v>
      </c>
      <c r="Y55" s="19">
        <f t="shared" si="52"/>
        <v>1.1261456055343921</v>
      </c>
      <c r="Z55" s="19">
        <f t="shared" si="53"/>
        <v>0.39587642248594607</v>
      </c>
      <c r="AA55" s="19">
        <f t="shared" si="54"/>
        <v>0.99996592162027043</v>
      </c>
      <c r="AB55" s="19">
        <f t="shared" si="55"/>
        <v>1.962670754761882</v>
      </c>
      <c r="AC55" s="19">
        <f t="shared" si="56"/>
        <v>1.146657895759103E-12</v>
      </c>
      <c r="AD55" s="19">
        <f t="shared" si="57"/>
        <v>1.1466578957576981E-12</v>
      </c>
      <c r="AE55" s="19">
        <f t="shared" si="58"/>
        <v>0.9999999999843121</v>
      </c>
      <c r="AF55" s="19">
        <f t="shared" si="59"/>
        <v>1.962670754761882</v>
      </c>
      <c r="AG55" s="134">
        <f t="shared" si="60"/>
        <v>2.9182933954936225E-2</v>
      </c>
      <c r="AH55" s="134">
        <f t="shared" si="61"/>
        <v>4.598408544232595E-5</v>
      </c>
      <c r="AI55" s="134" t="str">
        <f t="shared" si="62"/>
        <v/>
      </c>
      <c r="AJ55" s="134" t="str">
        <f t="shared" si="63"/>
        <v/>
      </c>
      <c r="AK55" s="134" t="str">
        <f t="shared" si="64"/>
        <v/>
      </c>
      <c r="AL55" s="134" t="str">
        <f t="shared" si="65"/>
        <v/>
      </c>
      <c r="AM55" s="134" t="str">
        <f t="shared" si="66"/>
        <v/>
      </c>
      <c r="AN55" s="134" t="str">
        <f t="shared" si="74"/>
        <v/>
      </c>
      <c r="AO55" s="134">
        <f t="shared" si="67"/>
        <v>2.3563513660165698E-13</v>
      </c>
      <c r="AP55" s="134" t="str">
        <f t="shared" si="68"/>
        <v/>
      </c>
      <c r="AQ55" s="142">
        <f t="shared" si="69"/>
        <v>4.4742955989299699E-2</v>
      </c>
      <c r="AR55" s="134">
        <f t="shared" si="70"/>
        <v>4.4742955989299699E-2</v>
      </c>
      <c r="AS55" s="1042"/>
      <c r="AT55" s="468">
        <v>4.4742955989301697E-2</v>
      </c>
      <c r="AU55" s="143">
        <f t="shared" si="71"/>
        <v>0.8278731446844978</v>
      </c>
      <c r="AV55" s="17"/>
      <c r="AW55" s="136">
        <f t="shared" si="72"/>
        <v>-2.870358842620746E-2</v>
      </c>
      <c r="AX55" s="17"/>
      <c r="AY55" s="27"/>
      <c r="AZ55" s="1041"/>
      <c r="BA55" s="1041"/>
    </row>
    <row r="56" spans="1:53" ht="12" customHeight="1">
      <c r="A56" s="6">
        <v>9.0860306183458306</v>
      </c>
      <c r="B56" s="534">
        <v>4.9485936682870735</v>
      </c>
      <c r="C56" s="136">
        <v>4.9705123901367188</v>
      </c>
      <c r="D56" s="135">
        <f t="shared" si="33"/>
        <v>1.3637151826696135E-5</v>
      </c>
      <c r="E56" s="135">
        <f t="shared" si="73"/>
        <v>0.31300348692797042</v>
      </c>
      <c r="F56" s="136">
        <f t="shared" si="34"/>
        <v>2.1918721849645273E-2</v>
      </c>
      <c r="G56" s="134">
        <f t="shared" si="28"/>
        <v>6.4484096581093706E-8</v>
      </c>
      <c r="H56" s="134">
        <f t="shared" si="35"/>
        <v>-2.5393719022839822E-4</v>
      </c>
      <c r="I56" s="135">
        <f t="shared" si="36"/>
        <v>7.5685208175262822E-2</v>
      </c>
      <c r="J56" s="135">
        <f t="shared" si="37"/>
        <v>7.593914536549122E-2</v>
      </c>
      <c r="K56" s="136">
        <f t="shared" si="38"/>
        <v>0.31238468863519914</v>
      </c>
      <c r="L56" s="136">
        <f t="shared" si="39"/>
        <v>0.68761531136480092</v>
      </c>
      <c r="M56" s="134">
        <f t="shared" si="40"/>
        <v>15.704230512141903</v>
      </c>
      <c r="N56" s="134">
        <f t="shared" si="41"/>
        <v>55901.135347065989</v>
      </c>
      <c r="O56" s="134">
        <f t="shared" si="42"/>
        <v>4360109.8036429649</v>
      </c>
      <c r="P56" s="134">
        <f t="shared" si="43"/>
        <v>1.5309932346040631</v>
      </c>
      <c r="Q56" s="134">
        <f t="shared" si="44"/>
        <v>23918.934689498103</v>
      </c>
      <c r="R56" s="134">
        <f t="shared" si="45"/>
        <v>2956949.3108581663</v>
      </c>
      <c r="S56" s="134">
        <f t="shared" si="46"/>
        <v>1.0000000000009293</v>
      </c>
      <c r="T56" s="134">
        <f t="shared" si="47"/>
        <v>1.0000000000009293</v>
      </c>
      <c r="U56" s="134">
        <f t="shared" si="48"/>
        <v>51652219481.545227</v>
      </c>
      <c r="V56" s="134">
        <f t="shared" si="49"/>
        <v>2956949.3108581663</v>
      </c>
      <c r="W56" s="19">
        <f t="shared" si="50"/>
        <v>1.1921585686721228</v>
      </c>
      <c r="X56" s="19">
        <f t="shared" si="51"/>
        <v>1.0030257425289404</v>
      </c>
      <c r="Y56" s="19">
        <f t="shared" si="52"/>
        <v>1.1047236836132419</v>
      </c>
      <c r="Z56" s="19">
        <f t="shared" si="53"/>
        <v>0.34682924953707295</v>
      </c>
      <c r="AA56" s="19">
        <f t="shared" si="54"/>
        <v>0.99995819211796089</v>
      </c>
      <c r="AB56" s="19">
        <f t="shared" si="55"/>
        <v>1.9543314889584826</v>
      </c>
      <c r="AC56" s="19">
        <f t="shared" si="56"/>
        <v>9.2915677859601586E-13</v>
      </c>
      <c r="AD56" s="19">
        <f t="shared" si="57"/>
        <v>9.2915677859525512E-13</v>
      </c>
      <c r="AE56" s="19">
        <f t="shared" si="58"/>
        <v>0.99999999998063971</v>
      </c>
      <c r="AF56" s="19">
        <f t="shared" si="59"/>
        <v>1.9543314889584826</v>
      </c>
      <c r="AG56" s="134">
        <f t="shared" si="60"/>
        <v>3.0558096114794615E-2</v>
      </c>
      <c r="AH56" s="134">
        <f t="shared" si="61"/>
        <v>3.693882158926257E-5</v>
      </c>
      <c r="AI56" s="134" t="str">
        <f t="shared" si="62"/>
        <v/>
      </c>
      <c r="AJ56" s="134" t="str">
        <f t="shared" si="63"/>
        <v/>
      </c>
      <c r="AK56" s="134" t="str">
        <f t="shared" si="64"/>
        <v/>
      </c>
      <c r="AL56" s="134" t="str">
        <f t="shared" si="65"/>
        <v/>
      </c>
      <c r="AM56" s="134" t="str">
        <f t="shared" si="66"/>
        <v/>
      </c>
      <c r="AN56" s="134" t="str">
        <f t="shared" si="74"/>
        <v/>
      </c>
      <c r="AO56" s="134">
        <f t="shared" si="67"/>
        <v>3.0239231902397804E-13</v>
      </c>
      <c r="AP56" s="134" t="str">
        <f t="shared" si="68"/>
        <v/>
      </c>
      <c r="AQ56" s="142">
        <f t="shared" si="69"/>
        <v>4.6698307804394254E-2</v>
      </c>
      <c r="AR56" s="134">
        <f t="shared" si="70"/>
        <v>4.6698307804394254E-2</v>
      </c>
      <c r="AS56" s="1042"/>
      <c r="AT56" s="468">
        <v>4.669830780439628E-2</v>
      </c>
      <c r="AU56" s="143">
        <f t="shared" si="71"/>
        <v>0.82543457466126557</v>
      </c>
      <c r="AV56" s="17"/>
      <c r="AW56" s="136">
        <f t="shared" si="72"/>
        <v>2.1918721849645273E-2</v>
      </c>
      <c r="AX56" s="142"/>
      <c r="AY56" s="27"/>
      <c r="AZ56" s="1041"/>
      <c r="BA56" s="1041"/>
    </row>
    <row r="57" spans="1:53">
      <c r="A57" s="6">
        <v>9.5631117394077592</v>
      </c>
      <c r="B57" s="534">
        <v>5.160995920721752</v>
      </c>
      <c r="C57" s="136">
        <v>5.1053695678710938</v>
      </c>
      <c r="D57" s="135">
        <f t="shared" si="33"/>
        <v>8.416116085879545E-6</v>
      </c>
      <c r="E57" s="135">
        <f t="shared" si="73"/>
        <v>0.29902155328986063</v>
      </c>
      <c r="F57" s="136">
        <f t="shared" si="34"/>
        <v>-5.5626352850658201E-2</v>
      </c>
      <c r="G57" s="134">
        <f t="shared" si="28"/>
        <v>3.6826136618748436E-7</v>
      </c>
      <c r="H57" s="134">
        <f t="shared" si="35"/>
        <v>6.0684542198774505E-4</v>
      </c>
      <c r="I57" s="135">
        <f t="shared" si="36"/>
        <v>7.4463821729805257E-2</v>
      </c>
      <c r="J57" s="135">
        <f t="shared" si="37"/>
        <v>7.3856976307817512E-2</v>
      </c>
      <c r="K57" s="136">
        <f t="shared" si="38"/>
        <v>0.32348122970627913</v>
      </c>
      <c r="L57" s="136">
        <f t="shared" si="39"/>
        <v>0.67651877029372087</v>
      </c>
      <c r="M57" s="134">
        <f t="shared" si="40"/>
        <v>8.785493911503556</v>
      </c>
      <c r="N57" s="134">
        <f t="shared" si="41"/>
        <v>34019.404457464145</v>
      </c>
      <c r="O57" s="134">
        <f t="shared" si="42"/>
        <v>2515240.9486660496</v>
      </c>
      <c r="P57" s="134">
        <f t="shared" si="43"/>
        <v>1.3235165043847998</v>
      </c>
      <c r="Q57" s="134">
        <f t="shared" si="44"/>
        <v>14761.861904260933</v>
      </c>
      <c r="R57" s="134">
        <f t="shared" si="45"/>
        <v>1115360.2809601289</v>
      </c>
      <c r="S57" s="134">
        <f t="shared" si="46"/>
        <v>1.0000000000005662</v>
      </c>
      <c r="T57" s="134">
        <f t="shared" si="47"/>
        <v>1.0000000000005662</v>
      </c>
      <c r="U57" s="134">
        <f t="shared" si="48"/>
        <v>31469978149.634197</v>
      </c>
      <c r="V57" s="134">
        <f t="shared" si="49"/>
        <v>1115360.2809601289</v>
      </c>
      <c r="W57" s="19">
        <f t="shared" si="50"/>
        <v>1.0479593190000478</v>
      </c>
      <c r="X57" s="19">
        <f t="shared" si="51"/>
        <v>1.0018511401464856</v>
      </c>
      <c r="Y57" s="19">
        <f t="shared" si="52"/>
        <v>1.0665266135212439</v>
      </c>
      <c r="Z57" s="19">
        <f t="shared" si="53"/>
        <v>0.24443707601151346</v>
      </c>
      <c r="AA57" s="19">
        <f t="shared" si="54"/>
        <v>0.99993225786784312</v>
      </c>
      <c r="AB57" s="19">
        <f t="shared" si="55"/>
        <v>1.9271756386917311</v>
      </c>
      <c r="AC57" s="19">
        <f t="shared" si="56"/>
        <v>5.6610429344182336E-13</v>
      </c>
      <c r="AD57" s="19">
        <f t="shared" si="57"/>
        <v>5.6610429344164453E-13</v>
      </c>
      <c r="AE57" s="19">
        <f t="shared" si="58"/>
        <v>0.99999999996822364</v>
      </c>
      <c r="AF57" s="19">
        <f t="shared" si="59"/>
        <v>1.9271756386917311</v>
      </c>
      <c r="AG57" s="134">
        <f t="shared" si="60"/>
        <v>3.4536835167512062E-2</v>
      </c>
      <c r="AH57" s="134">
        <f t="shared" si="61"/>
        <v>2.2672412234058076E-5</v>
      </c>
      <c r="AI57" s="134" t="str">
        <f t="shared" si="62"/>
        <v/>
      </c>
      <c r="AJ57" s="134" t="str">
        <f t="shared" si="63"/>
        <v/>
      </c>
      <c r="AK57" s="134" t="str">
        <f t="shared" si="64"/>
        <v/>
      </c>
      <c r="AL57" s="134" t="str">
        <f t="shared" si="65"/>
        <v/>
      </c>
      <c r="AM57" s="134" t="str">
        <f t="shared" si="66"/>
        <v/>
      </c>
      <c r="AN57" s="134" t="str">
        <f t="shared" si="74"/>
        <v/>
      </c>
      <c r="AO57" s="134">
        <f t="shared" si="67"/>
        <v>5.1395210407866013E-13</v>
      </c>
      <c r="AP57" s="134" t="str">
        <f t="shared" si="68"/>
        <v/>
      </c>
      <c r="AQ57" s="142">
        <f t="shared" si="69"/>
        <v>5.1207296101639981E-2</v>
      </c>
      <c r="AR57" s="134">
        <f t="shared" si="70"/>
        <v>5.1207296101639981E-2</v>
      </c>
      <c r="AS57" s="1042"/>
      <c r="AT57" s="468">
        <v>5.1207296101643422E-2</v>
      </c>
      <c r="AU57" s="143">
        <f t="shared" si="71"/>
        <v>0.8201482491099098</v>
      </c>
      <c r="AV57" s="17"/>
      <c r="AW57" s="136">
        <f t="shared" si="72"/>
        <v>-5.5626352850658201E-2</v>
      </c>
      <c r="AX57" s="17"/>
      <c r="AY57" s="27"/>
      <c r="AZ57" s="1041"/>
      <c r="BA57" s="1041"/>
    </row>
    <row r="58" spans="1:53">
      <c r="A58" s="6">
        <v>10.027885822637472</v>
      </c>
      <c r="B58" s="534">
        <v>5.2320278461258294</v>
      </c>
      <c r="C58" s="136">
        <v>5.2468643188476563</v>
      </c>
      <c r="D58" s="135">
        <f t="shared" si="33"/>
        <v>7.1609641091878133E-6</v>
      </c>
      <c r="E58" s="135">
        <f t="shared" si="73"/>
        <v>0.25898328595919284</v>
      </c>
      <c r="F58" s="136">
        <f t="shared" si="34"/>
        <v>1.4836472721826865E-2</v>
      </c>
      <c r="G58" s="134">
        <f t="shared" si="28"/>
        <v>2.4806901539829559E-8</v>
      </c>
      <c r="H58" s="134">
        <f t="shared" si="35"/>
        <v>-1.5750206836682989E-4</v>
      </c>
      <c r="I58" s="135">
        <f t="shared" si="36"/>
        <v>7.3311264580671567E-2</v>
      </c>
      <c r="J58" s="135">
        <f t="shared" si="37"/>
        <v>7.3468766649038397E-2</v>
      </c>
      <c r="K58" s="136">
        <f t="shared" si="38"/>
        <v>0.33395244280160519</v>
      </c>
      <c r="L58" s="136">
        <f t="shared" si="39"/>
        <v>0.66604755719839481</v>
      </c>
      <c r="M58" s="134">
        <f t="shared" si="40"/>
        <v>7.357060481008979</v>
      </c>
      <c r="N58" s="134">
        <f t="shared" si="41"/>
        <v>28819.308631336309</v>
      </c>
      <c r="O58" s="134">
        <f t="shared" si="42"/>
        <v>2101069.3997171787</v>
      </c>
      <c r="P58" s="134">
        <f t="shared" si="43"/>
        <v>1.2741402539219404</v>
      </c>
      <c r="Q58" s="134">
        <f t="shared" si="44"/>
        <v>12560.47532549316</v>
      </c>
      <c r="R58" s="134">
        <f t="shared" si="45"/>
        <v>808060.64935256902</v>
      </c>
      <c r="S58" s="134">
        <f t="shared" si="46"/>
        <v>1.0000000000004796</v>
      </c>
      <c r="T58" s="134">
        <f t="shared" si="47"/>
        <v>1.0000000000004796</v>
      </c>
      <c r="U58" s="134">
        <f t="shared" si="48"/>
        <v>26666917093.807926</v>
      </c>
      <c r="V58" s="134">
        <f t="shared" si="49"/>
        <v>808060.64935256902</v>
      </c>
      <c r="W58" s="19">
        <f t="shared" si="50"/>
        <v>1.0007874242268562</v>
      </c>
      <c r="X58" s="19">
        <f t="shared" si="51"/>
        <v>1.0015658197305735</v>
      </c>
      <c r="Y58" s="19">
        <f t="shared" si="52"/>
        <v>1.0569512037459823</v>
      </c>
      <c r="Z58" s="19">
        <f t="shared" si="53"/>
        <v>0.21515704654813883</v>
      </c>
      <c r="AA58" s="19">
        <f t="shared" si="54"/>
        <v>0.99992038517857917</v>
      </c>
      <c r="AB58" s="19">
        <f t="shared" si="55"/>
        <v>1.9151712948471729</v>
      </c>
      <c r="AC58" s="19">
        <f t="shared" si="56"/>
        <v>4.7970342241418759E-13</v>
      </c>
      <c r="AD58" s="19">
        <f t="shared" si="57"/>
        <v>4.7970342241407742E-13</v>
      </c>
      <c r="AE58" s="19">
        <f t="shared" si="58"/>
        <v>0.99999999996250033</v>
      </c>
      <c r="AF58" s="19">
        <f t="shared" si="59"/>
        <v>1.9151712948471729</v>
      </c>
      <c r="AG58" s="134">
        <f t="shared" si="60"/>
        <v>3.5541965963575353E-2</v>
      </c>
      <c r="AH58" s="134">
        <f t="shared" si="61"/>
        <v>1.9110902884981408E-5</v>
      </c>
      <c r="AI58" s="134" t="str">
        <f t="shared" si="62"/>
        <v/>
      </c>
      <c r="AJ58" s="134" t="str">
        <f t="shared" si="63"/>
        <v/>
      </c>
      <c r="AK58" s="134" t="str">
        <f t="shared" si="64"/>
        <v/>
      </c>
      <c r="AL58" s="134" t="str">
        <f t="shared" si="65"/>
        <v/>
      </c>
      <c r="AM58" s="134" t="str">
        <f t="shared" si="66"/>
        <v/>
      </c>
      <c r="AN58" s="134" t="str">
        <f t="shared" si="74"/>
        <v/>
      </c>
      <c r="AO58" s="134">
        <f t="shared" si="67"/>
        <v>6.2615495002073025E-13</v>
      </c>
      <c r="AP58" s="134" t="str">
        <f t="shared" si="68"/>
        <v/>
      </c>
      <c r="AQ58" s="142">
        <f t="shared" si="69"/>
        <v>5.2724531388494145E-2</v>
      </c>
      <c r="AR58" s="134">
        <f t="shared" si="70"/>
        <v>5.2724531388494145E-2</v>
      </c>
      <c r="AS58" s="1042"/>
      <c r="AT58" s="468">
        <v>5.2724531388498197E-2</v>
      </c>
      <c r="AU58" s="143">
        <f t="shared" si="71"/>
        <v>0.81846602598735574</v>
      </c>
      <c r="AV58" s="17"/>
      <c r="AW58" s="136">
        <f t="shared" si="72"/>
        <v>1.4836472721826865E-2</v>
      </c>
      <c r="AX58" s="17"/>
      <c r="AY58" s="27"/>
      <c r="AZ58" s="1041"/>
      <c r="BA58" s="1041"/>
    </row>
    <row r="59" spans="1:53">
      <c r="A59" s="6">
        <v>10.491771616216283</v>
      </c>
      <c r="B59" s="534">
        <v>5.4014090132506976</v>
      </c>
      <c r="C59" s="136">
        <v>5.3834457397460938</v>
      </c>
      <c r="D59" s="135">
        <f t="shared" si="33"/>
        <v>4.8721538200567304E-6</v>
      </c>
      <c r="E59" s="135">
        <f t="shared" si="73"/>
        <v>0.30864384222275937</v>
      </c>
      <c r="F59" s="136">
        <f t="shared" si="34"/>
        <v>-1.7963273504603805E-2</v>
      </c>
      <c r="G59" s="134">
        <f t="shared" si="28"/>
        <v>3.5831026548106947E-8</v>
      </c>
      <c r="H59" s="134">
        <f t="shared" si="35"/>
        <v>1.8929085172851579E-4</v>
      </c>
      <c r="I59" s="135">
        <f t="shared" si="36"/>
        <v>7.2195945517669516E-2</v>
      </c>
      <c r="J59" s="135">
        <f t="shared" si="37"/>
        <v>7.2006654665941E-2</v>
      </c>
      <c r="K59" s="136">
        <f t="shared" si="38"/>
        <v>0.34408534040824634</v>
      </c>
      <c r="L59" s="136">
        <f t="shared" si="39"/>
        <v>0.65591465959175366</v>
      </c>
      <c r="M59" s="134">
        <f t="shared" si="40"/>
        <v>4.9790567085028785</v>
      </c>
      <c r="N59" s="134">
        <f t="shared" si="41"/>
        <v>19406.928475547225</v>
      </c>
      <c r="O59" s="134">
        <f t="shared" si="42"/>
        <v>1375693.3144844705</v>
      </c>
      <c r="P59" s="134">
        <f t="shared" si="43"/>
        <v>1.1846974852885686</v>
      </c>
      <c r="Q59" s="134">
        <f t="shared" si="44"/>
        <v>8546.1755869713506</v>
      </c>
      <c r="R59" s="134">
        <f t="shared" si="45"/>
        <v>378131.69634657842</v>
      </c>
      <c r="S59" s="134">
        <f t="shared" si="46"/>
        <v>1.0000000000003233</v>
      </c>
      <c r="T59" s="134">
        <f t="shared" si="47"/>
        <v>1.0000000000003233</v>
      </c>
      <c r="U59" s="134">
        <f t="shared" si="48"/>
        <v>17966396606.304161</v>
      </c>
      <c r="V59" s="134">
        <f t="shared" si="49"/>
        <v>378131.69634657842</v>
      </c>
      <c r="W59" s="19">
        <f t="shared" si="50"/>
        <v>0.8878228892470913</v>
      </c>
      <c r="X59" s="19">
        <f t="shared" si="51"/>
        <v>1.0010379668270764</v>
      </c>
      <c r="Y59" s="19">
        <f t="shared" si="52"/>
        <v>1.0390959935888318</v>
      </c>
      <c r="Z59" s="19">
        <f t="shared" si="53"/>
        <v>0.15590265665464795</v>
      </c>
      <c r="AA59" s="19">
        <f t="shared" si="54"/>
        <v>0.99988298859649871</v>
      </c>
      <c r="AB59" s="19">
        <f t="shared" si="55"/>
        <v>1.8790580729471182</v>
      </c>
      <c r="AC59" s="19">
        <f t="shared" si="56"/>
        <v>3.2319228617871803E-13</v>
      </c>
      <c r="AD59" s="19">
        <f t="shared" si="57"/>
        <v>3.2319228617868335E-13</v>
      </c>
      <c r="AE59" s="19">
        <f t="shared" si="58"/>
        <v>0.99999999994434052</v>
      </c>
      <c r="AF59" s="19">
        <f t="shared" si="59"/>
        <v>1.8790580729471182</v>
      </c>
      <c r="AG59" s="134">
        <f t="shared" si="60"/>
        <v>3.8834324343990673E-2</v>
      </c>
      <c r="AH59" s="134">
        <f t="shared" si="61"/>
        <v>1.3132338308024089E-5</v>
      </c>
      <c r="AI59" s="134" t="str">
        <f t="shared" si="62"/>
        <v/>
      </c>
      <c r="AJ59" s="134" t="str">
        <f t="shared" si="63"/>
        <v/>
      </c>
      <c r="AK59" s="134" t="str">
        <f t="shared" si="64"/>
        <v/>
      </c>
      <c r="AL59" s="134" t="str">
        <f t="shared" si="65"/>
        <v/>
      </c>
      <c r="AM59" s="134" t="str">
        <f t="shared" si="66"/>
        <v/>
      </c>
      <c r="AN59" s="134" t="str">
        <f t="shared" si="74"/>
        <v/>
      </c>
      <c r="AO59" s="134">
        <f t="shared" si="67"/>
        <v>9.5758027596783525E-13</v>
      </c>
      <c r="AP59" s="134" t="str">
        <f t="shared" si="68"/>
        <v/>
      </c>
      <c r="AQ59" s="142">
        <f t="shared" si="69"/>
        <v>5.650937974713377E-2</v>
      </c>
      <c r="AR59" s="134">
        <f t="shared" si="70"/>
        <v>5.650937974713377E-2</v>
      </c>
      <c r="AS59" s="1042"/>
      <c r="AT59" s="468">
        <v>5.6509379747141389E-2</v>
      </c>
      <c r="AU59" s="143">
        <f t="shared" si="71"/>
        <v>0.81446044204700963</v>
      </c>
      <c r="AV59" s="17"/>
      <c r="AW59" s="136">
        <f t="shared" si="72"/>
        <v>-1.7963273504603805E-2</v>
      </c>
      <c r="AX59" s="17"/>
      <c r="AY59" s="27"/>
      <c r="AZ59" s="1041"/>
      <c r="BA59" s="1041"/>
    </row>
    <row r="60" spans="1:53">
      <c r="A60" s="6">
        <v>10.964314219017979</v>
      </c>
      <c r="B60" s="534">
        <v>5.520561666922843</v>
      </c>
      <c r="C60" s="136">
        <v>5.5227127075195313</v>
      </c>
      <c r="D60" s="135">
        <f t="shared" si="33"/>
        <v>3.715748806667487E-6</v>
      </c>
      <c r="E60" s="135">
        <f t="shared" si="73"/>
        <v>0.26518065047287009</v>
      </c>
      <c r="F60" s="136">
        <f t="shared" si="34"/>
        <v>2.1510405966882473E-3</v>
      </c>
      <c r="G60" s="134">
        <f t="shared" si="28"/>
        <v>5.1973889372587793E-10</v>
      </c>
      <c r="H60" s="134">
        <f t="shared" si="35"/>
        <v>-2.2797782649325304E-5</v>
      </c>
      <c r="I60" s="135">
        <f t="shared" si="36"/>
        <v>7.1094172044976367E-2</v>
      </c>
      <c r="J60" s="135">
        <f t="shared" si="37"/>
        <v>7.1116969827625692E-2</v>
      </c>
      <c r="K60" s="136">
        <f t="shared" si="38"/>
        <v>0.35409517360742337</v>
      </c>
      <c r="L60" s="136">
        <f t="shared" si="39"/>
        <v>0.64590482639257663</v>
      </c>
      <c r="M60" s="134">
        <f t="shared" si="40"/>
        <v>3.8916857280822059</v>
      </c>
      <c r="N60" s="134">
        <f t="shared" si="41"/>
        <v>14696.739262854286</v>
      </c>
      <c r="O60" s="134">
        <f t="shared" si="42"/>
        <v>1025173.7607238503</v>
      </c>
      <c r="P60" s="134">
        <f t="shared" si="43"/>
        <v>1.1399040604233859</v>
      </c>
      <c r="Q60" s="134">
        <f t="shared" si="44"/>
        <v>6517.9793817558966</v>
      </c>
      <c r="R60" s="134">
        <f t="shared" si="45"/>
        <v>223833.61441546094</v>
      </c>
      <c r="S60" s="134">
        <f t="shared" si="46"/>
        <v>1.0000000000002449</v>
      </c>
      <c r="T60" s="134">
        <f t="shared" si="47"/>
        <v>1.0000000000002449</v>
      </c>
      <c r="U60" s="134">
        <f t="shared" si="48"/>
        <v>13609128638.197315</v>
      </c>
      <c r="V60" s="134">
        <f t="shared" si="49"/>
        <v>223833.61441546094</v>
      </c>
      <c r="W60" s="19">
        <f t="shared" si="50"/>
        <v>0.80668055618769485</v>
      </c>
      <c r="X60" s="19">
        <f t="shared" si="51"/>
        <v>1.0007630622783383</v>
      </c>
      <c r="Y60" s="19">
        <f t="shared" si="52"/>
        <v>1.0298973681546866</v>
      </c>
      <c r="Z60" s="19">
        <f t="shared" si="53"/>
        <v>0.12273318894172756</v>
      </c>
      <c r="AA60" s="19">
        <f t="shared" si="54"/>
        <v>0.9998465782198086</v>
      </c>
      <c r="AB60" s="19">
        <f t="shared" si="55"/>
        <v>1.8462857149692704</v>
      </c>
      <c r="AC60" s="19">
        <f t="shared" si="56"/>
        <v>2.4481065867627075E-13</v>
      </c>
      <c r="AD60" s="19">
        <f t="shared" si="57"/>
        <v>2.4481065867625535E-13</v>
      </c>
      <c r="AE60" s="19">
        <f t="shared" si="58"/>
        <v>0.99999999992651989</v>
      </c>
      <c r="AF60" s="19">
        <f t="shared" si="59"/>
        <v>1.8462857149692704</v>
      </c>
      <c r="AG60" s="134">
        <f t="shared" si="60"/>
        <v>4.1108917256790549E-2</v>
      </c>
      <c r="AH60" s="134">
        <f t="shared" si="61"/>
        <v>1.0190595764526473E-5</v>
      </c>
      <c r="AI60" s="134" t="str">
        <f t="shared" si="62"/>
        <v/>
      </c>
      <c r="AJ60" s="134" t="str">
        <f t="shared" si="63"/>
        <v/>
      </c>
      <c r="AK60" s="134" t="str">
        <f t="shared" si="64"/>
        <v/>
      </c>
      <c r="AL60" s="134" t="str">
        <f t="shared" si="65"/>
        <v/>
      </c>
      <c r="AM60" s="134" t="str">
        <f t="shared" si="66"/>
        <v/>
      </c>
      <c r="AN60" s="134" t="str">
        <f t="shared" si="74"/>
        <v/>
      </c>
      <c r="AO60" s="134">
        <f t="shared" si="67"/>
        <v>1.3009472649614375E-12</v>
      </c>
      <c r="AP60" s="134" t="str">
        <f t="shared" si="68"/>
        <v/>
      </c>
      <c r="AQ60" s="142">
        <f t="shared" si="69"/>
        <v>5.9273997842224466E-2</v>
      </c>
      <c r="AR60" s="134">
        <f t="shared" si="70"/>
        <v>5.9273997842224466E-2</v>
      </c>
      <c r="AS60" s="1042"/>
      <c r="AT60" s="468">
        <v>5.9273997842235152E-2</v>
      </c>
      <c r="AU60" s="143">
        <f t="shared" si="71"/>
        <v>0.81169334658469672</v>
      </c>
      <c r="AV60" s="17"/>
      <c r="AW60" s="136">
        <f t="shared" si="72"/>
        <v>2.1510405966882473E-3</v>
      </c>
      <c r="AX60" s="17"/>
      <c r="AY60" s="27"/>
      <c r="AZ60" s="1041"/>
      <c r="BA60" s="1041"/>
    </row>
    <row r="61" spans="1:53">
      <c r="A61" s="6">
        <v>11.448833580652718</v>
      </c>
      <c r="B61" s="534">
        <v>5.6553593662136379</v>
      </c>
      <c r="C61" s="136">
        <v>5.6611404418945313</v>
      </c>
      <c r="D61" s="135">
        <f t="shared" si="33"/>
        <v>2.7347110228546391E-6</v>
      </c>
      <c r="E61" s="135">
        <f t="shared" si="73"/>
        <v>0.26783042457698436</v>
      </c>
      <c r="F61" s="136">
        <f t="shared" si="34"/>
        <v>5.7810756808933661E-3</v>
      </c>
      <c r="G61" s="134">
        <f t="shared" si="28"/>
        <v>3.7887563738480175E-9</v>
      </c>
      <c r="H61" s="134">
        <f t="shared" si="35"/>
        <v>-6.1552874618883702E-5</v>
      </c>
      <c r="I61" s="135">
        <f t="shared" si="36"/>
        <v>6.999885311154623E-2</v>
      </c>
      <c r="J61" s="135">
        <f t="shared" si="37"/>
        <v>7.0060405986165114E-2</v>
      </c>
      <c r="K61" s="136">
        <f t="shared" si="38"/>
        <v>0.36404636602153745</v>
      </c>
      <c r="L61" s="136">
        <f t="shared" si="39"/>
        <v>0.6359536339784625</v>
      </c>
      <c r="M61" s="134">
        <f t="shared" si="40"/>
        <v>3.0309081568858631</v>
      </c>
      <c r="N61" s="134">
        <f t="shared" si="41"/>
        <v>10731.887237412626</v>
      </c>
      <c r="O61" s="134">
        <f t="shared" si="42"/>
        <v>737048.79440224881</v>
      </c>
      <c r="P61" s="134">
        <f t="shared" si="43"/>
        <v>1.1021809241925373</v>
      </c>
      <c r="Q61" s="134">
        <f t="shared" si="44"/>
        <v>4797.3563411564892</v>
      </c>
      <c r="R61" s="134">
        <f t="shared" si="45"/>
        <v>125213.32097255101</v>
      </c>
      <c r="S61" s="134">
        <f t="shared" si="46"/>
        <v>1.0000000000001787</v>
      </c>
      <c r="T61" s="134">
        <f t="shared" si="47"/>
        <v>1.0000000000001787</v>
      </c>
      <c r="U61" s="134">
        <f t="shared" si="48"/>
        <v>9939621034.1255054</v>
      </c>
      <c r="V61" s="134">
        <f t="shared" si="49"/>
        <v>125213.32097255101</v>
      </c>
      <c r="W61" s="19">
        <f t="shared" si="50"/>
        <v>0.71258874019386598</v>
      </c>
      <c r="X61" s="19">
        <f t="shared" si="51"/>
        <v>1.0005186136782851</v>
      </c>
      <c r="Y61" s="19">
        <f t="shared" si="52"/>
        <v>1.022012786981946</v>
      </c>
      <c r="Z61" s="19">
        <f t="shared" si="53"/>
        <v>9.2707941091790827E-2</v>
      </c>
      <c r="AA61" s="19">
        <f t="shared" si="54"/>
        <v>0.99979155186129887</v>
      </c>
      <c r="AB61" s="19">
        <f t="shared" si="55"/>
        <v>1.8008352348082635</v>
      </c>
      <c r="AC61" s="19">
        <f t="shared" si="56"/>
        <v>1.7880095281683052E-13</v>
      </c>
      <c r="AD61" s="19">
        <f t="shared" si="57"/>
        <v>1.7880095281682438E-13</v>
      </c>
      <c r="AE61" s="19">
        <f t="shared" si="58"/>
        <v>0.99999999989939259</v>
      </c>
      <c r="AF61" s="19">
        <f t="shared" si="59"/>
        <v>1.8008352348082635</v>
      </c>
      <c r="AG61" s="134">
        <f t="shared" si="60"/>
        <v>4.3876269514919713E-2</v>
      </c>
      <c r="AH61" s="134">
        <f t="shared" si="61"/>
        <v>7.8668174211129622E-6</v>
      </c>
      <c r="AI61" s="134" t="str">
        <f t="shared" si="62"/>
        <v/>
      </c>
      <c r="AJ61" s="134" t="str">
        <f t="shared" si="63"/>
        <v/>
      </c>
      <c r="AK61" s="134" t="str">
        <f t="shared" si="64"/>
        <v/>
      </c>
      <c r="AL61" s="134" t="str">
        <f t="shared" si="65"/>
        <v/>
      </c>
      <c r="AM61" s="134" t="str">
        <f t="shared" si="66"/>
        <v/>
      </c>
      <c r="AN61" s="134" t="str">
        <f t="shared" si="74"/>
        <v/>
      </c>
      <c r="AO61" s="134">
        <f t="shared" si="67"/>
        <v>1.8312889634909836E-12</v>
      </c>
      <c r="AP61" s="134" t="str">
        <f t="shared" si="68"/>
        <v/>
      </c>
      <c r="AQ61" s="142">
        <f t="shared" si="69"/>
        <v>6.2529189849789446E-2</v>
      </c>
      <c r="AR61" s="134">
        <f t="shared" si="70"/>
        <v>6.2529189849789446E-2</v>
      </c>
      <c r="AS61" s="1042"/>
      <c r="AT61" s="468">
        <v>6.2529189849802727E-2</v>
      </c>
      <c r="AU61" s="143">
        <f t="shared" si="71"/>
        <v>0.80859153901559333</v>
      </c>
      <c r="AV61" s="17"/>
      <c r="AW61" s="136">
        <f t="shared" si="72"/>
        <v>5.7810756808933661E-3</v>
      </c>
      <c r="AX61" s="17"/>
      <c r="AY61" s="27"/>
      <c r="AZ61" s="1041"/>
      <c r="BA61" s="1041"/>
    </row>
    <row r="62" spans="1:53">
      <c r="A62" s="6">
        <v>11.939793326018844</v>
      </c>
      <c r="B62" s="534">
        <v>5.7817578076145644</v>
      </c>
      <c r="C62" s="136">
        <v>5.8000106811523438</v>
      </c>
      <c r="D62" s="135">
        <f t="shared" si="33"/>
        <v>2.0512444177463174E-6</v>
      </c>
      <c r="E62" s="135">
        <f t="shared" si="73"/>
        <v>0.26326115232568381</v>
      </c>
      <c r="F62" s="136">
        <f t="shared" si="34"/>
        <v>1.8252873537779379E-2</v>
      </c>
      <c r="G62" s="134">
        <f t="shared" si="28"/>
        <v>3.6987117084264174E-8</v>
      </c>
      <c r="H62" s="134">
        <f t="shared" si="35"/>
        <v>-1.9232035015635807E-4</v>
      </c>
      <c r="I62" s="135">
        <f t="shared" si="36"/>
        <v>6.8922871850528825E-2</v>
      </c>
      <c r="J62" s="135">
        <f t="shared" si="37"/>
        <v>6.9115192200685183E-2</v>
      </c>
      <c r="K62" s="136">
        <f t="shared" si="38"/>
        <v>0.37382187179941551</v>
      </c>
      <c r="L62" s="136">
        <f t="shared" si="39"/>
        <v>0.62617812820058449</v>
      </c>
      <c r="M62" s="134">
        <f t="shared" si="40"/>
        <v>2.4673786088853302</v>
      </c>
      <c r="N62" s="134">
        <f t="shared" si="41"/>
        <v>7993.2003434909866</v>
      </c>
      <c r="O62" s="134">
        <f t="shared" si="42"/>
        <v>542174.35048945143</v>
      </c>
      <c r="P62" s="134">
        <f t="shared" si="43"/>
        <v>1.0761144252996784</v>
      </c>
      <c r="Q62" s="134">
        <f t="shared" si="44"/>
        <v>3598.6375887970216</v>
      </c>
      <c r="R62" s="134">
        <f t="shared" si="45"/>
        <v>73704.125496434455</v>
      </c>
      <c r="S62" s="134">
        <f t="shared" si="46"/>
        <v>1.0000000000001332</v>
      </c>
      <c r="T62" s="134">
        <f t="shared" si="47"/>
        <v>1.0000000000001332</v>
      </c>
      <c r="U62" s="134">
        <f t="shared" si="48"/>
        <v>7404009590.9641161</v>
      </c>
      <c r="V62" s="134">
        <f t="shared" si="49"/>
        <v>73704.125496434455</v>
      </c>
      <c r="W62" s="19">
        <f t="shared" si="50"/>
        <v>0.62306446885960176</v>
      </c>
      <c r="X62" s="19">
        <f t="shared" si="51"/>
        <v>1.0003338418813823</v>
      </c>
      <c r="Y62" s="19">
        <f t="shared" si="52"/>
        <v>1.0164890623944436</v>
      </c>
      <c r="Z62" s="19">
        <f t="shared" si="53"/>
        <v>7.0730791735722554E-2</v>
      </c>
      <c r="AA62" s="19">
        <f t="shared" si="54"/>
        <v>0.99972211705810188</v>
      </c>
      <c r="AB62" s="19">
        <f t="shared" si="55"/>
        <v>1.7496936775748189</v>
      </c>
      <c r="AC62" s="19">
        <f t="shared" si="56"/>
        <v>1.3318857561360037E-13</v>
      </c>
      <c r="AD62" s="19">
        <f t="shared" si="57"/>
        <v>1.3318857561359777E-13</v>
      </c>
      <c r="AE62" s="19">
        <f t="shared" si="58"/>
        <v>0.99999999986493804</v>
      </c>
      <c r="AF62" s="19">
        <f t="shared" si="59"/>
        <v>1.7496936775748189</v>
      </c>
      <c r="AG62" s="134">
        <f t="shared" si="60"/>
        <v>4.6481132240996655E-2</v>
      </c>
      <c r="AH62" s="134">
        <f t="shared" si="61"/>
        <v>6.4172906086196573E-6</v>
      </c>
      <c r="AI62" s="134" t="str">
        <f t="shared" si="62"/>
        <v/>
      </c>
      <c r="AJ62" s="134" t="str">
        <f t="shared" si="63"/>
        <v/>
      </c>
      <c r="AK62" s="134" t="str">
        <f t="shared" si="64"/>
        <v/>
      </c>
      <c r="AL62" s="134" t="str">
        <f t="shared" si="65"/>
        <v/>
      </c>
      <c r="AM62" s="134" t="str">
        <f t="shared" si="66"/>
        <v/>
      </c>
      <c r="AN62" s="134" t="str">
        <f t="shared" si="74"/>
        <v/>
      </c>
      <c r="AO62" s="134">
        <f t="shared" si="67"/>
        <v>2.5244556156142023E-12</v>
      </c>
      <c r="AP62" s="134" t="str">
        <f t="shared" si="68"/>
        <v/>
      </c>
      <c r="AQ62" s="142">
        <f t="shared" si="69"/>
        <v>6.5614253166011438E-2</v>
      </c>
      <c r="AR62" s="134">
        <f t="shared" si="70"/>
        <v>6.5614253166011438E-2</v>
      </c>
      <c r="AS62" s="1042"/>
      <c r="AT62" s="468">
        <v>6.5614253166023984E-2</v>
      </c>
      <c r="AU62" s="143">
        <f t="shared" si="71"/>
        <v>0.80579539329216987</v>
      </c>
      <c r="AV62" s="17"/>
      <c r="AW62" s="136">
        <f t="shared" si="72"/>
        <v>1.8252873537779379E-2</v>
      </c>
      <c r="AX62" s="17"/>
      <c r="AY62" s="27"/>
      <c r="AZ62" s="1041"/>
      <c r="BA62" s="1041"/>
    </row>
    <row r="63" spans="1:53">
      <c r="A63" s="6">
        <v>12.423383911664132</v>
      </c>
      <c r="B63" s="534">
        <v>5.9118777988780709</v>
      </c>
      <c r="C63" s="136">
        <v>5.9385147094726563</v>
      </c>
      <c r="D63" s="135">
        <f t="shared" si="33"/>
        <v>1.5253056680624903E-6</v>
      </c>
      <c r="E63" s="135">
        <f t="shared" si="73"/>
        <v>0.2937350436623728</v>
      </c>
      <c r="F63" s="136">
        <f t="shared" si="34"/>
        <v>2.6636910594585395E-2</v>
      </c>
      <c r="G63" s="134">
        <f t="shared" si="28"/>
        <v>7.2609211226006386E-8</v>
      </c>
      <c r="H63" s="134">
        <f t="shared" si="35"/>
        <v>-2.6946096419705468E-4</v>
      </c>
      <c r="I63" s="135">
        <f t="shared" si="36"/>
        <v>6.7894896113839545E-2</v>
      </c>
      <c r="J63" s="135">
        <f t="shared" si="37"/>
        <v>6.81643570780366E-2</v>
      </c>
      <c r="K63" s="136">
        <f t="shared" si="38"/>
        <v>0.38316123775084709</v>
      </c>
      <c r="L63" s="136">
        <f t="shared" si="39"/>
        <v>0.61683876224915291</v>
      </c>
      <c r="M63" s="134">
        <f t="shared" si="40"/>
        <v>2.0557911589335416</v>
      </c>
      <c r="N63" s="134">
        <f t="shared" si="41"/>
        <v>5903.4972421725888</v>
      </c>
      <c r="O63" s="134">
        <f t="shared" si="42"/>
        <v>396063.52335141628</v>
      </c>
      <c r="P63" s="134">
        <f t="shared" si="43"/>
        <v>1.0562195698171346</v>
      </c>
      <c r="Q63" s="134">
        <f t="shared" si="44"/>
        <v>2676.2038705635227</v>
      </c>
      <c r="R63" s="134">
        <f t="shared" si="45"/>
        <v>43478.464365198291</v>
      </c>
      <c r="S63" s="134">
        <f t="shared" si="46"/>
        <v>1.0000000000000984</v>
      </c>
      <c r="T63" s="134">
        <f t="shared" si="47"/>
        <v>1.0000000000000984</v>
      </c>
      <c r="U63" s="134">
        <f t="shared" si="48"/>
        <v>5468743047.1552906</v>
      </c>
      <c r="V63" s="134">
        <f t="shared" si="49"/>
        <v>43478.464365198291</v>
      </c>
      <c r="W63" s="19">
        <f t="shared" si="50"/>
        <v>0.53174675224830459</v>
      </c>
      <c r="X63" s="19">
        <f t="shared" si="51"/>
        <v>1.0001719078987428</v>
      </c>
      <c r="Y63" s="19">
        <f t="shared" si="52"/>
        <v>1.0122306962119838</v>
      </c>
      <c r="Z63" s="19">
        <f t="shared" si="53"/>
        <v>5.3227161684637272E-2</v>
      </c>
      <c r="AA63" s="19">
        <f t="shared" si="54"/>
        <v>0.99962633638976484</v>
      </c>
      <c r="AB63" s="19">
        <f t="shared" si="55"/>
        <v>1.6886792054053674</v>
      </c>
      <c r="AC63" s="19">
        <f t="shared" si="56"/>
        <v>9.8375628380512925E-14</v>
      </c>
      <c r="AD63" s="19">
        <f t="shared" si="57"/>
        <v>9.8375628380511864E-14</v>
      </c>
      <c r="AE63" s="19">
        <f t="shared" si="58"/>
        <v>0.9999999998171426</v>
      </c>
      <c r="AF63" s="19">
        <f t="shared" si="59"/>
        <v>1.6886792054053674</v>
      </c>
      <c r="AG63" s="134">
        <f t="shared" si="60"/>
        <v>4.9149315713373158E-2</v>
      </c>
      <c r="AH63" s="134">
        <f t="shared" si="61"/>
        <v>5.5275098638226383E-6</v>
      </c>
      <c r="AI63" s="134" t="str">
        <f t="shared" si="62"/>
        <v/>
      </c>
      <c r="AJ63" s="134" t="str">
        <f t="shared" si="63"/>
        <v/>
      </c>
      <c r="AK63" s="134" t="str">
        <f t="shared" si="64"/>
        <v/>
      </c>
      <c r="AL63" s="134" t="str">
        <f t="shared" si="65"/>
        <v/>
      </c>
      <c r="AM63" s="134" t="str">
        <f t="shared" si="66"/>
        <v/>
      </c>
      <c r="AN63" s="134" t="str">
        <f t="shared" si="74"/>
        <v/>
      </c>
      <c r="AO63" s="134">
        <f t="shared" si="67"/>
        <v>3.5031929133163281E-12</v>
      </c>
      <c r="AP63" s="134" t="str">
        <f t="shared" si="68"/>
        <v/>
      </c>
      <c r="AQ63" s="142">
        <f t="shared" si="69"/>
        <v>6.8741771810955685E-2</v>
      </c>
      <c r="AR63" s="134">
        <f t="shared" si="70"/>
        <v>6.8741771810955685E-2</v>
      </c>
      <c r="AS63" s="1042"/>
      <c r="AT63" s="468">
        <v>6.8741771810964442E-2</v>
      </c>
      <c r="AU63" s="143">
        <f t="shared" si="71"/>
        <v>0.80309203200641033</v>
      </c>
      <c r="AV63" s="17"/>
      <c r="AW63" s="136">
        <f t="shared" si="72"/>
        <v>2.6636910594585395E-2</v>
      </c>
      <c r="AX63" s="17"/>
      <c r="AY63" s="27"/>
      <c r="AZ63" s="1041"/>
      <c r="BA63" s="1041"/>
    </row>
    <row r="64" spans="1:53">
      <c r="A64" s="6">
        <v>12.881495391775388</v>
      </c>
      <c r="B64" s="534">
        <v>6.0577402761172214</v>
      </c>
      <c r="C64" s="136">
        <v>6.0759658813476563</v>
      </c>
      <c r="D64" s="135">
        <f t="shared" si="33"/>
        <v>1.0939165285352656E-6</v>
      </c>
      <c r="E64" s="135">
        <f t="shared" si="73"/>
        <v>0.30274812245743393</v>
      </c>
      <c r="F64" s="136">
        <f t="shared" si="34"/>
        <v>1.8225605230434816E-2</v>
      </c>
      <c r="G64" s="134">
        <f t="shared" si="28"/>
        <v>2.8854860231211961E-8</v>
      </c>
      <c r="H64" s="134">
        <f t="shared" si="35"/>
        <v>-1.6986718409160717E-4</v>
      </c>
      <c r="I64" s="135">
        <f t="shared" si="36"/>
        <v>6.6948971028008702E-2</v>
      </c>
      <c r="J64" s="135">
        <f t="shared" si="37"/>
        <v>6.711883821210031E-2</v>
      </c>
      <c r="K64" s="136">
        <f t="shared" si="38"/>
        <v>0.3917551570661662</v>
      </c>
      <c r="L64" s="136">
        <f t="shared" si="39"/>
        <v>0.60824484293383374</v>
      </c>
      <c r="M64" s="134">
        <f t="shared" si="40"/>
        <v>1.7340867335655692</v>
      </c>
      <c r="N64" s="134">
        <f t="shared" si="41"/>
        <v>4204.7957615716159</v>
      </c>
      <c r="O64" s="134">
        <f t="shared" si="42"/>
        <v>279191.48237297451</v>
      </c>
      <c r="P64" s="134">
        <f t="shared" si="43"/>
        <v>1.0400437981373678</v>
      </c>
      <c r="Q64" s="134">
        <f t="shared" si="44"/>
        <v>1919.5988700404284</v>
      </c>
      <c r="R64" s="134">
        <f t="shared" si="45"/>
        <v>24662.494082725098</v>
      </c>
      <c r="S64" s="134">
        <f t="shared" si="46"/>
        <v>1.0000000000000702</v>
      </c>
      <c r="T64" s="134">
        <f t="shared" si="47"/>
        <v>1.0000000000000702</v>
      </c>
      <c r="U64" s="134">
        <f t="shared" si="48"/>
        <v>3895249347.7609658</v>
      </c>
      <c r="V64" s="134">
        <f t="shared" si="49"/>
        <v>24662.494082725098</v>
      </c>
      <c r="W64" s="19">
        <f t="shared" si="50"/>
        <v>0.43402968628058453</v>
      </c>
      <c r="X64" s="19">
        <f t="shared" si="51"/>
        <v>1.0000069555378246</v>
      </c>
      <c r="Y64" s="19">
        <f t="shared" si="52"/>
        <v>1.008740605320515</v>
      </c>
      <c r="Z64" s="19">
        <f t="shared" si="53"/>
        <v>3.8502030596291141E-2</v>
      </c>
      <c r="AA64" s="19">
        <f t="shared" si="54"/>
        <v>0.99947905783046276</v>
      </c>
      <c r="AB64" s="19">
        <f t="shared" si="55"/>
        <v>1.6117244316066388</v>
      </c>
      <c r="AC64" s="19">
        <f t="shared" si="56"/>
        <v>7.0070507723925235E-14</v>
      </c>
      <c r="AD64" s="19">
        <f t="shared" si="57"/>
        <v>7.0070507723924843E-14</v>
      </c>
      <c r="AE64" s="19">
        <f t="shared" si="58"/>
        <v>0.99999999974327702</v>
      </c>
      <c r="AF64" s="19">
        <f t="shared" si="59"/>
        <v>1.6117244316066388</v>
      </c>
      <c r="AG64" s="134">
        <f t="shared" si="60"/>
        <v>5.2063543992103764E-2</v>
      </c>
      <c r="AH64" s="134">
        <f t="shared" si="61"/>
        <v>5.1507297074596373E-6</v>
      </c>
      <c r="AI64" s="134" t="str">
        <f t="shared" si="62"/>
        <v/>
      </c>
      <c r="AJ64" s="134" t="str">
        <f t="shared" si="63"/>
        <v/>
      </c>
      <c r="AK64" s="134" t="str">
        <f t="shared" si="64"/>
        <v/>
      </c>
      <c r="AL64" s="134" t="str">
        <f t="shared" si="65"/>
        <v/>
      </c>
      <c r="AM64" s="134" t="str">
        <f t="shared" si="66"/>
        <v/>
      </c>
      <c r="AN64" s="134" t="str">
        <f t="shared" si="74"/>
        <v/>
      </c>
      <c r="AO64" s="134">
        <f t="shared" si="67"/>
        <v>5.0286274650344474E-12</v>
      </c>
      <c r="AP64" s="134" t="str">
        <f t="shared" si="68"/>
        <v/>
      </c>
      <c r="AQ64" s="142">
        <f t="shared" si="69"/>
        <v>7.207914129145461E-2</v>
      </c>
      <c r="AR64" s="134">
        <f t="shared" si="70"/>
        <v>7.207914129145461E-2</v>
      </c>
      <c r="AS64" s="1042"/>
      <c r="AT64" s="468">
        <v>7.207914129145862E-2</v>
      </c>
      <c r="AU64" s="143">
        <f t="shared" si="71"/>
        <v>0.80034187342791308</v>
      </c>
      <c r="AV64" s="17"/>
      <c r="AW64" s="136">
        <f t="shared" si="72"/>
        <v>1.8225605230434816E-2</v>
      </c>
      <c r="AX64" s="17"/>
      <c r="AY64" s="27"/>
      <c r="AZ64" s="1041"/>
      <c r="BA64" s="1041"/>
    </row>
    <row r="65" spans="1:53">
      <c r="A65" s="6">
        <v>13.297209756274242</v>
      </c>
      <c r="B65" s="534">
        <v>6.1770905069722941</v>
      </c>
      <c r="C65" s="136">
        <v>6.2145309448242188</v>
      </c>
      <c r="D65" s="135">
        <f t="shared" si="33"/>
        <v>8.3305379102955827E-7</v>
      </c>
      <c r="E65" s="135">
        <f t="shared" si="73"/>
        <v>0.47219089696073652</v>
      </c>
      <c r="F65" s="136">
        <f t="shared" si="34"/>
        <v>3.7440437851924635E-2</v>
      </c>
      <c r="G65" s="134">
        <f t="shared" si="28"/>
        <v>9.7172075621892436E-8</v>
      </c>
      <c r="H65" s="134">
        <f t="shared" si="35"/>
        <v>-3.1172435840320922E-4</v>
      </c>
      <c r="I65" s="135">
        <f t="shared" si="36"/>
        <v>6.6113115737175626E-2</v>
      </c>
      <c r="J65" s="135">
        <f t="shared" si="37"/>
        <v>6.6424840095578835E-2</v>
      </c>
      <c r="K65" s="136">
        <f t="shared" si="38"/>
        <v>0.39934907019554783</v>
      </c>
      <c r="L65" s="136">
        <f t="shared" si="39"/>
        <v>0.60065092980445223</v>
      </c>
      <c r="M65" s="134">
        <f t="shared" si="40"/>
        <v>1.5476411527380731</v>
      </c>
      <c r="N65" s="134">
        <f t="shared" si="41"/>
        <v>3186.8617684820201</v>
      </c>
      <c r="O65" s="134">
        <f t="shared" si="42"/>
        <v>210142.93649593068</v>
      </c>
      <c r="P65" s="134">
        <f t="shared" si="43"/>
        <v>1.030349108687896</v>
      </c>
      <c r="Q65" s="134">
        <f t="shared" si="44"/>
        <v>1462.0768010721031</v>
      </c>
      <c r="R65" s="134">
        <f t="shared" si="45"/>
        <v>15847.470038719046</v>
      </c>
      <c r="S65" s="134">
        <f t="shared" si="46"/>
        <v>1.0000000000000531</v>
      </c>
      <c r="T65" s="134">
        <f t="shared" si="47"/>
        <v>1.0000000000000531</v>
      </c>
      <c r="U65" s="134">
        <f t="shared" si="48"/>
        <v>2952201123.0256052</v>
      </c>
      <c r="V65" s="134">
        <f t="shared" si="49"/>
        <v>15847.470038719046</v>
      </c>
      <c r="W65" s="19">
        <f t="shared" si="50"/>
        <v>0.36064209216796644</v>
      </c>
      <c r="X65" s="19">
        <f t="shared" si="51"/>
        <v>0.99987261590861476</v>
      </c>
      <c r="Y65" s="19">
        <f t="shared" si="52"/>
        <v>1.0066364936609902</v>
      </c>
      <c r="Z65" s="19">
        <f t="shared" si="53"/>
        <v>2.9455170516471008E-2</v>
      </c>
      <c r="AA65" s="19">
        <f t="shared" si="54"/>
        <v>0.99931604140133634</v>
      </c>
      <c r="AB65" s="19">
        <f t="shared" si="55"/>
        <v>1.5441949197498164</v>
      </c>
      <c r="AC65" s="19">
        <f t="shared" si="56"/>
        <v>5.3106287428702546E-14</v>
      </c>
      <c r="AD65" s="19">
        <f t="shared" si="57"/>
        <v>5.3106287428702376E-14</v>
      </c>
      <c r="AE65" s="19">
        <f t="shared" si="58"/>
        <v>0.99999999966126973</v>
      </c>
      <c r="AF65" s="19">
        <f t="shared" si="59"/>
        <v>1.5441949197498164</v>
      </c>
      <c r="AG65" s="134">
        <f t="shared" si="60"/>
        <v>5.4108276240808752E-2</v>
      </c>
      <c r="AH65" s="134">
        <f t="shared" si="61"/>
        <v>5.2718102649001038E-6</v>
      </c>
      <c r="AI65" s="134" t="str">
        <f t="shared" si="62"/>
        <v/>
      </c>
      <c r="AJ65" s="134" t="str">
        <f t="shared" si="63"/>
        <v/>
      </c>
      <c r="AK65" s="134" t="str">
        <f t="shared" si="64"/>
        <v/>
      </c>
      <c r="AL65" s="134" t="str">
        <f t="shared" si="65"/>
        <v/>
      </c>
      <c r="AM65" s="134" t="str">
        <f t="shared" si="66"/>
        <v/>
      </c>
      <c r="AN65" s="134" t="str">
        <f t="shared" si="74"/>
        <v/>
      </c>
      <c r="AO65" s="134">
        <f t="shared" si="67"/>
        <v>6.7635817065584832E-12</v>
      </c>
      <c r="AP65" s="134" t="str">
        <f t="shared" si="68"/>
        <v/>
      </c>
      <c r="AQ65" s="142">
        <f t="shared" si="69"/>
        <v>7.449829180964633E-2</v>
      </c>
      <c r="AR65" s="134">
        <f t="shared" si="70"/>
        <v>7.449829180964633E-2</v>
      </c>
      <c r="AS65" s="1042"/>
      <c r="AT65" s="468">
        <v>7.4498291809647899E-2</v>
      </c>
      <c r="AU65" s="143">
        <f t="shared" si="71"/>
        <v>0.79842926696975713</v>
      </c>
      <c r="AV65" s="17"/>
      <c r="AW65" s="136">
        <f t="shared" si="72"/>
        <v>3.7440437851924635E-2</v>
      </c>
      <c r="AX65" s="17"/>
      <c r="AY65" s="27"/>
      <c r="AZ65" s="1041"/>
      <c r="BA65" s="1041"/>
    </row>
    <row r="66" spans="1:53">
      <c r="A66" s="6">
        <v>13.659096746414434</v>
      </c>
      <c r="B66" s="534">
        <v>6.4149534237326344</v>
      </c>
      <c r="C66" s="136">
        <v>6.3485183715820313</v>
      </c>
      <c r="D66" s="135">
        <f t="shared" si="33"/>
        <v>4.8367061908582483E-7</v>
      </c>
      <c r="E66" s="135">
        <f t="shared" si="73"/>
        <v>0.43065655041766648</v>
      </c>
      <c r="F66" s="136">
        <f t="shared" si="34"/>
        <v>-6.6435052150603191E-2</v>
      </c>
      <c r="G66" s="134">
        <f t="shared" si="28"/>
        <v>1.9739375194053149E-7</v>
      </c>
      <c r="H66" s="134">
        <f t="shared" si="35"/>
        <v>4.4429016637838326E-4</v>
      </c>
      <c r="I66" s="135">
        <f t="shared" si="36"/>
        <v>6.5402298193758771E-2</v>
      </c>
      <c r="J66" s="135">
        <f t="shared" si="37"/>
        <v>6.4958008027380387E-2</v>
      </c>
      <c r="K66" s="136">
        <f t="shared" si="38"/>
        <v>0.40580699028619899</v>
      </c>
      <c r="L66" s="136">
        <f t="shared" si="39"/>
        <v>0.59419300971380107</v>
      </c>
      <c r="M66" s="134">
        <f t="shared" si="40"/>
        <v>1.3078586580950413</v>
      </c>
      <c r="N66" s="134">
        <f t="shared" si="41"/>
        <v>1835.8073402779485</v>
      </c>
      <c r="O66" s="134">
        <f t="shared" si="42"/>
        <v>119731.921676699</v>
      </c>
      <c r="P66" s="134">
        <f t="shared" si="43"/>
        <v>1.0174800812058387</v>
      </c>
      <c r="Q66" s="134">
        <f t="shared" si="44"/>
        <v>849.30046812836167</v>
      </c>
      <c r="R66" s="134">
        <f t="shared" si="45"/>
        <v>6965.5216024124438</v>
      </c>
      <c r="S66" s="134">
        <f t="shared" si="46"/>
        <v>1.0000000000000306</v>
      </c>
      <c r="T66" s="134">
        <f t="shared" si="47"/>
        <v>1.0000000000000306</v>
      </c>
      <c r="U66" s="134">
        <f t="shared" si="48"/>
        <v>1700370047.4375329</v>
      </c>
      <c r="V66" s="134">
        <f t="shared" si="49"/>
        <v>6965.5216024124438</v>
      </c>
      <c r="W66" s="19">
        <f t="shared" si="50"/>
        <v>0.23799072766944498</v>
      </c>
      <c r="X66" s="19">
        <f t="shared" si="51"/>
        <v>0.99956349019527357</v>
      </c>
      <c r="Y66" s="19">
        <f t="shared" si="52"/>
        <v>1.0038275780498829</v>
      </c>
      <c r="Z66" s="19">
        <f t="shared" si="53"/>
        <v>1.7179777303475575E-2</v>
      </c>
      <c r="AA66" s="19">
        <f t="shared" si="54"/>
        <v>0.99882256040408912</v>
      </c>
      <c r="AB66" s="19">
        <f t="shared" si="55"/>
        <v>1.4073558487480395</v>
      </c>
      <c r="AC66" s="19">
        <f t="shared" si="56"/>
        <v>3.058746224451428E-14</v>
      </c>
      <c r="AD66" s="19">
        <f t="shared" si="57"/>
        <v>3.0587462244514248E-14</v>
      </c>
      <c r="AE66" s="19">
        <f t="shared" si="58"/>
        <v>0.99999999941189277</v>
      </c>
      <c r="AF66" s="19">
        <f t="shared" si="59"/>
        <v>1.4073558487480395</v>
      </c>
      <c r="AG66" s="134">
        <f t="shared" si="60"/>
        <v>5.8016842986040276E-2</v>
      </c>
      <c r="AH66" s="134">
        <f t="shared" si="61"/>
        <v>6.8075993126143436E-6</v>
      </c>
      <c r="AI66" s="134" t="str">
        <f t="shared" si="62"/>
        <v/>
      </c>
      <c r="AJ66" s="134" t="str">
        <f t="shared" si="63"/>
        <v/>
      </c>
      <c r="AK66" s="134" t="str">
        <f t="shared" si="64"/>
        <v/>
      </c>
      <c r="AL66" s="134" t="str">
        <f t="shared" si="65"/>
        <v/>
      </c>
      <c r="AM66" s="134" t="str">
        <f t="shared" si="66"/>
        <v/>
      </c>
      <c r="AN66" s="134" t="str">
        <f t="shared" si="74"/>
        <v/>
      </c>
      <c r="AO66" s="134">
        <f t="shared" si="67"/>
        <v>1.1932902220247657E-11</v>
      </c>
      <c r="AP66" s="134" t="str">
        <f t="shared" si="68"/>
        <v/>
      </c>
      <c r="AQ66" s="142">
        <f t="shared" si="69"/>
        <v>7.8726640711172316E-2</v>
      </c>
      <c r="AR66" s="134">
        <f t="shared" si="70"/>
        <v>7.8726640711172316E-2</v>
      </c>
      <c r="AS66" s="1042"/>
      <c r="AT66" s="468">
        <v>7.8726640711172455E-2</v>
      </c>
      <c r="AU66" s="143">
        <f t="shared" si="71"/>
        <v>0.79523753343702797</v>
      </c>
      <c r="AV66" s="17"/>
      <c r="AW66" s="136">
        <f t="shared" si="72"/>
        <v>-6.6435052150603191E-2</v>
      </c>
      <c r="AX66" s="17"/>
      <c r="AY66" s="27"/>
      <c r="AZ66" s="1041"/>
      <c r="BA66" s="1041"/>
    </row>
    <row r="67" spans="1:53">
      <c r="A67" s="6">
        <v>13.962769800855312</v>
      </c>
      <c r="B67" s="534">
        <v>6.4769112381131961</v>
      </c>
      <c r="C67" s="136">
        <v>6.4887008666992188</v>
      </c>
      <c r="D67" s="135">
        <f t="shared" si="33"/>
        <v>4.1963201318640856E-7</v>
      </c>
      <c r="E67" s="135">
        <f t="shared" si="73"/>
        <v>0.40620512125552644</v>
      </c>
      <c r="F67" s="136">
        <f t="shared" si="34"/>
        <v>1.1789628586022616E-2</v>
      </c>
      <c r="G67" s="134">
        <f t="shared" si="28"/>
        <v>4.6419816564097087E-9</v>
      </c>
      <c r="H67" s="134">
        <f t="shared" si="35"/>
        <v>-6.8132089769870618E-5</v>
      </c>
      <c r="I67" s="135">
        <f t="shared" si="36"/>
        <v>6.4817513272611024E-2</v>
      </c>
      <c r="J67" s="135">
        <f t="shared" si="37"/>
        <v>6.4885645362380895E-2</v>
      </c>
      <c r="K67" s="136">
        <f t="shared" si="38"/>
        <v>0.41111987870034311</v>
      </c>
      <c r="L67" s="136">
        <f t="shared" si="39"/>
        <v>0.58888012129965683</v>
      </c>
      <c r="M67" s="134">
        <f t="shared" si="40"/>
        <v>1.2656831168473606</v>
      </c>
      <c r="N67" s="134">
        <f t="shared" si="41"/>
        <v>1590.8264153835332</v>
      </c>
      <c r="O67" s="134">
        <f t="shared" si="42"/>
        <v>103561.91539474028</v>
      </c>
      <c r="P67" s="134">
        <f t="shared" si="43"/>
        <v>1.0151463821901068</v>
      </c>
      <c r="Q67" s="134">
        <f t="shared" si="44"/>
        <v>736.98440587624668</v>
      </c>
      <c r="R67" s="134">
        <f t="shared" si="45"/>
        <v>5700.089720804207</v>
      </c>
      <c r="S67" s="134">
        <f t="shared" si="46"/>
        <v>1.0000000000000264</v>
      </c>
      <c r="T67" s="134">
        <f t="shared" si="47"/>
        <v>1.0000000000000264</v>
      </c>
      <c r="U67" s="134">
        <f t="shared" si="48"/>
        <v>1473360123.5691209</v>
      </c>
      <c r="V67" s="134">
        <f t="shared" si="49"/>
        <v>5700.089720804207</v>
      </c>
      <c r="W67" s="19">
        <f t="shared" si="50"/>
        <v>0.2119215590309747</v>
      </c>
      <c r="X67" s="19">
        <f t="shared" si="51"/>
        <v>0.99946527193769086</v>
      </c>
      <c r="Y67" s="19">
        <f t="shared" si="52"/>
        <v>1.0033158523234815</v>
      </c>
      <c r="Z67" s="19">
        <f t="shared" si="53"/>
        <v>1.4920392227010177E-2</v>
      </c>
      <c r="AA67" s="19">
        <f t="shared" si="54"/>
        <v>0.9986431191867472</v>
      </c>
      <c r="AB67" s="19">
        <f t="shared" si="55"/>
        <v>1.3732263833629443</v>
      </c>
      <c r="AC67" s="19">
        <f t="shared" si="56"/>
        <v>2.6503846742244854E-14</v>
      </c>
      <c r="AD67" s="19">
        <f t="shared" si="57"/>
        <v>2.6503846742244832E-14</v>
      </c>
      <c r="AE67" s="19">
        <f t="shared" si="58"/>
        <v>0.99999999932127936</v>
      </c>
      <c r="AF67" s="19">
        <f t="shared" si="59"/>
        <v>1.3732263833629443</v>
      </c>
      <c r="AG67" s="134">
        <f t="shared" si="60"/>
        <v>5.8448374794994505E-2</v>
      </c>
      <c r="AH67" s="134">
        <f t="shared" si="61"/>
        <v>7.4654020390200459E-6</v>
      </c>
      <c r="AI67" s="134" t="str">
        <f t="shared" si="62"/>
        <v/>
      </c>
      <c r="AJ67" s="134" t="str">
        <f t="shared" si="63"/>
        <v/>
      </c>
      <c r="AK67" s="134" t="str">
        <f t="shared" si="64"/>
        <v/>
      </c>
      <c r="AL67" s="134" t="str">
        <f t="shared" si="65"/>
        <v/>
      </c>
      <c r="AM67" s="134" t="str">
        <f t="shared" si="66"/>
        <v/>
      </c>
      <c r="AN67" s="134" t="str">
        <f t="shared" si="74"/>
        <v/>
      </c>
      <c r="AO67" s="134">
        <f t="shared" si="67"/>
        <v>1.3951778391573115E-11</v>
      </c>
      <c r="AP67" s="134" t="str">
        <f t="shared" si="68"/>
        <v/>
      </c>
      <c r="AQ67" s="142">
        <f t="shared" si="69"/>
        <v>7.9420758007669123E-2</v>
      </c>
      <c r="AR67" s="134">
        <f t="shared" si="70"/>
        <v>7.9420758007669123E-2</v>
      </c>
      <c r="AS67" s="1042"/>
      <c r="AT67" s="468">
        <v>7.9420758007669179E-2</v>
      </c>
      <c r="AU67" s="143">
        <f t="shared" si="71"/>
        <v>0.794730991767851</v>
      </c>
      <c r="AV67" s="17"/>
      <c r="AW67" s="136">
        <f t="shared" si="72"/>
        <v>1.1789628586022616E-2</v>
      </c>
      <c r="AX67" s="17"/>
      <c r="AY67" s="27"/>
      <c r="AZ67" s="1041"/>
      <c r="BA67" s="1041"/>
    </row>
    <row r="68" spans="1:53">
      <c r="A68" s="6">
        <v>14.210002183972392</v>
      </c>
      <c r="B68" s="534">
        <v>6.6273230229128508</v>
      </c>
      <c r="C68" s="136">
        <v>6.6259994506835938</v>
      </c>
      <c r="D68" s="135">
        <f t="shared" si="33"/>
        <v>2.9726554555903428E-7</v>
      </c>
      <c r="E68" s="135">
        <f t="shared" si="73"/>
        <v>0.68177706441362218</v>
      </c>
      <c r="F68" s="136">
        <f t="shared" si="34"/>
        <v>-1.3235722292570529E-3</v>
      </c>
      <c r="G68" s="134">
        <f t="shared" si="28"/>
        <v>3.6916304990315059E-11</v>
      </c>
      <c r="H68" s="134">
        <f t="shared" si="35"/>
        <v>6.0758789479642417E-6</v>
      </c>
      <c r="I68" s="135">
        <f t="shared" si="36"/>
        <v>6.4349083361734907E-2</v>
      </c>
      <c r="J68" s="135">
        <f t="shared" si="37"/>
        <v>6.4343007482786943E-2</v>
      </c>
      <c r="K68" s="136">
        <f t="shared" si="38"/>
        <v>0.41537565848592289</v>
      </c>
      <c r="L68" s="136">
        <f t="shared" si="39"/>
        <v>0.58462434151407716</v>
      </c>
      <c r="M68" s="134">
        <f t="shared" si="40"/>
        <v>1.1859008365984482</v>
      </c>
      <c r="N68" s="134">
        <f t="shared" si="41"/>
        <v>1123.6342295207669</v>
      </c>
      <c r="O68" s="134">
        <f t="shared" si="42"/>
        <v>72828.64333776664</v>
      </c>
      <c r="P68" s="134">
        <f t="shared" si="43"/>
        <v>1.0106957040814946</v>
      </c>
      <c r="Q68" s="134">
        <f t="shared" si="44"/>
        <v>522.36824422534391</v>
      </c>
      <c r="R68" s="134">
        <f t="shared" si="45"/>
        <v>3572.4676234235949</v>
      </c>
      <c r="S68" s="134">
        <f t="shared" si="46"/>
        <v>1.0000000000000187</v>
      </c>
      <c r="T68" s="134">
        <f t="shared" si="47"/>
        <v>1.0000000000000187</v>
      </c>
      <c r="U68" s="134">
        <f t="shared" si="48"/>
        <v>1040421646.161374</v>
      </c>
      <c r="V68" s="134">
        <f t="shared" si="49"/>
        <v>3572.4676234235949</v>
      </c>
      <c r="W68" s="19">
        <f t="shared" si="50"/>
        <v>0.15781789949347086</v>
      </c>
      <c r="X68" s="19">
        <f t="shared" si="51"/>
        <v>0.99917651648662842</v>
      </c>
      <c r="Y68" s="19">
        <f t="shared" si="52"/>
        <v>1.0023368832608348</v>
      </c>
      <c r="Z68" s="19">
        <f t="shared" si="53"/>
        <v>1.0582516615339359E-2</v>
      </c>
      <c r="AA68" s="19">
        <f t="shared" si="54"/>
        <v>0.99808564166934965</v>
      </c>
      <c r="AB68" s="19">
        <f t="shared" si="55"/>
        <v>1.295872483408177</v>
      </c>
      <c r="AC68" s="19">
        <f t="shared" si="56"/>
        <v>1.8715842380639229E-14</v>
      </c>
      <c r="AD68" s="19">
        <f t="shared" si="57"/>
        <v>1.8715842380639222E-14</v>
      </c>
      <c r="AE68" s="19">
        <f t="shared" si="58"/>
        <v>0.99999999903885117</v>
      </c>
      <c r="AF68" s="19">
        <f t="shared" si="59"/>
        <v>1.295872483408177</v>
      </c>
      <c r="AG68" s="134">
        <f t="shared" si="60"/>
        <v>5.9987955213061959E-2</v>
      </c>
      <c r="AH68" s="134">
        <f t="shared" si="61"/>
        <v>9.8116466717732672E-6</v>
      </c>
      <c r="AI68" s="134" t="str">
        <f t="shared" si="62"/>
        <v/>
      </c>
      <c r="AJ68" s="134" t="str">
        <f t="shared" si="63"/>
        <v/>
      </c>
      <c r="AK68" s="134" t="str">
        <f t="shared" si="64"/>
        <v/>
      </c>
      <c r="AL68" s="134" t="str">
        <f t="shared" si="65"/>
        <v/>
      </c>
      <c r="AM68" s="134" t="str">
        <f t="shared" si="66"/>
        <v/>
      </c>
      <c r="AN68" s="134" t="str">
        <f t="shared" si="74"/>
        <v/>
      </c>
      <c r="AO68" s="134">
        <f t="shared" si="67"/>
        <v>1.9961890451743654E-11</v>
      </c>
      <c r="AP68" s="134" t="str">
        <f t="shared" si="68"/>
        <v/>
      </c>
      <c r="AQ68" s="142">
        <f t="shared" si="69"/>
        <v>8.1172466787603814E-2</v>
      </c>
      <c r="AR68" s="134">
        <f t="shared" si="70"/>
        <v>8.1172466787603814E-2</v>
      </c>
      <c r="AS68" s="1042"/>
      <c r="AT68" s="468">
        <v>8.1172466787603814E-2</v>
      </c>
      <c r="AU68" s="143">
        <f t="shared" si="71"/>
        <v>0.79347345375517875</v>
      </c>
      <c r="AV68" s="17"/>
      <c r="AW68" s="136">
        <f t="shared" si="72"/>
        <v>-1.3235722292570529E-3</v>
      </c>
      <c r="AX68" s="17"/>
      <c r="AY68" s="27"/>
      <c r="AZ68" s="1041"/>
      <c r="BA68" s="1041"/>
    </row>
    <row r="69" spans="1:53">
      <c r="A69" s="6">
        <v>14.406663844420109</v>
      </c>
      <c r="B69" s="534">
        <v>6.7758363854579944</v>
      </c>
      <c r="C69" s="136">
        <v>6.7635574340820313</v>
      </c>
      <c r="D69" s="135">
        <f t="shared" si="33"/>
        <v>2.1141722535256509E-7</v>
      </c>
      <c r="E69" s="135">
        <f t="shared" si="73"/>
        <v>0.85865529935861806</v>
      </c>
      <c r="F69" s="136">
        <f t="shared" si="34"/>
        <v>-1.2278951375963132E-2</v>
      </c>
      <c r="G69" s="134">
        <f t="shared" si="28"/>
        <v>1.9276511565781989E-9</v>
      </c>
      <c r="H69" s="134">
        <f t="shared" si="35"/>
        <v>4.3905024274884519E-5</v>
      </c>
      <c r="I69" s="135">
        <f t="shared" si="36"/>
        <v>6.3981276775213439E-2</v>
      </c>
      <c r="J69" s="135">
        <f t="shared" si="37"/>
        <v>6.3937371750938554E-2</v>
      </c>
      <c r="K69" s="136">
        <f t="shared" si="38"/>
        <v>0.41871725516789693</v>
      </c>
      <c r="L69" s="136">
        <f t="shared" si="39"/>
        <v>0.58128274483210307</v>
      </c>
      <c r="M69" s="134">
        <f t="shared" si="40"/>
        <v>1.1310281427129127</v>
      </c>
      <c r="N69" s="134">
        <f t="shared" si="41"/>
        <v>797.53967971814836</v>
      </c>
      <c r="O69" s="134">
        <f t="shared" si="42"/>
        <v>51518.977274812256</v>
      </c>
      <c r="P69" s="134">
        <f t="shared" si="43"/>
        <v>1.0075890403208063</v>
      </c>
      <c r="Q69" s="134">
        <f t="shared" si="44"/>
        <v>371.80054929934954</v>
      </c>
      <c r="R69" s="134">
        <f t="shared" si="45"/>
        <v>2311.633520454905</v>
      </c>
      <c r="S69" s="134">
        <f t="shared" si="46"/>
        <v>1.0000000000000133</v>
      </c>
      <c r="T69" s="134">
        <f t="shared" si="47"/>
        <v>1.0000000000000133</v>
      </c>
      <c r="U69" s="134">
        <f t="shared" si="48"/>
        <v>738221791.31957603</v>
      </c>
      <c r="V69" s="134">
        <f t="shared" si="49"/>
        <v>2311.633520454905</v>
      </c>
      <c r="W69" s="19">
        <f t="shared" si="50"/>
        <v>0.11640357673696596</v>
      </c>
      <c r="X69" s="19">
        <f t="shared" si="51"/>
        <v>0.99879341272883282</v>
      </c>
      <c r="Y69" s="19">
        <f t="shared" si="52"/>
        <v>1.0016495767726756</v>
      </c>
      <c r="Z69" s="19">
        <f t="shared" si="53"/>
        <v>7.5318805754278758E-3</v>
      </c>
      <c r="AA69" s="19">
        <f t="shared" si="54"/>
        <v>0.99731038589941712</v>
      </c>
      <c r="AB69" s="19">
        <f t="shared" si="55"/>
        <v>1.2294474266616497</v>
      </c>
      <c r="AC69" s="19">
        <f t="shared" si="56"/>
        <v>1.3279657080816816E-14</v>
      </c>
      <c r="AD69" s="19">
        <f t="shared" si="57"/>
        <v>1.3279657080816813E-14</v>
      </c>
      <c r="AE69" s="19">
        <f t="shared" si="58"/>
        <v>0.99999999864539357</v>
      </c>
      <c r="AF69" s="19">
        <f t="shared" si="59"/>
        <v>1.2294474266616497</v>
      </c>
      <c r="AG69" s="134">
        <f t="shared" si="60"/>
        <v>6.1141561444182667E-2</v>
      </c>
      <c r="AH69" s="134">
        <f t="shared" si="61"/>
        <v>1.3271097369647336E-5</v>
      </c>
      <c r="AI69" s="134" t="str">
        <f t="shared" si="62"/>
        <v/>
      </c>
      <c r="AJ69" s="134" t="str">
        <f t="shared" si="63"/>
        <v/>
      </c>
      <c r="AK69" s="134" t="str">
        <f t="shared" si="64"/>
        <v/>
      </c>
      <c r="AL69" s="134" t="str">
        <f t="shared" si="65"/>
        <v/>
      </c>
      <c r="AM69" s="134" t="str">
        <f t="shared" si="66"/>
        <v/>
      </c>
      <c r="AN69" s="134" t="str">
        <f t="shared" si="74"/>
        <v/>
      </c>
      <c r="AO69" s="134">
        <f t="shared" si="67"/>
        <v>2.8359854727360271E-11</v>
      </c>
      <c r="AP69" s="134" t="str">
        <f t="shared" si="68"/>
        <v/>
      </c>
      <c r="AQ69" s="142">
        <f t="shared" si="69"/>
        <v>8.2494261262443483E-2</v>
      </c>
      <c r="AR69" s="134">
        <f t="shared" si="70"/>
        <v>8.2494261262443483E-2</v>
      </c>
      <c r="AS69" s="1042"/>
      <c r="AT69" s="468">
        <v>8.2494261262443497E-2</v>
      </c>
      <c r="AU69" s="143">
        <f t="shared" si="71"/>
        <v>0.79254375042909375</v>
      </c>
      <c r="AV69" s="17"/>
      <c r="AW69" s="136">
        <f t="shared" si="72"/>
        <v>-1.2278951375963132E-2</v>
      </c>
      <c r="AX69" s="17"/>
      <c r="AY69" s="27"/>
      <c r="AZ69" s="1041"/>
      <c r="BA69" s="1041"/>
    </row>
    <row r="70" spans="1:53">
      <c r="A70" s="6">
        <v>14.560617950337473</v>
      </c>
      <c r="B70" s="534">
        <v>6.9239615864208544</v>
      </c>
      <c r="C70" s="136">
        <v>6.9013900756835938</v>
      </c>
      <c r="D70" s="135">
        <f t="shared" si="33"/>
        <v>1.5044953848780137E-7</v>
      </c>
      <c r="E70" s="135">
        <f t="shared" si="73"/>
        <v>1.0727361569581531</v>
      </c>
      <c r="F70" s="136">
        <f t="shared" si="34"/>
        <v>-2.2571510737260603E-2</v>
      </c>
      <c r="G70" s="134">
        <f t="shared" si="28"/>
        <v>3.8580505585083741E-9</v>
      </c>
      <c r="H70" s="134">
        <f t="shared" si="35"/>
        <v>6.2113207601188769E-5</v>
      </c>
      <c r="I70" s="135">
        <f t="shared" si="36"/>
        <v>6.3696265081396697E-2</v>
      </c>
      <c r="J70" s="135">
        <f t="shared" si="37"/>
        <v>6.3634151873795508E-2</v>
      </c>
      <c r="K70" s="136">
        <f t="shared" si="38"/>
        <v>0.42130664362716619</v>
      </c>
      <c r="L70" s="136">
        <f t="shared" si="39"/>
        <v>0.57869335637283381</v>
      </c>
      <c r="M70" s="134">
        <f t="shared" si="40"/>
        <v>1.0926308319789531</v>
      </c>
      <c r="N70" s="134">
        <f t="shared" si="41"/>
        <v>566.84905473768242</v>
      </c>
      <c r="O70" s="134">
        <f t="shared" si="42"/>
        <v>36518.123103700622</v>
      </c>
      <c r="P70" s="134">
        <f t="shared" si="43"/>
        <v>1.0053912065040189</v>
      </c>
      <c r="Q70" s="134">
        <f t="shared" si="44"/>
        <v>264.87051206484637</v>
      </c>
      <c r="R70" s="134">
        <f t="shared" si="45"/>
        <v>1530.4840581334029</v>
      </c>
      <c r="S70" s="134">
        <f t="shared" si="46"/>
        <v>1.0000000000000093</v>
      </c>
      <c r="T70" s="134">
        <f t="shared" si="47"/>
        <v>1.0000000000000093</v>
      </c>
      <c r="U70" s="134">
        <f t="shared" si="48"/>
        <v>524428116.95927185</v>
      </c>
      <c r="V70" s="134">
        <f t="shared" si="49"/>
        <v>1530.4840581334029</v>
      </c>
      <c r="W70" s="19">
        <f t="shared" si="50"/>
        <v>8.5066127001529046E-2</v>
      </c>
      <c r="X70" s="19">
        <f t="shared" si="51"/>
        <v>0.99826948283049399</v>
      </c>
      <c r="Y70" s="19">
        <f t="shared" si="52"/>
        <v>1.001158818177396</v>
      </c>
      <c r="Z70" s="19">
        <f t="shared" si="53"/>
        <v>5.3622972521964003E-3</v>
      </c>
      <c r="AA70" s="19">
        <f t="shared" si="54"/>
        <v>0.99622457029208611</v>
      </c>
      <c r="AB70" s="19">
        <f t="shared" si="55"/>
        <v>1.1742661137751487</v>
      </c>
      <c r="AC70" s="19">
        <f t="shared" si="56"/>
        <v>9.4337848515877553E-15</v>
      </c>
      <c r="AD70" s="19">
        <f t="shared" si="57"/>
        <v>9.4337848515877537E-15</v>
      </c>
      <c r="AE70" s="19">
        <f t="shared" si="58"/>
        <v>0.99999999809316098</v>
      </c>
      <c r="AF70" s="19">
        <f t="shared" si="59"/>
        <v>1.1742661137751487</v>
      </c>
      <c r="AG70" s="134">
        <f t="shared" si="60"/>
        <v>6.1998177783720021E-2</v>
      </c>
      <c r="AH70" s="134">
        <f t="shared" si="61"/>
        <v>1.8254938046640535E-5</v>
      </c>
      <c r="AI70" s="134" t="str">
        <f t="shared" si="62"/>
        <v/>
      </c>
      <c r="AJ70" s="134" t="str">
        <f t="shared" si="63"/>
        <v/>
      </c>
      <c r="AK70" s="134" t="str">
        <f t="shared" si="64"/>
        <v/>
      </c>
      <c r="AL70" s="134" t="str">
        <f t="shared" si="65"/>
        <v/>
      </c>
      <c r="AM70" s="134" t="str">
        <f t="shared" si="66"/>
        <v/>
      </c>
      <c r="AN70" s="134" t="str">
        <f t="shared" si="74"/>
        <v/>
      </c>
      <c r="AO70" s="134">
        <f t="shared" si="67"/>
        <v>4.0168197509124563E-11</v>
      </c>
      <c r="AP70" s="134" t="str">
        <f t="shared" si="68"/>
        <v/>
      </c>
      <c r="AQ70" s="142">
        <f t="shared" si="69"/>
        <v>8.3483518760142136E-2</v>
      </c>
      <c r="AR70" s="134">
        <f t="shared" si="70"/>
        <v>8.3483518760142136E-2</v>
      </c>
      <c r="AS70" s="1042"/>
      <c r="AT70" s="468">
        <v>8.3483518760142136E-2</v>
      </c>
      <c r="AU70" s="143">
        <f t="shared" si="71"/>
        <v>0.79185844679511808</v>
      </c>
      <c r="AV70" s="17"/>
      <c r="AW70" s="136">
        <f t="shared" si="72"/>
        <v>-2.2571510737260603E-2</v>
      </c>
      <c r="AX70" s="17"/>
      <c r="AY70" s="27"/>
      <c r="AZ70" s="1041"/>
      <c r="BA70" s="1041"/>
    </row>
    <row r="71" spans="1:53">
      <c r="A71" s="6">
        <v>14.680155283713248</v>
      </c>
      <c r="B71" s="534">
        <v>7.0654141329579554</v>
      </c>
      <c r="C71" s="136">
        <v>7.0395736694335938</v>
      </c>
      <c r="D71" s="135">
        <f t="shared" si="33"/>
        <v>1.0869281800225694E-7</v>
      </c>
      <c r="E71" s="135">
        <f t="shared" si="73"/>
        <v>1.1571971716393483</v>
      </c>
      <c r="F71" s="136">
        <f t="shared" si="34"/>
        <v>-2.5840463524361645E-2</v>
      </c>
      <c r="G71" s="134">
        <f t="shared" si="28"/>
        <v>3.0075882895788203E-9</v>
      </c>
      <c r="H71" s="134">
        <f t="shared" si="35"/>
        <v>5.4841483291198645E-5</v>
      </c>
      <c r="I71" s="135">
        <f t="shared" si="36"/>
        <v>6.3476713536383789E-2</v>
      </c>
      <c r="J71" s="135">
        <f t="shared" si="37"/>
        <v>6.342187205309259E-2</v>
      </c>
      <c r="K71" s="136">
        <f t="shared" si="38"/>
        <v>0.42330131349231448</v>
      </c>
      <c r="L71" s="136">
        <f t="shared" si="39"/>
        <v>0.57669868650768552</v>
      </c>
      <c r="M71" s="134">
        <f t="shared" si="40"/>
        <v>1.0666158590827191</v>
      </c>
      <c r="N71" s="134">
        <f t="shared" si="41"/>
        <v>409.30194920708868</v>
      </c>
      <c r="O71" s="134">
        <f t="shared" si="42"/>
        <v>26310.521227120942</v>
      </c>
      <c r="P71" s="134">
        <f t="shared" si="43"/>
        <v>1.003890190648538</v>
      </c>
      <c r="Q71" s="134">
        <f t="shared" si="44"/>
        <v>191.63421418439358</v>
      </c>
      <c r="R71" s="134">
        <f t="shared" si="45"/>
        <v>1049.5938905857824</v>
      </c>
      <c r="S71" s="134">
        <f t="shared" si="46"/>
        <v>1.0000000000000069</v>
      </c>
      <c r="T71" s="134">
        <f t="shared" si="47"/>
        <v>1.0000000000000069</v>
      </c>
      <c r="U71" s="134">
        <f t="shared" si="48"/>
        <v>378417216.33285522</v>
      </c>
      <c r="V71" s="134">
        <f t="shared" si="49"/>
        <v>1049.5938905857824</v>
      </c>
      <c r="W71" s="19">
        <f t="shared" si="50"/>
        <v>6.2608565512362005E-2</v>
      </c>
      <c r="X71" s="19">
        <f t="shared" si="51"/>
        <v>0.99758108918475685</v>
      </c>
      <c r="Y71" s="19">
        <f t="shared" si="52"/>
        <v>1.0008182064532889</v>
      </c>
      <c r="Z71" s="19">
        <f t="shared" si="53"/>
        <v>3.8751157096424565E-3</v>
      </c>
      <c r="AA71" s="19">
        <f t="shared" si="54"/>
        <v>0.99478172515145036</v>
      </c>
      <c r="AB71" s="19">
        <f t="shared" si="55"/>
        <v>1.1316921375035629</v>
      </c>
      <c r="AC71" s="19">
        <f t="shared" si="56"/>
        <v>6.8072372259427656E-15</v>
      </c>
      <c r="AD71" s="19">
        <f t="shared" si="57"/>
        <v>6.8072372259427656E-15</v>
      </c>
      <c r="AE71" s="19">
        <f t="shared" si="58"/>
        <v>0.99999999735741407</v>
      </c>
      <c r="AF71" s="19">
        <f t="shared" si="59"/>
        <v>1.1316921375035629</v>
      </c>
      <c r="AG71" s="134">
        <f t="shared" si="60"/>
        <v>6.2591563481318307E-2</v>
      </c>
      <c r="AH71" s="134">
        <f t="shared" si="61"/>
        <v>2.496887704739514E-5</v>
      </c>
      <c r="AI71" s="134" t="str">
        <f t="shared" si="62"/>
        <v/>
      </c>
      <c r="AJ71" s="134" t="str">
        <f t="shared" si="63"/>
        <v/>
      </c>
      <c r="AK71" s="134" t="str">
        <f t="shared" si="64"/>
        <v/>
      </c>
      <c r="AL71" s="134" t="str">
        <f t="shared" si="65"/>
        <v/>
      </c>
      <c r="AM71" s="134" t="str">
        <f t="shared" si="66"/>
        <v/>
      </c>
      <c r="AN71" s="134" t="str">
        <f t="shared" si="74"/>
        <v/>
      </c>
      <c r="AO71" s="134">
        <f t="shared" si="67"/>
        <v>5.593050411321393E-11</v>
      </c>
      <c r="AP71" s="134" t="str">
        <f t="shared" si="68"/>
        <v/>
      </c>
      <c r="AQ71" s="142">
        <f t="shared" si="69"/>
        <v>8.4181967277164316E-2</v>
      </c>
      <c r="AR71" s="134">
        <f t="shared" si="70"/>
        <v>8.4181967277164316E-2</v>
      </c>
      <c r="AS71" s="1042"/>
      <c r="AT71" s="468">
        <v>8.4181967277164316E-2</v>
      </c>
      <c r="AU71" s="143">
        <f t="shared" si="71"/>
        <v>0.79137990533561353</v>
      </c>
      <c r="AV71" s="17"/>
      <c r="AW71" s="136">
        <f t="shared" si="72"/>
        <v>-2.5840463524361645E-2</v>
      </c>
      <c r="AX71" s="17"/>
      <c r="AY71" s="27"/>
      <c r="AZ71" s="1041"/>
      <c r="BA71" s="1041"/>
    </row>
    <row r="72" spans="1:53">
      <c r="A72" s="6">
        <v>14.773074111144524</v>
      </c>
      <c r="B72" s="534">
        <v>7.1705109682570018</v>
      </c>
      <c r="C72" s="136">
        <v>7.1782913208007813</v>
      </c>
      <c r="D72" s="135">
        <f t="shared" si="33"/>
        <v>8.535822885681391E-8</v>
      </c>
      <c r="E72" s="135">
        <f t="shared" si="73"/>
        <v>1.6898336051436016</v>
      </c>
      <c r="F72" s="136">
        <f t="shared" si="34"/>
        <v>7.7803525437794008E-3</v>
      </c>
      <c r="G72" s="134">
        <f t="shared" si="28"/>
        <v>1.7533758553275672E-10</v>
      </c>
      <c r="H72" s="134">
        <f t="shared" si="35"/>
        <v>-1.3241509941572249E-5</v>
      </c>
      <c r="I72" s="135">
        <f t="shared" si="36"/>
        <v>6.3307094313989482E-2</v>
      </c>
      <c r="J72" s="135">
        <f t="shared" si="37"/>
        <v>6.3320335823931054E-2</v>
      </c>
      <c r="K72" s="136">
        <f t="shared" si="38"/>
        <v>0.42484233818170991</v>
      </c>
      <c r="L72" s="136">
        <f t="shared" si="39"/>
        <v>0.57515766181829009</v>
      </c>
      <c r="M72" s="134">
        <f t="shared" si="40"/>
        <v>1.052184797894018</v>
      </c>
      <c r="N72" s="134">
        <f t="shared" si="41"/>
        <v>321.43575325090893</v>
      </c>
      <c r="O72" s="134">
        <f t="shared" si="42"/>
        <v>20631.603559396972</v>
      </c>
      <c r="P72" s="134">
        <f t="shared" si="43"/>
        <v>1.0030530412235714</v>
      </c>
      <c r="Q72" s="134">
        <f t="shared" si="44"/>
        <v>150.70813326371265</v>
      </c>
      <c r="R72" s="134">
        <f t="shared" si="45"/>
        <v>799.90856793563546</v>
      </c>
      <c r="S72" s="134">
        <f t="shared" si="46"/>
        <v>1.0000000000000053</v>
      </c>
      <c r="T72" s="134">
        <f t="shared" si="47"/>
        <v>1.0000000000000053</v>
      </c>
      <c r="U72" s="134">
        <f t="shared" si="48"/>
        <v>296983738.43057626</v>
      </c>
      <c r="V72" s="134">
        <f t="shared" si="49"/>
        <v>799.90856793563546</v>
      </c>
      <c r="W72" s="19">
        <f t="shared" si="50"/>
        <v>4.9692085591557036E-2</v>
      </c>
      <c r="X72" s="19">
        <f t="shared" si="51"/>
        <v>0.99690800791347711</v>
      </c>
      <c r="Y72" s="19">
        <f t="shared" si="52"/>
        <v>1.0006236085874054</v>
      </c>
      <c r="Z72" s="19">
        <f t="shared" si="53"/>
        <v>3.0437485338235129E-3</v>
      </c>
      <c r="AA72" s="19">
        <f t="shared" si="54"/>
        <v>0.99336465804237539</v>
      </c>
      <c r="AB72" s="19">
        <f t="shared" si="55"/>
        <v>1.1058801424092215</v>
      </c>
      <c r="AC72" s="19">
        <f t="shared" si="56"/>
        <v>5.3423540762130896E-15</v>
      </c>
      <c r="AD72" s="19">
        <f t="shared" si="57"/>
        <v>5.3423540762130896E-15</v>
      </c>
      <c r="AE72" s="19">
        <f t="shared" si="58"/>
        <v>0.99999999663281225</v>
      </c>
      <c r="AF72" s="19">
        <f t="shared" si="59"/>
        <v>1.1058801424092215</v>
      </c>
      <c r="AG72" s="134">
        <f t="shared" si="60"/>
        <v>6.2887551040771053E-2</v>
      </c>
      <c r="AH72" s="134">
        <f t="shared" si="61"/>
        <v>3.1589611815020811E-5</v>
      </c>
      <c r="AI72" s="134" t="str">
        <f t="shared" si="62"/>
        <v/>
      </c>
      <c r="AJ72" s="134" t="str">
        <f t="shared" si="63"/>
        <v/>
      </c>
      <c r="AK72" s="134" t="str">
        <f t="shared" si="64"/>
        <v/>
      </c>
      <c r="AL72" s="134" t="str">
        <f t="shared" si="65"/>
        <v/>
      </c>
      <c r="AM72" s="134" t="str">
        <f t="shared" si="66"/>
        <v/>
      </c>
      <c r="AN72" s="134" t="str">
        <f t="shared" si="74"/>
        <v/>
      </c>
      <c r="AO72" s="134">
        <f t="shared" si="67"/>
        <v>7.1526195411709768E-11</v>
      </c>
      <c r="AP72" s="134" t="str">
        <f t="shared" si="68"/>
        <v/>
      </c>
      <c r="AQ72" s="142">
        <f t="shared" si="69"/>
        <v>8.4560565931148246E-2</v>
      </c>
      <c r="AR72" s="134">
        <f t="shared" si="70"/>
        <v>8.4560565931148246E-2</v>
      </c>
      <c r="AS72" s="1042"/>
      <c r="AT72" s="468">
        <v>8.4560565931148246E-2</v>
      </c>
      <c r="AU72" s="143">
        <f t="shared" si="71"/>
        <v>0.79112231848326398</v>
      </c>
      <c r="AV72" s="17"/>
      <c r="AW72" s="136">
        <f t="shared" si="72"/>
        <v>7.7803525437794008E-3</v>
      </c>
      <c r="AX72" s="17"/>
      <c r="AY72" s="27"/>
      <c r="AZ72" s="1041"/>
      <c r="BA72" s="1041"/>
    </row>
    <row r="73" spans="1:53">
      <c r="A73" s="6">
        <v>14.84628180769505</v>
      </c>
      <c r="B73" s="534">
        <v>7.335126270298276</v>
      </c>
      <c r="C73" s="136">
        <v>7.3167953491210938</v>
      </c>
      <c r="D73" s="135">
        <f t="shared" ref="D73:D91" si="75">IF(A73="","",10^-((((B73-P$12)/P$13)+7))/$AU73)</f>
        <v>5.8453599849174739E-8</v>
      </c>
      <c r="E73" s="135">
        <f t="shared" si="73"/>
        <v>2.080550712094837</v>
      </c>
      <c r="F73" s="136">
        <f t="shared" si="34"/>
        <v>-1.8330921177182269E-2</v>
      </c>
      <c r="G73" s="134">
        <f t="shared" si="28"/>
        <v>5.9454110766483716E-10</v>
      </c>
      <c r="H73" s="134">
        <f t="shared" si="35"/>
        <v>2.4383213645146062E-5</v>
      </c>
      <c r="I73" s="135">
        <f t="shared" si="36"/>
        <v>6.3174093996319708E-2</v>
      </c>
      <c r="J73" s="135">
        <f t="shared" si="37"/>
        <v>6.3149710782674562E-2</v>
      </c>
      <c r="K73" s="136">
        <f t="shared" si="38"/>
        <v>0.42605067276981523</v>
      </c>
      <c r="L73" s="136">
        <f t="shared" si="39"/>
        <v>0.57394932723018477</v>
      </c>
      <c r="M73" s="134">
        <f t="shared" si="40"/>
        <v>1.0356252819531726</v>
      </c>
      <c r="N73" s="134">
        <f t="shared" si="41"/>
        <v>220.25115020055804</v>
      </c>
      <c r="O73" s="134">
        <f t="shared" si="42"/>
        <v>14102.358169999696</v>
      </c>
      <c r="P73" s="134">
        <f t="shared" si="43"/>
        <v>1.0020889892119023</v>
      </c>
      <c r="Q73" s="134">
        <f t="shared" si="44"/>
        <v>103.52062903792807</v>
      </c>
      <c r="R73" s="134">
        <f t="shared" si="45"/>
        <v>528.68354561986814</v>
      </c>
      <c r="S73" s="134">
        <f t="shared" si="46"/>
        <v>1.0000000000000036</v>
      </c>
      <c r="T73" s="134">
        <f t="shared" si="47"/>
        <v>1.0000000000000036</v>
      </c>
      <c r="U73" s="134">
        <f t="shared" si="48"/>
        <v>203205846.63779318</v>
      </c>
      <c r="V73" s="134">
        <f t="shared" si="49"/>
        <v>528.68354561986814</v>
      </c>
      <c r="W73" s="19">
        <f t="shared" si="50"/>
        <v>3.4445078939418512E-2</v>
      </c>
      <c r="X73" s="19">
        <f t="shared" si="51"/>
        <v>0.99547275513715683</v>
      </c>
      <c r="Y73" s="19">
        <f t="shared" si="52"/>
        <v>1.000389034541703</v>
      </c>
      <c r="Z73" s="19">
        <f t="shared" si="53"/>
        <v>2.0846344330608169E-3</v>
      </c>
      <c r="AA73" s="19">
        <f t="shared" si="54"/>
        <v>0.99034008961022046</v>
      </c>
      <c r="AB73" s="19">
        <f t="shared" si="55"/>
        <v>1.0739316091315811</v>
      </c>
      <c r="AC73" s="19">
        <f t="shared" si="56"/>
        <v>3.6554108554470978E-15</v>
      </c>
      <c r="AD73" s="19">
        <f t="shared" si="57"/>
        <v>3.6554108554470978E-15</v>
      </c>
      <c r="AE73" s="19">
        <f t="shared" si="58"/>
        <v>0.99999999507888171</v>
      </c>
      <c r="AF73" s="19">
        <f t="shared" si="59"/>
        <v>1.0739316091315811</v>
      </c>
      <c r="AG73" s="134">
        <f t="shared" si="60"/>
        <v>6.3301365759771258E-2</v>
      </c>
      <c r="AH73" s="134">
        <f t="shared" si="61"/>
        <v>4.5856406810757108E-5</v>
      </c>
      <c r="AI73" s="134" t="str">
        <f t="shared" si="62"/>
        <v/>
      </c>
      <c r="AJ73" s="134" t="str">
        <f t="shared" si="63"/>
        <v/>
      </c>
      <c r="AK73" s="134" t="str">
        <f t="shared" si="64"/>
        <v/>
      </c>
      <c r="AL73" s="134" t="str">
        <f t="shared" si="65"/>
        <v/>
      </c>
      <c r="AM73" s="134" t="str">
        <f t="shared" si="66"/>
        <v/>
      </c>
      <c r="AN73" s="134" t="str">
        <f t="shared" si="74"/>
        <v/>
      </c>
      <c r="AO73" s="134">
        <f t="shared" si="67"/>
        <v>1.0483228701810795E-10</v>
      </c>
      <c r="AP73" s="134" t="str">
        <f t="shared" si="68"/>
        <v/>
      </c>
      <c r="AQ73" s="142">
        <f t="shared" si="69"/>
        <v>8.5048255637512032E-2</v>
      </c>
      <c r="AR73" s="134">
        <f t="shared" si="70"/>
        <v>8.5048255637512032E-2</v>
      </c>
      <c r="AS73" s="1042"/>
      <c r="AT73" s="468">
        <v>8.5048255637512032E-2</v>
      </c>
      <c r="AU73" s="143">
        <f t="shared" si="71"/>
        <v>0.79079236475973036</v>
      </c>
      <c r="AV73" s="17"/>
      <c r="AW73" s="136">
        <f t="shared" si="72"/>
        <v>-1.8330921177182269E-2</v>
      </c>
      <c r="AX73" s="17"/>
      <c r="AY73" s="27"/>
      <c r="AZ73" s="1041"/>
      <c r="BA73" s="1041"/>
    </row>
    <row r="74" spans="1:53">
      <c r="A74" s="6">
        <v>14.905741201073397</v>
      </c>
      <c r="B74" s="534">
        <v>7.4488420585508965</v>
      </c>
      <c r="C74" s="136">
        <v>7.4554824829101563</v>
      </c>
      <c r="D74" s="135">
        <f t="shared" si="75"/>
        <v>4.4996747280094742E-8</v>
      </c>
      <c r="E74" s="135">
        <f t="shared" si="73"/>
        <v>2.8914921964778917</v>
      </c>
      <c r="F74" s="136">
        <f t="shared" si="34"/>
        <v>6.6404243592597112E-3</v>
      </c>
      <c r="G74" s="134">
        <f t="shared" si="28"/>
        <v>5.6059207285168919E-11</v>
      </c>
      <c r="H74" s="134">
        <f t="shared" si="35"/>
        <v>-7.4872696816108419E-6</v>
      </c>
      <c r="I74" s="135">
        <f t="shared" si="36"/>
        <v>6.3066481518343376E-2</v>
      </c>
      <c r="J74" s="135">
        <f t="shared" si="37"/>
        <v>6.3073968788024987E-2</v>
      </c>
      <c r="K74" s="136">
        <f t="shared" si="38"/>
        <v>0.42702835373726505</v>
      </c>
      <c r="L74" s="136">
        <f t="shared" si="39"/>
        <v>0.572971646262735</v>
      </c>
      <c r="M74" s="134">
        <f t="shared" si="40"/>
        <v>1.0273830780641717</v>
      </c>
      <c r="N74" s="134">
        <f t="shared" si="41"/>
        <v>169.70934412841359</v>
      </c>
      <c r="O74" s="134">
        <f t="shared" si="42"/>
        <v>10846.314820557276</v>
      </c>
      <c r="P74" s="134">
        <f t="shared" si="43"/>
        <v>1.0016074399666313</v>
      </c>
      <c r="Q74" s="134">
        <f t="shared" si="44"/>
        <v>79.918917700859453</v>
      </c>
      <c r="R74" s="134">
        <f t="shared" si="45"/>
        <v>399.77526415973205</v>
      </c>
      <c r="S74" s="134">
        <f t="shared" si="46"/>
        <v>1.0000000000000029</v>
      </c>
      <c r="T74" s="134">
        <f t="shared" si="47"/>
        <v>1.0000000000000029</v>
      </c>
      <c r="U74" s="134">
        <f t="shared" si="48"/>
        <v>156363277.49286947</v>
      </c>
      <c r="V74" s="134">
        <f t="shared" si="49"/>
        <v>399.77526415973205</v>
      </c>
      <c r="W74" s="19">
        <f t="shared" si="50"/>
        <v>2.6680234741531864E-2</v>
      </c>
      <c r="X74" s="19">
        <f t="shared" si="51"/>
        <v>0.99411758659599792</v>
      </c>
      <c r="Y74" s="19">
        <f t="shared" si="52"/>
        <v>1.0002617520071548</v>
      </c>
      <c r="Z74" s="19">
        <f t="shared" si="53"/>
        <v>1.6048602501243538E-3</v>
      </c>
      <c r="AA74" s="19">
        <f t="shared" si="54"/>
        <v>0.98748731803722556</v>
      </c>
      <c r="AB74" s="19">
        <f t="shared" si="55"/>
        <v>1.0568467529998686</v>
      </c>
      <c r="AC74" s="19">
        <f t="shared" si="56"/>
        <v>2.8127735030257639E-15</v>
      </c>
      <c r="AD74" s="19">
        <f t="shared" si="57"/>
        <v>2.8127735030257639E-15</v>
      </c>
      <c r="AE74" s="19">
        <f t="shared" si="58"/>
        <v>0.99999999360463654</v>
      </c>
      <c r="AF74" s="19">
        <f t="shared" si="59"/>
        <v>1.0568467529998686</v>
      </c>
      <c r="AG74" s="134">
        <f t="shared" si="60"/>
        <v>6.3471194490911986E-2</v>
      </c>
      <c r="AH74" s="134">
        <f t="shared" si="61"/>
        <v>5.9342416093749105E-5</v>
      </c>
      <c r="AI74" s="134" t="str">
        <f t="shared" si="62"/>
        <v/>
      </c>
      <c r="AJ74" s="134" t="str">
        <f t="shared" si="63"/>
        <v/>
      </c>
      <c r="AK74" s="134" t="str">
        <f t="shared" si="64"/>
        <v/>
      </c>
      <c r="AL74" s="134" t="str">
        <f t="shared" si="65"/>
        <v/>
      </c>
      <c r="AM74" s="134" t="str">
        <f t="shared" si="66"/>
        <v/>
      </c>
      <c r="AN74" s="134" t="str">
        <f t="shared" si="74"/>
        <v/>
      </c>
      <c r="AO74" s="134">
        <f t="shared" si="67"/>
        <v>1.3655007767304525E-10</v>
      </c>
      <c r="AP74" s="134" t="str">
        <f t="shared" si="68"/>
        <v/>
      </c>
      <c r="AQ74" s="142">
        <f t="shared" si="69"/>
        <v>8.5279810459743283E-2</v>
      </c>
      <c r="AR74" s="134">
        <f t="shared" si="70"/>
        <v>8.5279810459743283E-2</v>
      </c>
      <c r="AS74" s="1042"/>
      <c r="AT74" s="468">
        <v>8.5279810459743283E-2</v>
      </c>
      <c r="AU74" s="143">
        <f t="shared" si="71"/>
        <v>0.7906364289093557</v>
      </c>
      <c r="AV74" s="17"/>
      <c r="AW74" s="136">
        <f t="shared" si="72"/>
        <v>6.6404243592597112E-3</v>
      </c>
      <c r="AX74" s="17"/>
      <c r="AY74" s="27"/>
      <c r="AZ74" s="1041"/>
      <c r="BA74" s="1041"/>
    </row>
    <row r="75" spans="1:53">
      <c r="A75" s="6">
        <v>14.956614199036267</v>
      </c>
      <c r="B75" s="534">
        <v>7.6457454612215425</v>
      </c>
      <c r="C75" s="136">
        <v>7.5933609008789063</v>
      </c>
      <c r="D75" s="135">
        <f t="shared" si="75"/>
        <v>2.8602075447857019E-8</v>
      </c>
      <c r="E75" s="135">
        <f t="shared" si="73"/>
        <v>3.1988041364721331</v>
      </c>
      <c r="F75" s="136">
        <f t="shared" si="34"/>
        <v>-5.2384560342636277E-2</v>
      </c>
      <c r="G75" s="134">
        <f t="shared" si="28"/>
        <v>2.6781056223866563E-9</v>
      </c>
      <c r="H75" s="134">
        <f t="shared" si="35"/>
        <v>5.1750416639739782E-5</v>
      </c>
      <c r="I75" s="135">
        <f t="shared" si="36"/>
        <v>6.2974699717979643E-2</v>
      </c>
      <c r="J75" s="135">
        <f t="shared" si="37"/>
        <v>6.2922949301339903E-2</v>
      </c>
      <c r="K75" s="136">
        <f t="shared" si="38"/>
        <v>0.42786220982032669</v>
      </c>
      <c r="L75" s="136">
        <f t="shared" si="39"/>
        <v>0.57213779017967326</v>
      </c>
      <c r="M75" s="134">
        <f t="shared" si="40"/>
        <v>1.0173707694639931</v>
      </c>
      <c r="N75" s="134">
        <f t="shared" si="41"/>
        <v>108.18013766112691</v>
      </c>
      <c r="O75" s="134">
        <f t="shared" si="42"/>
        <v>6886.3052791256905</v>
      </c>
      <c r="P75" s="134">
        <f t="shared" si="43"/>
        <v>1.0010212017012645</v>
      </c>
      <c r="Q75" s="134">
        <f t="shared" si="44"/>
        <v>51.164622440203374</v>
      </c>
      <c r="R75" s="134">
        <f t="shared" si="45"/>
        <v>248.70680372580961</v>
      </c>
      <c r="S75" s="134">
        <f t="shared" si="46"/>
        <v>1.0000000000000018</v>
      </c>
      <c r="T75" s="134">
        <f t="shared" si="47"/>
        <v>1.0000000000000018</v>
      </c>
      <c r="U75" s="134">
        <f t="shared" si="48"/>
        <v>99337112.98213613</v>
      </c>
      <c r="V75" s="134">
        <f t="shared" si="49"/>
        <v>248.70680372580961</v>
      </c>
      <c r="W75" s="19">
        <f t="shared" si="50"/>
        <v>1.7085165551509133E-2</v>
      </c>
      <c r="X75" s="19">
        <f t="shared" si="51"/>
        <v>0.99076250290134316</v>
      </c>
      <c r="Y75" s="19">
        <f t="shared" si="52"/>
        <v>1.0000796642151997</v>
      </c>
      <c r="Z75" s="19">
        <f t="shared" si="53"/>
        <v>1.0201599122265795E-3</v>
      </c>
      <c r="AA75" s="19">
        <f t="shared" si="54"/>
        <v>0.98045524520055416</v>
      </c>
      <c r="AB75" s="19">
        <f t="shared" si="55"/>
        <v>1.0344604693398216</v>
      </c>
      <c r="AC75" s="19">
        <f t="shared" si="56"/>
        <v>1.7869464154777805E-15</v>
      </c>
      <c r="AD75" s="19">
        <f t="shared" si="57"/>
        <v>1.7869464154777805E-15</v>
      </c>
      <c r="AE75" s="19">
        <f t="shared" si="58"/>
        <v>0.999999989933269</v>
      </c>
      <c r="AF75" s="19">
        <f t="shared" si="59"/>
        <v>1.0344604693398216</v>
      </c>
      <c r="AG75" s="134">
        <f t="shared" si="60"/>
        <v>6.3721522436635231E-2</v>
      </c>
      <c r="AH75" s="134">
        <f t="shared" si="61"/>
        <v>9.2864870050071997E-5</v>
      </c>
      <c r="AI75" s="134" t="str">
        <f t="shared" si="62"/>
        <v/>
      </c>
      <c r="AJ75" s="134" t="str">
        <f t="shared" si="63"/>
        <v/>
      </c>
      <c r="AK75" s="134" t="str">
        <f t="shared" si="64"/>
        <v/>
      </c>
      <c r="AL75" s="134" t="str">
        <f t="shared" si="65"/>
        <v/>
      </c>
      <c r="AM75" s="134" t="str">
        <f t="shared" si="66"/>
        <v/>
      </c>
      <c r="AN75" s="134" t="str">
        <f t="shared" si="74"/>
        <v/>
      </c>
      <c r="AO75" s="134">
        <f t="shared" si="67"/>
        <v>2.1535868970606659E-10</v>
      </c>
      <c r="AP75" s="134" t="str">
        <f t="shared" si="68"/>
        <v/>
      </c>
      <c r="AQ75" s="142">
        <f t="shared" si="69"/>
        <v>8.5604869585439003E-2</v>
      </c>
      <c r="AR75" s="134">
        <f t="shared" si="70"/>
        <v>8.5604869585439003E-2</v>
      </c>
      <c r="AS75" s="1042"/>
      <c r="AT75" s="468">
        <v>8.5604869585439003E-2</v>
      </c>
      <c r="AU75" s="143">
        <f t="shared" si="71"/>
        <v>0.79041830774099098</v>
      </c>
      <c r="AV75" s="17"/>
      <c r="AW75" s="136">
        <f t="shared" si="72"/>
        <v>-5.2384560342636277E-2</v>
      </c>
      <c r="AX75" s="17"/>
      <c r="AY75" s="27"/>
      <c r="AZ75" s="1041"/>
      <c r="BA75" s="1041"/>
    </row>
    <row r="76" spans="1:53">
      <c r="A76" s="6">
        <v>15.003504943160806</v>
      </c>
      <c r="B76" s="534">
        <v>7.7642439426149625</v>
      </c>
      <c r="C76" s="136">
        <v>7.7303237915039063</v>
      </c>
      <c r="D76" s="135">
        <f t="shared" si="75"/>
        <v>2.1774343809615327E-8</v>
      </c>
      <c r="E76" s="135">
        <f t="shared" si="73"/>
        <v>2.4735614723517472</v>
      </c>
      <c r="F76" s="136">
        <f t="shared" si="34"/>
        <v>-3.3920151111056285E-2</v>
      </c>
      <c r="G76" s="134">
        <f t="shared" si="28"/>
        <v>1.0920558998933456E-9</v>
      </c>
      <c r="H76" s="134">
        <f t="shared" si="35"/>
        <v>3.3046269076755785E-5</v>
      </c>
      <c r="I76" s="135">
        <f t="shared" si="36"/>
        <v>6.2890338722256772E-2</v>
      </c>
      <c r="J76" s="135">
        <f t="shared" si="37"/>
        <v>6.2857292453180016E-2</v>
      </c>
      <c r="K76" s="136">
        <f t="shared" si="38"/>
        <v>0.42862864640337339</v>
      </c>
      <c r="L76" s="136">
        <f t="shared" si="39"/>
        <v>0.57137135359662661</v>
      </c>
      <c r="M76" s="134">
        <f t="shared" si="40"/>
        <v>1.0132136779231429</v>
      </c>
      <c r="N76" s="134">
        <f t="shared" si="41"/>
        <v>82.577267808416366</v>
      </c>
      <c r="O76" s="134">
        <f t="shared" si="42"/>
        <v>5240.1804543481812</v>
      </c>
      <c r="P76" s="134">
        <f t="shared" si="43"/>
        <v>1.000777261289503</v>
      </c>
      <c r="Q76" s="134">
        <f t="shared" si="44"/>
        <v>39.189597048083172</v>
      </c>
      <c r="R76" s="134">
        <f t="shared" si="45"/>
        <v>187.75599696954313</v>
      </c>
      <c r="S76" s="134">
        <f t="shared" si="46"/>
        <v>1.0000000000000013</v>
      </c>
      <c r="T76" s="134">
        <f t="shared" si="47"/>
        <v>1.0000000000000013</v>
      </c>
      <c r="U76" s="134">
        <f t="shared" si="48"/>
        <v>75607877.151321083</v>
      </c>
      <c r="V76" s="134">
        <f t="shared" si="49"/>
        <v>187.75599696954313</v>
      </c>
      <c r="W76" s="19">
        <f t="shared" si="50"/>
        <v>1.3047740938774007E-2</v>
      </c>
      <c r="X76" s="19">
        <f t="shared" si="51"/>
        <v>0.98789494534827715</v>
      </c>
      <c r="Y76" s="19">
        <f t="shared" si="52"/>
        <v>0.99998032984080132</v>
      </c>
      <c r="Z76" s="19">
        <f t="shared" si="53"/>
        <v>7.7665762359684185E-4</v>
      </c>
      <c r="AA76" s="19">
        <f t="shared" si="54"/>
        <v>0.97448302418692734</v>
      </c>
      <c r="AB76" s="19">
        <f t="shared" si="55"/>
        <v>1.0241970564698883</v>
      </c>
      <c r="AC76" s="19">
        <f t="shared" si="56"/>
        <v>1.36008809369194E-15</v>
      </c>
      <c r="AD76" s="19">
        <f t="shared" si="57"/>
        <v>1.36008809369194E-15</v>
      </c>
      <c r="AE76" s="19">
        <f t="shared" si="58"/>
        <v>0.99999998677386492</v>
      </c>
      <c r="AF76" s="19">
        <f t="shared" si="59"/>
        <v>1.0241970564698883</v>
      </c>
      <c r="AG76" s="134">
        <f t="shared" si="60"/>
        <v>6.3780199544352933E-2</v>
      </c>
      <c r="AH76" s="134">
        <f t="shared" si="61"/>
        <v>1.214593690308421E-4</v>
      </c>
      <c r="AI76" s="134" t="str">
        <f t="shared" si="62"/>
        <v/>
      </c>
      <c r="AJ76" s="134" t="str">
        <f t="shared" si="63"/>
        <v/>
      </c>
      <c r="AK76" s="134" t="str">
        <f t="shared" si="64"/>
        <v/>
      </c>
      <c r="AL76" s="134" t="str">
        <f t="shared" si="65"/>
        <v/>
      </c>
      <c r="AM76" s="134" t="str">
        <f t="shared" si="66"/>
        <v/>
      </c>
      <c r="AN76" s="134" t="str">
        <f t="shared" si="74"/>
        <v/>
      </c>
      <c r="AO76" s="134">
        <f t="shared" si="67"/>
        <v>2.8345501986884185E-10</v>
      </c>
      <c r="AP76" s="134" t="str">
        <f t="shared" si="68"/>
        <v/>
      </c>
      <c r="AQ76" s="142">
        <f t="shared" si="69"/>
        <v>8.573001617766951E-2</v>
      </c>
      <c r="AR76" s="134">
        <f t="shared" si="70"/>
        <v>8.573001617766951E-2</v>
      </c>
      <c r="AS76" s="1042"/>
      <c r="AT76" s="468">
        <v>8.573001617766951E-2</v>
      </c>
      <c r="AU76" s="143">
        <f t="shared" si="71"/>
        <v>0.79033457466907486</v>
      </c>
      <c r="AV76" s="17"/>
      <c r="AW76" s="136">
        <f t="shared" si="72"/>
        <v>-3.3920151111056285E-2</v>
      </c>
      <c r="AX76" s="17"/>
      <c r="AY76" s="27"/>
      <c r="AZ76" s="1041"/>
      <c r="BA76" s="1041"/>
    </row>
    <row r="77" spans="1:53">
      <c r="A77" s="6">
        <v>15.050747345958371</v>
      </c>
      <c r="B77" s="534">
        <v>7.8785707528177369</v>
      </c>
      <c r="C77" s="136">
        <v>7.8659439086914063</v>
      </c>
      <c r="D77" s="135">
        <f t="shared" si="75"/>
        <v>1.6736051854569775E-8</v>
      </c>
      <c r="E77" s="135">
        <f t="shared" si="73"/>
        <v>2.6789506656145434</v>
      </c>
      <c r="F77" s="136">
        <f t="shared" si="34"/>
        <v>-1.2626844126330639E-2</v>
      </c>
      <c r="G77" s="134">
        <f t="shared" si="28"/>
        <v>1.7131302535771147E-10</v>
      </c>
      <c r="H77" s="134">
        <f t="shared" si="35"/>
        <v>1.3088660181917455E-5</v>
      </c>
      <c r="I77" s="135">
        <f t="shared" si="36"/>
        <v>6.2805573319548891E-2</v>
      </c>
      <c r="J77" s="135">
        <f t="shared" si="37"/>
        <v>6.2792484659366973E-2</v>
      </c>
      <c r="K77" s="136">
        <f t="shared" si="38"/>
        <v>0.42939875710507042</v>
      </c>
      <c r="L77" s="136">
        <f t="shared" si="39"/>
        <v>0.57060124289492953</v>
      </c>
      <c r="M77" s="134">
        <f t="shared" si="40"/>
        <v>1.0101501836437095</v>
      </c>
      <c r="N77" s="134">
        <f t="shared" si="41"/>
        <v>63.691275901679226</v>
      </c>
      <c r="O77" s="134">
        <f t="shared" si="42"/>
        <v>4026.4560845825727</v>
      </c>
      <c r="P77" s="134">
        <f t="shared" si="43"/>
        <v>1.0005973178339769</v>
      </c>
      <c r="Q77" s="134">
        <f t="shared" si="44"/>
        <v>30.353035025542571</v>
      </c>
      <c r="R77" s="134">
        <f t="shared" si="45"/>
        <v>143.5111870710073</v>
      </c>
      <c r="S77" s="134">
        <f t="shared" si="46"/>
        <v>1.0000000000000011</v>
      </c>
      <c r="T77" s="134">
        <f t="shared" si="47"/>
        <v>1.0000000000000011</v>
      </c>
      <c r="U77" s="134">
        <f t="shared" si="48"/>
        <v>58103927.471346334</v>
      </c>
      <c r="V77" s="134">
        <f t="shared" si="49"/>
        <v>143.5111870710073</v>
      </c>
      <c r="W77" s="19">
        <f t="shared" si="50"/>
        <v>1.0051974408742805E-2</v>
      </c>
      <c r="X77" s="19">
        <f t="shared" si="51"/>
        <v>0.98430295045735017</v>
      </c>
      <c r="Y77" s="19">
        <f t="shared" si="52"/>
        <v>0.99988317737915977</v>
      </c>
      <c r="Z77" s="19">
        <f t="shared" si="53"/>
        <v>5.9696125837104528E-4</v>
      </c>
      <c r="AA77" s="19">
        <f t="shared" si="54"/>
        <v>0.96705436543138157</v>
      </c>
      <c r="AB77" s="19">
        <f t="shared" si="55"/>
        <v>1.0158394016673691</v>
      </c>
      <c r="AC77" s="19">
        <f t="shared" si="56"/>
        <v>1.0452146338758514E-15</v>
      </c>
      <c r="AD77" s="19">
        <f t="shared" si="57"/>
        <v>1.0452146338758514E-15</v>
      </c>
      <c r="AE77" s="19">
        <f t="shared" si="58"/>
        <v>0.99999998278945945</v>
      </c>
      <c r="AF77" s="19">
        <f t="shared" si="59"/>
        <v>1.0158394016673691</v>
      </c>
      <c r="AG77" s="134">
        <f t="shared" si="60"/>
        <v>6.3800978743966827E-2</v>
      </c>
      <c r="AH77" s="134">
        <f t="shared" si="61"/>
        <v>1.572371496663565E-4</v>
      </c>
      <c r="AI77" s="134" t="str">
        <f t="shared" si="62"/>
        <v/>
      </c>
      <c r="AJ77" s="134" t="str">
        <f t="shared" si="63"/>
        <v/>
      </c>
      <c r="AK77" s="134" t="str">
        <f t="shared" si="64"/>
        <v/>
      </c>
      <c r="AL77" s="134" t="str">
        <f t="shared" si="65"/>
        <v/>
      </c>
      <c r="AM77" s="134" t="str">
        <f t="shared" si="66"/>
        <v/>
      </c>
      <c r="AN77" s="134" t="str">
        <f t="shared" si="74"/>
        <v/>
      </c>
      <c r="AO77" s="134">
        <f t="shared" si="67"/>
        <v>3.6950923611560195E-10</v>
      </c>
      <c r="AP77" s="134" t="str">
        <f t="shared" si="68"/>
        <v/>
      </c>
      <c r="AQ77" s="142">
        <f t="shared" si="69"/>
        <v>8.5824653302186832E-2</v>
      </c>
      <c r="AR77" s="134">
        <f t="shared" si="70"/>
        <v>8.5824653302186832E-2</v>
      </c>
      <c r="AS77" s="1042"/>
      <c r="AT77" s="468">
        <v>8.5824653302186832E-2</v>
      </c>
      <c r="AU77" s="143">
        <f t="shared" si="71"/>
        <v>0.79027134417673162</v>
      </c>
      <c r="AV77" s="17"/>
      <c r="AW77" s="136">
        <f t="shared" si="72"/>
        <v>-1.2626844126330639E-2</v>
      </c>
      <c r="AX77" s="17"/>
      <c r="AY77" s="27"/>
      <c r="AZ77" s="1041"/>
      <c r="BA77" s="1041"/>
    </row>
    <row r="78" spans="1:53">
      <c r="A78" s="6">
        <v>15.102709837083239</v>
      </c>
      <c r="B78" s="534">
        <v>8.0312312097087091</v>
      </c>
      <c r="C78" s="136">
        <v>8.0005874633789063</v>
      </c>
      <c r="D78" s="135">
        <f t="shared" si="75"/>
        <v>1.1777023912457085E-8</v>
      </c>
      <c r="E78" s="135">
        <f t="shared" si="73"/>
        <v>2.318036706325743</v>
      </c>
      <c r="F78" s="136">
        <f t="shared" si="34"/>
        <v>-3.0643746329802823E-2</v>
      </c>
      <c r="G78" s="134">
        <f t="shared" si="28"/>
        <v>1.3694121873550012E-9</v>
      </c>
      <c r="H78" s="134">
        <f t="shared" si="35"/>
        <v>3.7005569680184647E-5</v>
      </c>
      <c r="I78" s="135">
        <f t="shared" si="36"/>
        <v>6.2712602319265565E-2</v>
      </c>
      <c r="J78" s="135">
        <f t="shared" si="37"/>
        <v>6.267559674958538E-2</v>
      </c>
      <c r="K78" s="136">
        <f t="shared" si="38"/>
        <v>0.4302434173081538</v>
      </c>
      <c r="L78" s="136">
        <f t="shared" si="39"/>
        <v>0.56975658269184626</v>
      </c>
      <c r="M78" s="134">
        <f t="shared" si="40"/>
        <v>1.0071375630545154</v>
      </c>
      <c r="N78" s="134">
        <f t="shared" si="41"/>
        <v>45.106558127203741</v>
      </c>
      <c r="O78" s="134">
        <f t="shared" si="42"/>
        <v>2832.4486790510077</v>
      </c>
      <c r="P78" s="134">
        <f t="shared" si="43"/>
        <v>1.0004202444859245</v>
      </c>
      <c r="Q78" s="134">
        <f t="shared" si="44"/>
        <v>21.655492609782652</v>
      </c>
      <c r="R78" s="134">
        <f t="shared" si="45"/>
        <v>100.5617263079796</v>
      </c>
      <c r="S78" s="134">
        <f t="shared" si="46"/>
        <v>1.0000000000000007</v>
      </c>
      <c r="T78" s="134">
        <f t="shared" si="47"/>
        <v>1.0000000000000007</v>
      </c>
      <c r="U78" s="134">
        <f t="shared" si="48"/>
        <v>40879166.699055575</v>
      </c>
      <c r="V78" s="134">
        <f t="shared" si="49"/>
        <v>100.5617263079796</v>
      </c>
      <c r="W78" s="19">
        <f t="shared" si="50"/>
        <v>7.0888556834674994E-3</v>
      </c>
      <c r="X78" s="19">
        <f t="shared" si="51"/>
        <v>0.97783285285339583</v>
      </c>
      <c r="Y78" s="19">
        <f t="shared" si="52"/>
        <v>0.9997394841088626</v>
      </c>
      <c r="Z78" s="19">
        <f t="shared" si="53"/>
        <v>4.2006795468275E-4</v>
      </c>
      <c r="AA78" s="19">
        <f t="shared" si="54"/>
        <v>0.95382233883941947</v>
      </c>
      <c r="AB78" s="19">
        <f t="shared" si="55"/>
        <v>1.0061637169230506</v>
      </c>
      <c r="AC78" s="19">
        <f t="shared" si="56"/>
        <v>7.3536342212493574E-16</v>
      </c>
      <c r="AD78" s="19">
        <f t="shared" si="57"/>
        <v>7.3536342212493574E-16</v>
      </c>
      <c r="AE78" s="19">
        <f t="shared" si="58"/>
        <v>0.99999997553766184</v>
      </c>
      <c r="AF78" s="19">
        <f t="shared" si="59"/>
        <v>1.0061637169230506</v>
      </c>
      <c r="AG78" s="134">
        <f t="shared" si="60"/>
        <v>6.3811968207410738E-2</v>
      </c>
      <c r="AH78" s="134">
        <f t="shared" si="61"/>
        <v>2.2166675463576203E-4</v>
      </c>
      <c r="AI78" s="134" t="str">
        <f t="shared" si="62"/>
        <v/>
      </c>
      <c r="AJ78" s="134" t="str">
        <f t="shared" si="63"/>
        <v/>
      </c>
      <c r="AK78" s="134" t="str">
        <f t="shared" si="64"/>
        <v/>
      </c>
      <c r="AL78" s="134" t="str">
        <f t="shared" si="65"/>
        <v/>
      </c>
      <c r="AM78" s="134" t="str">
        <f t="shared" si="66"/>
        <v/>
      </c>
      <c r="AN78" s="134" t="str">
        <f t="shared" si="74"/>
        <v/>
      </c>
      <c r="AO78" s="134">
        <f t="shared" si="67"/>
        <v>5.2623799853299562E-10</v>
      </c>
      <c r="AP78" s="134" t="str">
        <f t="shared" si="68"/>
        <v/>
      </c>
      <c r="AQ78" s="142">
        <f t="shared" si="69"/>
        <v>8.5941919808730741E-2</v>
      </c>
      <c r="AR78" s="134">
        <f t="shared" si="70"/>
        <v>8.5941919808730741E-2</v>
      </c>
      <c r="AS78" s="1042"/>
      <c r="AT78" s="468">
        <v>8.5941919808730741E-2</v>
      </c>
      <c r="AU78" s="143">
        <f t="shared" si="71"/>
        <v>0.79019310063038983</v>
      </c>
      <c r="AV78" s="17"/>
      <c r="AW78" s="136">
        <f t="shared" si="72"/>
        <v>-3.0643746329802823E-2</v>
      </c>
      <c r="AX78" s="17"/>
      <c r="AY78" s="27"/>
      <c r="AZ78" s="1041"/>
      <c r="BA78" s="1041"/>
    </row>
    <row r="79" spans="1:53">
      <c r="A79" s="6">
        <v>15.16410350886872</v>
      </c>
      <c r="B79" s="534">
        <v>8.1354884830845489</v>
      </c>
      <c r="C79" s="136">
        <v>8.1348800659179688</v>
      </c>
      <c r="D79" s="135">
        <f t="shared" si="75"/>
        <v>9.2639529759878726E-9</v>
      </c>
      <c r="E79" s="135">
        <f t="shared" si="73"/>
        <v>1.8311608678704774</v>
      </c>
      <c r="F79" s="136">
        <f t="shared" si="34"/>
        <v>-6.084171665801108E-4</v>
      </c>
      <c r="G79" s="134">
        <f t="shared" si="28"/>
        <v>7.5128842390024452E-13</v>
      </c>
      <c r="H79" s="134">
        <f t="shared" si="35"/>
        <v>8.6676895647008756E-7</v>
      </c>
      <c r="I79" s="135">
        <f t="shared" si="36"/>
        <v>6.2603111203627396E-2</v>
      </c>
      <c r="J79" s="135">
        <f t="shared" si="37"/>
        <v>6.2602244434670926E-2</v>
      </c>
      <c r="K79" s="136">
        <f t="shared" si="38"/>
        <v>0.43123816607592996</v>
      </c>
      <c r="L79" s="136">
        <f t="shared" si="39"/>
        <v>0.56876183392407009</v>
      </c>
      <c r="M79" s="134">
        <f t="shared" si="40"/>
        <v>1.0056127776771109</v>
      </c>
      <c r="N79" s="134">
        <f t="shared" si="41"/>
        <v>35.691860600357025</v>
      </c>
      <c r="O79" s="134">
        <f t="shared" si="42"/>
        <v>2227.8382084003697</v>
      </c>
      <c r="P79" s="134">
        <f t="shared" si="43"/>
        <v>1.0003305420315041</v>
      </c>
      <c r="Q79" s="134">
        <f t="shared" si="44"/>
        <v>17.247866494564086</v>
      </c>
      <c r="R79" s="134">
        <f t="shared" si="45"/>
        <v>79.031530399613644</v>
      </c>
      <c r="S79" s="134">
        <f t="shared" si="46"/>
        <v>1.0000000000000007</v>
      </c>
      <c r="T79" s="134">
        <f t="shared" si="47"/>
        <v>1.0000000000000007</v>
      </c>
      <c r="U79" s="134">
        <f t="shared" si="48"/>
        <v>32153385.348716136</v>
      </c>
      <c r="V79" s="134">
        <f t="shared" si="49"/>
        <v>79.031530399613644</v>
      </c>
      <c r="W79" s="19">
        <f t="shared" si="50"/>
        <v>5.5826125435883799E-3</v>
      </c>
      <c r="X79" s="19">
        <f t="shared" si="51"/>
        <v>0.97198442349412484</v>
      </c>
      <c r="Y79" s="19">
        <f t="shared" si="52"/>
        <v>0.99962391236527137</v>
      </c>
      <c r="Z79" s="19">
        <f t="shared" si="53"/>
        <v>3.3043280957189761E-4</v>
      </c>
      <c r="AA79" s="19">
        <f t="shared" si="54"/>
        <v>0.94202181467979451</v>
      </c>
      <c r="AB79" s="19">
        <f t="shared" si="55"/>
        <v>1.0000257738173899</v>
      </c>
      <c r="AC79" s="19">
        <f t="shared" si="56"/>
        <v>5.783978792893431E-16</v>
      </c>
      <c r="AD79" s="19">
        <f t="shared" si="57"/>
        <v>5.783978792893431E-16</v>
      </c>
      <c r="AE79" s="19">
        <f t="shared" si="58"/>
        <v>0.99999996889907583</v>
      </c>
      <c r="AF79" s="19">
        <f t="shared" si="59"/>
        <v>1.0000257738173899</v>
      </c>
      <c r="AG79" s="134">
        <f t="shared" si="60"/>
        <v>6.3754063012630369E-2</v>
      </c>
      <c r="AH79" s="134">
        <f t="shared" si="61"/>
        <v>2.7963588573158094E-4</v>
      </c>
      <c r="AI79" s="134" t="str">
        <f t="shared" si="62"/>
        <v/>
      </c>
      <c r="AJ79" s="134" t="str">
        <f t="shared" si="63"/>
        <v/>
      </c>
      <c r="AK79" s="134" t="str">
        <f t="shared" si="64"/>
        <v/>
      </c>
      <c r="AL79" s="134" t="str">
        <f t="shared" si="65"/>
        <v/>
      </c>
      <c r="AM79" s="134" t="str">
        <f t="shared" si="66"/>
        <v/>
      </c>
      <c r="AN79" s="134" t="str">
        <f t="shared" si="74"/>
        <v/>
      </c>
      <c r="AO79" s="134">
        <f t="shared" si="67"/>
        <v>6.7059527542587216E-10</v>
      </c>
      <c r="AP79" s="134" t="str">
        <f t="shared" si="68"/>
        <v/>
      </c>
      <c r="AQ79" s="142">
        <f t="shared" si="69"/>
        <v>8.599121549495245E-2</v>
      </c>
      <c r="AR79" s="134">
        <f t="shared" si="70"/>
        <v>8.599121549495245E-2</v>
      </c>
      <c r="AS79" s="1042"/>
      <c r="AT79" s="468">
        <v>8.599121549495245E-2</v>
      </c>
      <c r="AU79" s="143">
        <f t="shared" si="71"/>
        <v>0.79016024426227305</v>
      </c>
      <c r="AV79" s="17"/>
      <c r="AW79" s="136">
        <f t="shared" si="72"/>
        <v>-6.084171665801108E-4</v>
      </c>
      <c r="AX79" s="17"/>
      <c r="AY79" s="27"/>
      <c r="AZ79" s="1041"/>
      <c r="BA79" s="1041"/>
    </row>
    <row r="80" spans="1:53">
      <c r="A80" s="6">
        <v>15.240280378202442</v>
      </c>
      <c r="B80" s="534">
        <v>8.2851109395244986</v>
      </c>
      <c r="C80" s="136">
        <v>8.2692489624023438</v>
      </c>
      <c r="D80" s="135">
        <f t="shared" si="75"/>
        <v>6.5645802647945882E-9</v>
      </c>
      <c r="E80" s="135">
        <f t="shared" si="73"/>
        <v>1.6569367789215488</v>
      </c>
      <c r="F80" s="136">
        <f t="shared" si="34"/>
        <v>-1.5861977122154869E-2</v>
      </c>
      <c r="G80" s="134">
        <f t="shared" si="28"/>
        <v>8.4393128217596903E-10</v>
      </c>
      <c r="H80" s="134">
        <f t="shared" si="35"/>
        <v>2.9050495386068187E-5</v>
      </c>
      <c r="I80" s="135">
        <f t="shared" si="36"/>
        <v>6.2467785690582013E-2</v>
      </c>
      <c r="J80" s="135">
        <f t="shared" si="37"/>
        <v>6.2438735195195945E-2</v>
      </c>
      <c r="K80" s="136">
        <f t="shared" si="38"/>
        <v>0.43246762553084511</v>
      </c>
      <c r="L80" s="136">
        <f t="shared" si="39"/>
        <v>0.56753237446915494</v>
      </c>
      <c r="M80" s="134">
        <f t="shared" si="40"/>
        <v>1.0039752424745405</v>
      </c>
      <c r="N80" s="134">
        <f t="shared" si="41"/>
        <v>25.579429382191645</v>
      </c>
      <c r="O80" s="134">
        <f t="shared" si="42"/>
        <v>1578.4578313185814</v>
      </c>
      <c r="P80" s="134">
        <f t="shared" si="43"/>
        <v>1.0002341915161184</v>
      </c>
      <c r="Q80" s="134">
        <f t="shared" si="44"/>
        <v>12.513489329198451</v>
      </c>
      <c r="R80" s="134">
        <f t="shared" si="45"/>
        <v>56.070591695664746</v>
      </c>
      <c r="S80" s="134">
        <f t="shared" si="46"/>
        <v>1.0000000000000004</v>
      </c>
      <c r="T80" s="134">
        <f t="shared" si="47"/>
        <v>1.0000000000000004</v>
      </c>
      <c r="U80" s="134">
        <f t="shared" si="48"/>
        <v>22780915.713626679</v>
      </c>
      <c r="V80" s="134">
        <f t="shared" si="49"/>
        <v>56.070591695664746</v>
      </c>
      <c r="W80" s="19">
        <f t="shared" si="50"/>
        <v>3.9600866316957502E-3</v>
      </c>
      <c r="X80" s="19">
        <f t="shared" si="51"/>
        <v>0.96090749865712588</v>
      </c>
      <c r="Y80" s="19">
        <f t="shared" si="52"/>
        <v>0.99941802557182824</v>
      </c>
      <c r="Z80" s="19">
        <f t="shared" si="53"/>
        <v>2.3413668329353506E-4</v>
      </c>
      <c r="AA80" s="19">
        <f t="shared" si="54"/>
        <v>0.92008623864275474</v>
      </c>
      <c r="AB80" s="19">
        <f t="shared" si="55"/>
        <v>0.99113490372746715</v>
      </c>
      <c r="AC80" s="19">
        <f t="shared" si="56"/>
        <v>4.0979924898910553E-16</v>
      </c>
      <c r="AD80" s="19">
        <f t="shared" si="57"/>
        <v>4.0979924898910553E-16</v>
      </c>
      <c r="AE80" s="19">
        <f t="shared" si="58"/>
        <v>0.99999995610360826</v>
      </c>
      <c r="AF80" s="19">
        <f t="shared" si="59"/>
        <v>0.99113490372746715</v>
      </c>
      <c r="AG80" s="134">
        <f t="shared" si="60"/>
        <v>6.3673763638829664E-2</v>
      </c>
      <c r="AH80" s="134">
        <f t="shared" si="61"/>
        <v>3.8932821278572679E-4</v>
      </c>
      <c r="AI80" s="134" t="str">
        <f t="shared" si="62"/>
        <v/>
      </c>
      <c r="AJ80" s="134" t="str">
        <f t="shared" si="63"/>
        <v/>
      </c>
      <c r="AK80" s="134" t="str">
        <f t="shared" si="64"/>
        <v/>
      </c>
      <c r="AL80" s="134" t="str">
        <f t="shared" si="65"/>
        <v/>
      </c>
      <c r="AM80" s="134" t="str">
        <f t="shared" si="66"/>
        <v/>
      </c>
      <c r="AN80" s="134" t="str">
        <f t="shared" si="74"/>
        <v/>
      </c>
      <c r="AO80" s="134">
        <f t="shared" si="67"/>
        <v>9.4918841491555911E-10</v>
      </c>
      <c r="AP80" s="134" t="str">
        <f t="shared" si="68"/>
        <v/>
      </c>
      <c r="AQ80" s="142">
        <f t="shared" si="69"/>
        <v>8.6081585197550478E-2</v>
      </c>
      <c r="AR80" s="134">
        <f t="shared" si="70"/>
        <v>8.6081585197550478E-2</v>
      </c>
      <c r="AS80" s="1042"/>
      <c r="AT80" s="468">
        <v>8.6081585197550478E-2</v>
      </c>
      <c r="AU80" s="143">
        <f t="shared" si="71"/>
        <v>0.79010006528761689</v>
      </c>
      <c r="AV80" s="17"/>
      <c r="AW80" s="136">
        <f t="shared" si="72"/>
        <v>-1.5861977122154869E-2</v>
      </c>
      <c r="AX80" s="17"/>
      <c r="AY80" s="27"/>
      <c r="AZ80" s="1041"/>
      <c r="BA80" s="1041"/>
    </row>
    <row r="81" spans="1:53">
      <c r="A81" s="6">
        <v>15.337496060237754</v>
      </c>
      <c r="B81" s="534">
        <v>8.4163256715274422</v>
      </c>
      <c r="C81" s="136">
        <v>8.4039230346679688</v>
      </c>
      <c r="D81" s="135">
        <f t="shared" si="75"/>
        <v>4.8530737535665505E-9</v>
      </c>
      <c r="E81" s="135">
        <f t="shared" si="73"/>
        <v>1.0728061310714274</v>
      </c>
      <c r="F81" s="136">
        <f t="shared" si="34"/>
        <v>-1.2402636859473404E-2</v>
      </c>
      <c r="G81" s="134">
        <f t="shared" si="28"/>
        <v>8.4044920818400502E-10</v>
      </c>
      <c r="H81" s="134">
        <f t="shared" si="35"/>
        <v>2.8990502034011156E-5</v>
      </c>
      <c r="I81" s="135">
        <f t="shared" si="36"/>
        <v>6.2295932869408897E-2</v>
      </c>
      <c r="J81" s="135">
        <f t="shared" si="37"/>
        <v>6.2266942367374886E-2</v>
      </c>
      <c r="K81" s="136">
        <f t="shared" si="38"/>
        <v>0.43402894291357896</v>
      </c>
      <c r="L81" s="136">
        <f t="shared" si="39"/>
        <v>0.56597105708642104</v>
      </c>
      <c r="M81" s="134">
        <f t="shared" si="40"/>
        <v>1.0029377096727305</v>
      </c>
      <c r="N81" s="134">
        <f t="shared" si="41"/>
        <v>19.169050722046421</v>
      </c>
      <c r="O81" s="134">
        <f t="shared" si="42"/>
        <v>1166.9050980530333</v>
      </c>
      <c r="P81" s="134">
        <f t="shared" si="43"/>
        <v>1.0001731138302365</v>
      </c>
      <c r="Q81" s="134">
        <f t="shared" si="44"/>
        <v>9.5117114303803802</v>
      </c>
      <c r="R81" s="134">
        <f t="shared" si="45"/>
        <v>41.606486096236381</v>
      </c>
      <c r="S81" s="134">
        <f t="shared" si="46"/>
        <v>1.0000000000000002</v>
      </c>
      <c r="T81" s="134">
        <f t="shared" si="47"/>
        <v>1.0000000000000002</v>
      </c>
      <c r="U81" s="134">
        <f t="shared" si="48"/>
        <v>16839600.776000354</v>
      </c>
      <c r="V81" s="134">
        <f t="shared" si="49"/>
        <v>41.606486096236381</v>
      </c>
      <c r="W81" s="19">
        <f t="shared" si="50"/>
        <v>2.9294242152577859E-3</v>
      </c>
      <c r="X81" s="19">
        <f t="shared" si="51"/>
        <v>0.94783360561609109</v>
      </c>
      <c r="Y81" s="19">
        <f t="shared" si="52"/>
        <v>0.99918113385082175</v>
      </c>
      <c r="Z81" s="19">
        <f t="shared" si="53"/>
        <v>1.7308386702538013E-4</v>
      </c>
      <c r="AA81" s="19">
        <f t="shared" si="54"/>
        <v>0.89486644886996858</v>
      </c>
      <c r="AB81" s="19">
        <f t="shared" si="55"/>
        <v>0.98256944250459255</v>
      </c>
      <c r="AC81" s="19">
        <f t="shared" si="56"/>
        <v>3.0292266259750347E-16</v>
      </c>
      <c r="AD81" s="19">
        <f t="shared" si="57"/>
        <v>3.0292266259750347E-16</v>
      </c>
      <c r="AE81" s="19">
        <f t="shared" si="58"/>
        <v>0.99999994061616937</v>
      </c>
      <c r="AF81" s="19">
        <f t="shared" si="59"/>
        <v>0.98256944250459255</v>
      </c>
      <c r="AG81" s="134">
        <f t="shared" si="60"/>
        <v>6.3535028188857909E-2</v>
      </c>
      <c r="AH81" s="134">
        <f t="shared" si="61"/>
        <v>5.1808687373693075E-4</v>
      </c>
      <c r="AI81" s="134" t="str">
        <f t="shared" si="62"/>
        <v/>
      </c>
      <c r="AJ81" s="134" t="str">
        <f t="shared" si="63"/>
        <v/>
      </c>
      <c r="AK81" s="134" t="str">
        <f t="shared" si="64"/>
        <v/>
      </c>
      <c r="AL81" s="134" t="str">
        <f t="shared" si="65"/>
        <v/>
      </c>
      <c r="AM81" s="134" t="str">
        <f t="shared" si="66"/>
        <v/>
      </c>
      <c r="AN81" s="134" t="str">
        <f t="shared" si="74"/>
        <v/>
      </c>
      <c r="AO81" s="134">
        <f t="shared" si="67"/>
        <v>1.288715061262477E-9</v>
      </c>
      <c r="AP81" s="134" t="str">
        <f t="shared" si="68"/>
        <v/>
      </c>
      <c r="AQ81" s="142">
        <f t="shared" si="69"/>
        <v>8.6149023635440553E-2</v>
      </c>
      <c r="AR81" s="134">
        <f t="shared" si="70"/>
        <v>8.6149023635440553E-2</v>
      </c>
      <c r="AS81" s="1042"/>
      <c r="AT81" s="468">
        <v>8.6149023635440553E-2</v>
      </c>
      <c r="AU81" s="143">
        <f t="shared" si="71"/>
        <v>0.79005520207041413</v>
      </c>
      <c r="AV81" s="17"/>
      <c r="AW81" s="136">
        <f t="shared" si="72"/>
        <v>-1.2402636859473404E-2</v>
      </c>
      <c r="AX81" s="17"/>
      <c r="AY81" s="27"/>
      <c r="AZ81" s="1041"/>
      <c r="BA81" s="1041"/>
    </row>
    <row r="82" spans="1:53">
      <c r="A82" s="6">
        <v>15.463084501971025</v>
      </c>
      <c r="B82" s="534">
        <v>8.5162795307449155</v>
      </c>
      <c r="C82" s="136">
        <v>8.5389633178710938</v>
      </c>
      <c r="D82" s="135">
        <f t="shared" si="75"/>
        <v>3.8554032581030811E-9</v>
      </c>
      <c r="E82" s="135">
        <f t="shared" si="73"/>
        <v>0.99816342344360975</v>
      </c>
      <c r="F82" s="136">
        <f t="shared" si="34"/>
        <v>2.2683787126178245E-2</v>
      </c>
      <c r="G82" s="134">
        <f t="shared" si="28"/>
        <v>4.355582968266577E-9</v>
      </c>
      <c r="H82" s="134">
        <f t="shared" si="35"/>
        <v>-6.5996840593066097E-5</v>
      </c>
      <c r="I82" s="135">
        <f t="shared" si="36"/>
        <v>6.2075318976250377E-2</v>
      </c>
      <c r="J82" s="135">
        <f t="shared" si="37"/>
        <v>6.2141315816843443E-2</v>
      </c>
      <c r="K82" s="136">
        <f t="shared" si="38"/>
        <v>0.43603326442491463</v>
      </c>
      <c r="L82" s="136">
        <f t="shared" si="39"/>
        <v>0.56396673557508537</v>
      </c>
      <c r="M82" s="134">
        <f t="shared" si="40"/>
        <v>1.0023335192458209</v>
      </c>
      <c r="N82" s="134">
        <f t="shared" si="41"/>
        <v>15.433494907255072</v>
      </c>
      <c r="O82" s="134">
        <f t="shared" si="42"/>
        <v>927.15911150888144</v>
      </c>
      <c r="P82" s="134">
        <f t="shared" si="43"/>
        <v>1.0001375216671136</v>
      </c>
      <c r="Q82" s="134">
        <f t="shared" si="44"/>
        <v>7.7619166011241916</v>
      </c>
      <c r="R82" s="134">
        <f t="shared" si="45"/>
        <v>33.211917869929266</v>
      </c>
      <c r="S82" s="134">
        <f t="shared" si="46"/>
        <v>1.0000000000000002</v>
      </c>
      <c r="T82" s="134">
        <f t="shared" si="47"/>
        <v>1.0000000000000002</v>
      </c>
      <c r="U82" s="134">
        <f t="shared" si="48"/>
        <v>13377382.989388358</v>
      </c>
      <c r="V82" s="134">
        <f t="shared" si="49"/>
        <v>33.211917869929266</v>
      </c>
      <c r="W82" s="19">
        <f t="shared" si="50"/>
        <v>2.3282882788031077E-3</v>
      </c>
      <c r="X82" s="19">
        <f t="shared" si="51"/>
        <v>0.93520666911667238</v>
      </c>
      <c r="Y82" s="19">
        <f t="shared" si="52"/>
        <v>0.9989516978946168</v>
      </c>
      <c r="Z82" s="19">
        <f t="shared" si="53"/>
        <v>1.3750275750510323E-4</v>
      </c>
      <c r="AA82" s="19">
        <f t="shared" si="54"/>
        <v>0.87116584068229153</v>
      </c>
      <c r="AB82" s="19">
        <f t="shared" si="55"/>
        <v>0.97511127763543981</v>
      </c>
      <c r="AC82" s="19">
        <f t="shared" si="56"/>
        <v>2.4064183381463982E-16</v>
      </c>
      <c r="AD82" s="19">
        <f t="shared" si="57"/>
        <v>2.4064183381463982E-16</v>
      </c>
      <c r="AE82" s="19">
        <f t="shared" si="58"/>
        <v>0.99999992524696346</v>
      </c>
      <c r="AF82" s="19">
        <f t="shared" si="59"/>
        <v>0.97511127763543981</v>
      </c>
      <c r="AG82" s="134">
        <f t="shared" si="60"/>
        <v>6.3331202282701213E-2</v>
      </c>
      <c r="AH82" s="134">
        <f t="shared" si="61"/>
        <v>6.4120221847121161E-4</v>
      </c>
      <c r="AI82" s="134" t="str">
        <f t="shared" si="62"/>
        <v/>
      </c>
      <c r="AJ82" s="134" t="str">
        <f t="shared" si="63"/>
        <v/>
      </c>
      <c r="AK82" s="134" t="str">
        <f t="shared" si="64"/>
        <v/>
      </c>
      <c r="AL82" s="134" t="str">
        <f t="shared" si="65"/>
        <v/>
      </c>
      <c r="AM82" s="134" t="str">
        <f t="shared" si="66"/>
        <v/>
      </c>
      <c r="AN82" s="134" t="str">
        <f t="shared" si="74"/>
        <v/>
      </c>
      <c r="AO82" s="134">
        <f t="shared" si="67"/>
        <v>1.6297405283634292E-9</v>
      </c>
      <c r="AP82" s="134" t="str">
        <f t="shared" si="68"/>
        <v/>
      </c>
      <c r="AQ82" s="142">
        <f t="shared" si="69"/>
        <v>8.6167568102652317E-2</v>
      </c>
      <c r="AR82" s="134">
        <f t="shared" si="70"/>
        <v>8.6167568102652317E-2</v>
      </c>
      <c r="AS82" s="1042"/>
      <c r="AT82" s="468">
        <v>8.6167568102652317E-2</v>
      </c>
      <c r="AU82" s="143">
        <f t="shared" si="71"/>
        <v>0.79004287220992675</v>
      </c>
      <c r="AV82" s="17"/>
      <c r="AW82" s="136">
        <f t="shared" si="72"/>
        <v>2.2683787126178245E-2</v>
      </c>
      <c r="AX82" s="17"/>
      <c r="AY82" s="27"/>
      <c r="AZ82" s="1041"/>
      <c r="BA82" s="1041"/>
    </row>
    <row r="83" spans="1:53">
      <c r="A83" s="6">
        <v>15.625451547384728</v>
      </c>
      <c r="B83" s="534">
        <v>8.7111918529670387</v>
      </c>
      <c r="C83" s="136">
        <v>8.6742782592773438</v>
      </c>
      <c r="D83" s="135">
        <f t="shared" si="75"/>
        <v>2.4616575319115419E-9</v>
      </c>
      <c r="E83" s="135">
        <f t="shared" si="73"/>
        <v>0.83167890294500124</v>
      </c>
      <c r="F83" s="136">
        <f t="shared" si="34"/>
        <v>-3.6913593689694935E-2</v>
      </c>
      <c r="G83" s="134">
        <f t="shared" si="28"/>
        <v>2.1118532374855084E-8</v>
      </c>
      <c r="H83" s="134">
        <f t="shared" si="35"/>
        <v>1.453221675273772E-4</v>
      </c>
      <c r="I83" s="135">
        <f t="shared" si="36"/>
        <v>6.1792403653145457E-2</v>
      </c>
      <c r="J83" s="135">
        <f t="shared" si="37"/>
        <v>6.164708148561808E-2</v>
      </c>
      <c r="K83" s="136">
        <f t="shared" si="38"/>
        <v>0.4386036069353848</v>
      </c>
      <c r="L83" s="136">
        <f t="shared" si="39"/>
        <v>0.5613963930646152</v>
      </c>
      <c r="M83" s="134">
        <f t="shared" si="40"/>
        <v>1.0014884516150488</v>
      </c>
      <c r="N83" s="134">
        <f t="shared" si="41"/>
        <v>10.212741809276372</v>
      </c>
      <c r="O83" s="134">
        <f t="shared" si="42"/>
        <v>591.95999992776774</v>
      </c>
      <c r="P83" s="134">
        <f t="shared" si="43"/>
        <v>1.0000877786021858</v>
      </c>
      <c r="Q83" s="134">
        <f t="shared" si="44"/>
        <v>5.3174531474315661</v>
      </c>
      <c r="R83" s="134">
        <f t="shared" si="45"/>
        <v>21.513859888474112</v>
      </c>
      <c r="S83" s="134">
        <f t="shared" si="46"/>
        <v>1.0000000000000002</v>
      </c>
      <c r="T83" s="134">
        <f t="shared" si="47"/>
        <v>1.0000000000000002</v>
      </c>
      <c r="U83" s="134">
        <f t="shared" si="48"/>
        <v>8538640.1583171729</v>
      </c>
      <c r="V83" s="134">
        <f t="shared" si="49"/>
        <v>21.513859888474112</v>
      </c>
      <c r="W83" s="19">
        <f t="shared" si="50"/>
        <v>1.4863215712268027E-3</v>
      </c>
      <c r="X83" s="19">
        <f t="shared" si="51"/>
        <v>0.90208359894255319</v>
      </c>
      <c r="Y83" s="19">
        <f t="shared" si="52"/>
        <v>0.99833000060974653</v>
      </c>
      <c r="Z83" s="19">
        <f t="shared" si="53"/>
        <v>8.7770897778990183E-5</v>
      </c>
      <c r="AA83" s="19">
        <f t="shared" si="54"/>
        <v>0.81194004492864791</v>
      </c>
      <c r="AB83" s="19">
        <f t="shared" si="55"/>
        <v>0.95680095178835856</v>
      </c>
      <c r="AC83" s="19">
        <f t="shared" si="56"/>
        <v>1.5359909636752153E-16</v>
      </c>
      <c r="AD83" s="19">
        <f t="shared" si="57"/>
        <v>1.5359909636752153E-16</v>
      </c>
      <c r="AE83" s="19">
        <f t="shared" si="58"/>
        <v>0.99999988288533281</v>
      </c>
      <c r="AF83" s="19">
        <f t="shared" si="59"/>
        <v>0.95680095178835856</v>
      </c>
      <c r="AG83" s="134">
        <f t="shared" si="60"/>
        <v>6.3072088387761474E-2</v>
      </c>
      <c r="AH83" s="134">
        <f t="shared" si="61"/>
        <v>9.6456138293919691E-4</v>
      </c>
      <c r="AI83" s="134" t="str">
        <f t="shared" si="62"/>
        <v/>
      </c>
      <c r="AJ83" s="134" t="str">
        <f t="shared" si="63"/>
        <v/>
      </c>
      <c r="AK83" s="134" t="str">
        <f t="shared" si="64"/>
        <v/>
      </c>
      <c r="AL83" s="134" t="str">
        <f t="shared" si="65"/>
        <v/>
      </c>
      <c r="AM83" s="134" t="str">
        <f t="shared" si="66"/>
        <v/>
      </c>
      <c r="AN83" s="134" t="str">
        <f t="shared" si="74"/>
        <v/>
      </c>
      <c r="AO83" s="134">
        <f t="shared" si="67"/>
        <v>2.568345771710249E-9</v>
      </c>
      <c r="AP83" s="134" t="str">
        <f t="shared" si="68"/>
        <v/>
      </c>
      <c r="AQ83" s="142">
        <f t="shared" si="69"/>
        <v>8.635973248091984E-2</v>
      </c>
      <c r="AR83" s="134">
        <f t="shared" si="70"/>
        <v>8.635973248091984E-2</v>
      </c>
      <c r="AS83" s="1042"/>
      <c r="AT83" s="468">
        <v>8.635973248091984E-2</v>
      </c>
      <c r="AU83" s="143">
        <f t="shared" si="71"/>
        <v>0.78991527791782301</v>
      </c>
      <c r="AV83" s="17"/>
      <c r="AW83" s="136">
        <f t="shared" si="72"/>
        <v>-3.6913593689694935E-2</v>
      </c>
      <c r="AX83" s="17"/>
      <c r="AY83" s="27"/>
      <c r="AZ83" s="1041"/>
      <c r="BA83" s="1041"/>
    </row>
    <row r="84" spans="1:53">
      <c r="A84" s="6">
        <v>15.83374493784504</v>
      </c>
      <c r="B84" s="534">
        <v>8.8076140254745106</v>
      </c>
      <c r="C84" s="136">
        <v>8.8099288940429688</v>
      </c>
      <c r="D84" s="135">
        <f t="shared" si="75"/>
        <v>1.9715555173839463E-9</v>
      </c>
      <c r="E84" s="135">
        <f t="shared" si="73"/>
        <v>0.47433538667689767</v>
      </c>
      <c r="F84" s="136">
        <f t="shared" si="34"/>
        <v>2.3148685684581949E-3</v>
      </c>
      <c r="G84" s="134">
        <f t="shared" si="28"/>
        <v>1.234329399522945E-10</v>
      </c>
      <c r="H84" s="134">
        <f t="shared" si="35"/>
        <v>-1.1110037801569106E-5</v>
      </c>
      <c r="I84" s="135">
        <f t="shared" si="36"/>
        <v>6.1433218497255915E-2</v>
      </c>
      <c r="J84" s="135">
        <f t="shared" si="37"/>
        <v>6.1444328535057484E-2</v>
      </c>
      <c r="K84" s="136">
        <f t="shared" si="38"/>
        <v>0.44186687618916914</v>
      </c>
      <c r="L84" s="136">
        <f t="shared" si="39"/>
        <v>0.55813312381083091</v>
      </c>
      <c r="M84" s="134">
        <f t="shared" si="40"/>
        <v>1.0011920377759516</v>
      </c>
      <c r="N84" s="134">
        <f t="shared" si="41"/>
        <v>8.3784158706796461</v>
      </c>
      <c r="O84" s="134">
        <f t="shared" si="42"/>
        <v>474.28592696881304</v>
      </c>
      <c r="P84" s="134">
        <f t="shared" si="43"/>
        <v>1.0000703012323522</v>
      </c>
      <c r="Q84" s="134">
        <f t="shared" si="44"/>
        <v>4.4578727802382483</v>
      </c>
      <c r="R84" s="134">
        <f t="shared" si="45"/>
        <v>17.417868432420438</v>
      </c>
      <c r="S84" s="134">
        <f t="shared" si="46"/>
        <v>1.0000000000000002</v>
      </c>
      <c r="T84" s="134">
        <f t="shared" si="47"/>
        <v>1.0000000000000002</v>
      </c>
      <c r="U84" s="134">
        <f t="shared" si="48"/>
        <v>6838533.8598750243</v>
      </c>
      <c r="V84" s="134">
        <f t="shared" si="49"/>
        <v>17.417868432420438</v>
      </c>
      <c r="W84" s="19">
        <f t="shared" si="50"/>
        <v>1.1906712211198535E-3</v>
      </c>
      <c r="X84" s="19">
        <f t="shared" si="51"/>
        <v>0.88064608408338507</v>
      </c>
      <c r="Y84" s="19">
        <f t="shared" si="52"/>
        <v>0.99790702116275076</v>
      </c>
      <c r="Z84" s="19">
        <f t="shared" si="53"/>
        <v>7.0296290436402338E-5</v>
      </c>
      <c r="AA84" s="19">
        <f t="shared" si="54"/>
        <v>0.77567776172684866</v>
      </c>
      <c r="AB84" s="19">
        <f t="shared" si="55"/>
        <v>0.94518836086186486</v>
      </c>
      <c r="AC84" s="19">
        <f t="shared" si="56"/>
        <v>1.2301637863830192E-16</v>
      </c>
      <c r="AD84" s="19">
        <f t="shared" si="57"/>
        <v>1.2301637863830192E-16</v>
      </c>
      <c r="AE84" s="19">
        <f t="shared" si="58"/>
        <v>0.99999985376982548</v>
      </c>
      <c r="AF84" s="19">
        <f t="shared" si="59"/>
        <v>0.94518836086186486</v>
      </c>
      <c r="AG84" s="134">
        <f t="shared" si="60"/>
        <v>6.2715772201771935E-2</v>
      </c>
      <c r="AH84" s="134">
        <f t="shared" si="61"/>
        <v>1.1689009158601426E-3</v>
      </c>
      <c r="AI84" s="134" t="str">
        <f t="shared" si="62"/>
        <v/>
      </c>
      <c r="AJ84" s="134" t="str">
        <f t="shared" si="63"/>
        <v/>
      </c>
      <c r="AK84" s="134" t="str">
        <f t="shared" si="64"/>
        <v/>
      </c>
      <c r="AL84" s="134" t="str">
        <f t="shared" si="65"/>
        <v/>
      </c>
      <c r="AM84" s="134" t="str">
        <f t="shared" si="66"/>
        <v/>
      </c>
      <c r="AN84" s="134" t="str">
        <f t="shared" si="74"/>
        <v/>
      </c>
      <c r="AO84" s="134">
        <f t="shared" si="67"/>
        <v>3.2307135216644552E-9</v>
      </c>
      <c r="AP84" s="134" t="str">
        <f t="shared" si="68"/>
        <v/>
      </c>
      <c r="AQ84" s="142">
        <f t="shared" si="69"/>
        <v>8.6369469812898655E-2</v>
      </c>
      <c r="AR84" s="134">
        <f t="shared" si="70"/>
        <v>8.6369469812898655E-2</v>
      </c>
      <c r="AS84" s="1042"/>
      <c r="AT84" s="468">
        <v>8.6369469812898655E-2</v>
      </c>
      <c r="AU84" s="143">
        <f t="shared" si="71"/>
        <v>0.78990882081883473</v>
      </c>
      <c r="AV84" s="17"/>
      <c r="AW84" s="136">
        <f t="shared" si="72"/>
        <v>2.3148685684581949E-3</v>
      </c>
      <c r="AX84" s="17"/>
      <c r="AY84" s="27"/>
      <c r="AZ84" s="1041"/>
      <c r="BA84" s="1041"/>
    </row>
    <row r="85" spans="1:53">
      <c r="A85" s="6">
        <v>16.097023374459241</v>
      </c>
      <c r="B85" s="534">
        <v>8.9355029984547709</v>
      </c>
      <c r="C85" s="136">
        <v>8.9457473754882813</v>
      </c>
      <c r="D85" s="135">
        <f t="shared" si="75"/>
        <v>1.4687580524051246E-9</v>
      </c>
      <c r="E85" s="135">
        <f t="shared" si="73"/>
        <v>0.45565432256897198</v>
      </c>
      <c r="F85" s="136">
        <f t="shared" si="34"/>
        <v>1.0244377033510332E-2</v>
      </c>
      <c r="G85" s="134">
        <f t="shared" si="28"/>
        <v>3.6960533635643775E-9</v>
      </c>
      <c r="H85" s="134">
        <f t="shared" si="35"/>
        <v>-6.0795175495793885E-5</v>
      </c>
      <c r="I85" s="135">
        <f t="shared" si="36"/>
        <v>6.0985147154797796E-2</v>
      </c>
      <c r="J85" s="135">
        <f t="shared" si="37"/>
        <v>6.104594233029359E-2</v>
      </c>
      <c r="K85" s="136">
        <f t="shared" si="38"/>
        <v>0.4459376942933424</v>
      </c>
      <c r="L85" s="136">
        <f t="shared" si="39"/>
        <v>0.5540623057066576</v>
      </c>
      <c r="M85" s="134">
        <f t="shared" si="40"/>
        <v>1.000887656679081</v>
      </c>
      <c r="N85" s="134">
        <f t="shared" si="41"/>
        <v>6.4959640752993746</v>
      </c>
      <c r="O85" s="134">
        <f t="shared" si="42"/>
        <v>353.48629361441698</v>
      </c>
      <c r="P85" s="134">
        <f t="shared" si="43"/>
        <v>1.0000523653176672</v>
      </c>
      <c r="Q85" s="134">
        <f t="shared" si="44"/>
        <v>3.5760261100364272</v>
      </c>
      <c r="R85" s="134">
        <f t="shared" si="45"/>
        <v>13.218877580478209</v>
      </c>
      <c r="S85" s="134">
        <f t="shared" si="46"/>
        <v>1</v>
      </c>
      <c r="T85" s="134">
        <f t="shared" si="47"/>
        <v>1</v>
      </c>
      <c r="U85" s="134">
        <f t="shared" si="48"/>
        <v>5093822.7382891905</v>
      </c>
      <c r="V85" s="134">
        <f t="shared" si="49"/>
        <v>13.218877580478209</v>
      </c>
      <c r="W85" s="19">
        <f t="shared" si="50"/>
        <v>8.8689868392017061E-4</v>
      </c>
      <c r="X85" s="19">
        <f t="shared" si="51"/>
        <v>0.84605854015522075</v>
      </c>
      <c r="Y85" s="19">
        <f t="shared" si="52"/>
        <v>0.99718253892517994</v>
      </c>
      <c r="Z85" s="19">
        <f t="shared" si="53"/>
        <v>5.2362575684212633E-5</v>
      </c>
      <c r="AA85" s="19">
        <f t="shared" si="54"/>
        <v>0.72035998361605547</v>
      </c>
      <c r="AB85" s="19">
        <f t="shared" si="55"/>
        <v>0.92625163061281202</v>
      </c>
      <c r="AC85" s="19">
        <f t="shared" si="56"/>
        <v>9.1631277718861176E-17</v>
      </c>
      <c r="AD85" s="19">
        <f t="shared" si="57"/>
        <v>9.1631277718861176E-17</v>
      </c>
      <c r="AE85" s="19">
        <f t="shared" si="58"/>
        <v>0.99999980368378494</v>
      </c>
      <c r="AF85" s="19">
        <f t="shared" si="59"/>
        <v>0.92625163061281202</v>
      </c>
      <c r="AG85" s="134">
        <f t="shared" si="60"/>
        <v>6.2268859888631803E-2</v>
      </c>
      <c r="AH85" s="134">
        <f t="shared" si="61"/>
        <v>1.4966359587439129E-3</v>
      </c>
      <c r="AI85" s="134" t="str">
        <f t="shared" si="62"/>
        <v/>
      </c>
      <c r="AJ85" s="134" t="str">
        <f t="shared" si="63"/>
        <v/>
      </c>
      <c r="AK85" s="134" t="str">
        <f t="shared" si="64"/>
        <v/>
      </c>
      <c r="AL85" s="134" t="str">
        <f t="shared" si="65"/>
        <v/>
      </c>
      <c r="AM85" s="134" t="str">
        <f t="shared" si="66"/>
        <v/>
      </c>
      <c r="AN85" s="134" t="str">
        <f t="shared" si="74"/>
        <v/>
      </c>
      <c r="AO85" s="134">
        <f t="shared" si="67"/>
        <v>4.3772400140794343E-9</v>
      </c>
      <c r="AP85" s="134" t="str">
        <f t="shared" si="68"/>
        <v/>
      </c>
      <c r="AQ85" s="142">
        <f t="shared" si="69"/>
        <v>8.6452410913409494E-2</v>
      </c>
      <c r="AR85" s="134">
        <f t="shared" si="70"/>
        <v>8.6452410913409494E-2</v>
      </c>
      <c r="AS85" s="1042"/>
      <c r="AT85" s="468">
        <v>8.6452410913409494E-2</v>
      </c>
      <c r="AU85" s="143">
        <f t="shared" si="71"/>
        <v>0.7898538528060659</v>
      </c>
      <c r="AV85" s="17"/>
      <c r="AW85" s="136">
        <f t="shared" si="72"/>
        <v>1.0244377033510332E-2</v>
      </c>
      <c r="AX85" s="17"/>
      <c r="AY85" s="27"/>
      <c r="AZ85" s="1041"/>
      <c r="BA85" s="1041"/>
    </row>
    <row r="86" spans="1:53">
      <c r="A86" s="6">
        <v>16.422776044055354</v>
      </c>
      <c r="B86" s="534">
        <v>9.0741280413936671</v>
      </c>
      <c r="C86" s="136">
        <v>9.0817184448242188</v>
      </c>
      <c r="D86" s="135">
        <f t="shared" si="75"/>
        <v>1.0675119894479338E-9</v>
      </c>
      <c r="E86" s="135">
        <f t="shared" si="73"/>
        <v>0.39395823176258093</v>
      </c>
      <c r="F86" s="136">
        <f t="shared" si="34"/>
        <v>7.5904034305516177E-3</v>
      </c>
      <c r="G86" s="134">
        <f t="shared" si="28"/>
        <v>2.9816901088864843E-9</v>
      </c>
      <c r="H86" s="134">
        <f t="shared" si="35"/>
        <v>-5.4604854261196267E-5</v>
      </c>
      <c r="I86" s="135">
        <f t="shared" si="36"/>
        <v>6.0439717161560644E-2</v>
      </c>
      <c r="J86" s="135">
        <f t="shared" si="37"/>
        <v>6.049432201582184E-2</v>
      </c>
      <c r="K86" s="136">
        <f t="shared" si="38"/>
        <v>0.45089303528624786</v>
      </c>
      <c r="L86" s="136">
        <f t="shared" si="39"/>
        <v>0.54910696471375209</v>
      </c>
      <c r="M86" s="134">
        <f t="shared" si="40"/>
        <v>1.0006447306957289</v>
      </c>
      <c r="N86" s="134">
        <f t="shared" si="41"/>
        <v>4.9936615738803338</v>
      </c>
      <c r="O86" s="134">
        <f t="shared" si="42"/>
        <v>257.07854334299441</v>
      </c>
      <c r="P86" s="134">
        <f t="shared" si="43"/>
        <v>1.0000380514451863</v>
      </c>
      <c r="Q86" s="134">
        <f t="shared" si="44"/>
        <v>2.872288463775039</v>
      </c>
      <c r="R86" s="134">
        <f t="shared" si="45"/>
        <v>9.8719569600888519</v>
      </c>
      <c r="S86" s="134">
        <f t="shared" si="46"/>
        <v>1</v>
      </c>
      <c r="T86" s="134">
        <f t="shared" si="47"/>
        <v>1</v>
      </c>
      <c r="U86" s="134">
        <f t="shared" si="48"/>
        <v>3701444.7665625289</v>
      </c>
      <c r="V86" s="134">
        <f t="shared" si="49"/>
        <v>9.8719569600888519</v>
      </c>
      <c r="W86" s="19">
        <f t="shared" si="50"/>
        <v>6.4433071917065676E-4</v>
      </c>
      <c r="X86" s="19">
        <f t="shared" si="51"/>
        <v>0.79974633227030845</v>
      </c>
      <c r="Y86" s="19">
        <f t="shared" si="52"/>
        <v>0.99611848799778757</v>
      </c>
      <c r="Z86" s="19">
        <f t="shared" si="53"/>
        <v>3.804999732886158E-5</v>
      </c>
      <c r="AA86" s="19">
        <f t="shared" si="54"/>
        <v>0.65184555360233432</v>
      </c>
      <c r="AB86" s="19">
        <f t="shared" si="55"/>
        <v>0.90004677064491112</v>
      </c>
      <c r="AC86" s="19">
        <f t="shared" si="56"/>
        <v>6.6584195356683074E-17</v>
      </c>
      <c r="AD86" s="19">
        <f t="shared" si="57"/>
        <v>6.6584195356683074E-17</v>
      </c>
      <c r="AE86" s="19">
        <f t="shared" si="58"/>
        <v>0.99999972983522301</v>
      </c>
      <c r="AF86" s="19">
        <f t="shared" si="59"/>
        <v>0.90004677064491112</v>
      </c>
      <c r="AG86" s="134">
        <f t="shared" si="60"/>
        <v>6.17202690253323E-2</v>
      </c>
      <c r="AH86" s="134">
        <f t="shared" si="61"/>
        <v>1.9294727993406462E-3</v>
      </c>
      <c r="AI86" s="134" t="str">
        <f t="shared" si="62"/>
        <v/>
      </c>
      <c r="AJ86" s="134" t="str">
        <f t="shared" si="63"/>
        <v/>
      </c>
      <c r="AK86" s="134" t="str">
        <f t="shared" si="64"/>
        <v/>
      </c>
      <c r="AL86" s="134" t="str">
        <f t="shared" si="65"/>
        <v/>
      </c>
      <c r="AM86" s="134" t="str">
        <f t="shared" si="66"/>
        <v/>
      </c>
      <c r="AN86" s="134" t="str">
        <f t="shared" si="74"/>
        <v/>
      </c>
      <c r="AO86" s="134">
        <f t="shared" si="67"/>
        <v>6.0907708168368109E-9</v>
      </c>
      <c r="AP86" s="134" t="str">
        <f t="shared" si="68"/>
        <v/>
      </c>
      <c r="AQ86" s="142">
        <f t="shared" si="69"/>
        <v>8.6583053209557864E-2</v>
      </c>
      <c r="AR86" s="134">
        <f t="shared" si="70"/>
        <v>8.6583053209557864E-2</v>
      </c>
      <c r="AS86" s="1042"/>
      <c r="AT86" s="468">
        <v>8.6583053209557864E-2</v>
      </c>
      <c r="AU86" s="143">
        <f t="shared" si="71"/>
        <v>0.78976738955731096</v>
      </c>
      <c r="AV86" s="17"/>
      <c r="AW86" s="136">
        <f t="shared" si="72"/>
        <v>7.5904034305516177E-3</v>
      </c>
      <c r="AX86" s="17"/>
      <c r="AY86" s="27"/>
      <c r="AZ86" s="1041"/>
      <c r="BA86" s="1041"/>
    </row>
    <row r="87" spans="1:53">
      <c r="A87" s="6">
        <v>16.814808531489689</v>
      </c>
      <c r="B87" s="534">
        <v>9.2161862707342443</v>
      </c>
      <c r="C87" s="136">
        <v>9.2177658081054688</v>
      </c>
      <c r="D87" s="135">
        <f t="shared" si="75"/>
        <v>7.6979587981523868E-10</v>
      </c>
      <c r="E87" s="135">
        <f t="shared" si="73"/>
        <v>0.3550392573377037</v>
      </c>
      <c r="F87" s="136">
        <f t="shared" si="34"/>
        <v>1.5795373712244043E-3</v>
      </c>
      <c r="G87" s="134">
        <f t="shared" si="28"/>
        <v>1.804169316426079E-10</v>
      </c>
      <c r="H87" s="134">
        <f t="shared" si="35"/>
        <v>-1.3431937002629513E-5</v>
      </c>
      <c r="I87" s="135">
        <f t="shared" si="36"/>
        <v>5.9796108418127762E-2</v>
      </c>
      <c r="J87" s="135">
        <f t="shared" si="37"/>
        <v>5.9809540355130392E-2</v>
      </c>
      <c r="K87" s="136">
        <f t="shared" si="38"/>
        <v>0.45674034993573515</v>
      </c>
      <c r="L87" s="136">
        <f t="shared" si="39"/>
        <v>0.5432596500642648</v>
      </c>
      <c r="M87" s="134">
        <f t="shared" si="40"/>
        <v>1.0004645280692845</v>
      </c>
      <c r="N87" s="134">
        <f t="shared" si="41"/>
        <v>3.8790681895660191</v>
      </c>
      <c r="O87" s="134">
        <f t="shared" si="42"/>
        <v>185.55711583475937</v>
      </c>
      <c r="P87" s="134">
        <f t="shared" si="43"/>
        <v>1.0000274316465423</v>
      </c>
      <c r="Q87" s="134">
        <f t="shared" si="44"/>
        <v>2.3501299840060708</v>
      </c>
      <c r="R87" s="134">
        <f t="shared" si="45"/>
        <v>7.3914113528661485</v>
      </c>
      <c r="S87" s="134">
        <f t="shared" si="46"/>
        <v>1</v>
      </c>
      <c r="T87" s="134">
        <f t="shared" si="47"/>
        <v>1</v>
      </c>
      <c r="U87" s="134">
        <f t="shared" si="48"/>
        <v>2668406.8017706294</v>
      </c>
      <c r="V87" s="134">
        <f t="shared" si="49"/>
        <v>7.3914113528661485</v>
      </c>
      <c r="W87" s="19">
        <f t="shared" si="50"/>
        <v>4.6432039866601708E-4</v>
      </c>
      <c r="X87" s="19">
        <f t="shared" si="51"/>
        <v>0.7422062580587544</v>
      </c>
      <c r="Y87" s="19">
        <f t="shared" si="52"/>
        <v>0.99461683414597835</v>
      </c>
      <c r="Z87" s="19">
        <f t="shared" si="53"/>
        <v>2.7430894067764108E-5</v>
      </c>
      <c r="AA87" s="19">
        <f t="shared" si="54"/>
        <v>0.57449162097179696</v>
      </c>
      <c r="AB87" s="19">
        <f t="shared" si="55"/>
        <v>0.86564034922891109</v>
      </c>
      <c r="AC87" s="19">
        <f t="shared" si="56"/>
        <v>4.8001175865734952E-17</v>
      </c>
      <c r="AD87" s="19">
        <f t="shared" si="57"/>
        <v>4.8001175865734952E-17</v>
      </c>
      <c r="AE87" s="19">
        <f t="shared" si="58"/>
        <v>0.99999962524454689</v>
      </c>
      <c r="AF87" s="19">
        <f t="shared" si="59"/>
        <v>0.86564034922891109</v>
      </c>
      <c r="AG87" s="134">
        <f t="shared" si="60"/>
        <v>6.1069132716110072E-2</v>
      </c>
      <c r="AH87" s="134">
        <f t="shared" si="61"/>
        <v>2.4574271444898479E-3</v>
      </c>
      <c r="AI87" s="134" t="str">
        <f t="shared" si="62"/>
        <v/>
      </c>
      <c r="AJ87" s="134" t="str">
        <f t="shared" si="63"/>
        <v/>
      </c>
      <c r="AK87" s="134" t="str">
        <f t="shared" si="64"/>
        <v/>
      </c>
      <c r="AL87" s="134" t="str">
        <f t="shared" si="65"/>
        <v/>
      </c>
      <c r="AM87" s="134" t="str">
        <f t="shared" si="66"/>
        <v/>
      </c>
      <c r="AN87" s="134" t="str">
        <f t="shared" si="74"/>
        <v/>
      </c>
      <c r="AO87" s="134">
        <f t="shared" si="67"/>
        <v>8.5582968390101486E-9</v>
      </c>
      <c r="AP87" s="134" t="str">
        <f t="shared" si="68"/>
        <v/>
      </c>
      <c r="AQ87" s="142">
        <f t="shared" si="69"/>
        <v>8.6751108412244482E-2</v>
      </c>
      <c r="AR87" s="134">
        <f t="shared" si="70"/>
        <v>8.6751108412244482E-2</v>
      </c>
      <c r="AS87" s="1042"/>
      <c r="AT87" s="468">
        <v>8.6751108412244482E-2</v>
      </c>
      <c r="AU87" s="143">
        <f t="shared" si="71"/>
        <v>0.78965637707311986</v>
      </c>
      <c r="AV87" s="17"/>
      <c r="AW87" s="136">
        <f t="shared" si="72"/>
        <v>1.5795373712244043E-3</v>
      </c>
      <c r="AX87" s="17"/>
      <c r="AY87" s="27"/>
      <c r="AZ87" s="1041"/>
      <c r="BA87" s="1041"/>
    </row>
    <row r="88" spans="1:53">
      <c r="A88" s="6">
        <v>17.270861055294517</v>
      </c>
      <c r="B88" s="534">
        <v>9.3747626213641411</v>
      </c>
      <c r="C88" s="136">
        <v>9.3538589477539063</v>
      </c>
      <c r="D88" s="135">
        <f t="shared" si="75"/>
        <v>5.3443913374990245E-10</v>
      </c>
      <c r="E88" s="135">
        <f t="shared" si="73"/>
        <v>0.27525838712905137</v>
      </c>
      <c r="F88" s="136">
        <f t="shared" si="34"/>
        <v>-2.0903673610234819E-2</v>
      </c>
      <c r="G88" s="134">
        <f t="shared" si="28"/>
        <v>4.0583459055514676E-8</v>
      </c>
      <c r="H88" s="134">
        <f t="shared" si="35"/>
        <v>2.0145336695005789E-4</v>
      </c>
      <c r="I88" s="135">
        <f t="shared" si="36"/>
        <v>5.9064433179465137E-2</v>
      </c>
      <c r="J88" s="135">
        <f t="shared" si="37"/>
        <v>5.8862979812515079E-2</v>
      </c>
      <c r="K88" s="136">
        <f t="shared" si="38"/>
        <v>0.46338776637523116</v>
      </c>
      <c r="L88" s="136">
        <f t="shared" si="39"/>
        <v>0.53661223362476884</v>
      </c>
      <c r="M88" s="134">
        <f t="shared" si="40"/>
        <v>1.000322061057964</v>
      </c>
      <c r="N88" s="134">
        <f t="shared" si="41"/>
        <v>2.9979129313719626</v>
      </c>
      <c r="O88" s="134">
        <f t="shared" si="42"/>
        <v>129.01373871115794</v>
      </c>
      <c r="P88" s="134">
        <f t="shared" si="43"/>
        <v>1.000019036035493</v>
      </c>
      <c r="Q88" s="134">
        <f t="shared" si="44"/>
        <v>1.9373423761051549</v>
      </c>
      <c r="R88" s="134">
        <f t="shared" si="45"/>
        <v>5.4317983968023453</v>
      </c>
      <c r="S88" s="134">
        <f t="shared" si="46"/>
        <v>1</v>
      </c>
      <c r="T88" s="134">
        <f t="shared" si="47"/>
        <v>1</v>
      </c>
      <c r="U88" s="134">
        <f t="shared" si="48"/>
        <v>1851726.0677592508</v>
      </c>
      <c r="V88" s="134">
        <f t="shared" si="49"/>
        <v>5.4317983968023453</v>
      </c>
      <c r="W88" s="19">
        <f t="shared" si="50"/>
        <v>3.2196122324574844E-4</v>
      </c>
      <c r="X88" s="19">
        <f t="shared" si="51"/>
        <v>0.66643468844838605</v>
      </c>
      <c r="Y88" s="19">
        <f t="shared" si="52"/>
        <v>0.99225304849857576</v>
      </c>
      <c r="Z88" s="19">
        <f t="shared" si="53"/>
        <v>1.9035673129309291E-5</v>
      </c>
      <c r="AA88" s="19">
        <f t="shared" si="54"/>
        <v>0.48382897502587735</v>
      </c>
      <c r="AB88" s="19">
        <f t="shared" si="55"/>
        <v>0.81650969497508641</v>
      </c>
      <c r="AC88" s="19">
        <f t="shared" si="56"/>
        <v>3.3310143672105641E-17</v>
      </c>
      <c r="AD88" s="19">
        <f t="shared" si="57"/>
        <v>3.3310143672105641E-17</v>
      </c>
      <c r="AE88" s="19">
        <f t="shared" si="58"/>
        <v>0.99999945996331885</v>
      </c>
      <c r="AF88" s="19">
        <f t="shared" si="59"/>
        <v>0.81650969497508641</v>
      </c>
      <c r="AG88" s="134">
        <f t="shared" si="60"/>
        <v>6.0326652476095852E-2</v>
      </c>
      <c r="AH88" s="134">
        <f t="shared" si="61"/>
        <v>3.1408128420340286E-3</v>
      </c>
      <c r="AI88" s="134" t="str">
        <f t="shared" si="62"/>
        <v/>
      </c>
      <c r="AJ88" s="134" t="str">
        <f t="shared" si="63"/>
        <v/>
      </c>
      <c r="AK88" s="134" t="str">
        <f t="shared" si="64"/>
        <v/>
      </c>
      <c r="AL88" s="134" t="str">
        <f t="shared" si="65"/>
        <v/>
      </c>
      <c r="AM88" s="134" t="str">
        <f t="shared" si="66"/>
        <v/>
      </c>
      <c r="AN88" s="134" t="str">
        <f t="shared" si="74"/>
        <v/>
      </c>
      <c r="AO88" s="134">
        <f t="shared" si="67"/>
        <v>1.2512319571543608E-8</v>
      </c>
      <c r="AP88" s="134" t="str">
        <f t="shared" si="68"/>
        <v/>
      </c>
      <c r="AQ88" s="142">
        <f t="shared" si="69"/>
        <v>8.702440095871887E-2</v>
      </c>
      <c r="AR88" s="134">
        <f t="shared" si="70"/>
        <v>8.702440095871887E-2</v>
      </c>
      <c r="AS88" s="1042"/>
      <c r="AT88" s="468">
        <v>8.702440095871887E-2</v>
      </c>
      <c r="AU88" s="143">
        <f t="shared" si="71"/>
        <v>0.78947635486099044</v>
      </c>
      <c r="AV88" s="17"/>
      <c r="AW88" s="136">
        <f t="shared" si="72"/>
        <v>-2.0903673610234819E-2</v>
      </c>
      <c r="AX88" s="17"/>
      <c r="AY88" s="27"/>
      <c r="AZ88" s="1041"/>
      <c r="BA88" s="1041"/>
    </row>
    <row r="89" spans="1:53">
      <c r="A89" s="6">
        <v>17.780781710462179</v>
      </c>
      <c r="B89" s="534">
        <v>9.4781753820591188</v>
      </c>
      <c r="C89" s="136">
        <v>9.4900741577148438</v>
      </c>
      <c r="D89" s="135">
        <f t="shared" si="75"/>
        <v>4.2120293875781928E-10</v>
      </c>
      <c r="E89" s="135">
        <f t="shared" si="73"/>
        <v>0.2261984371227721</v>
      </c>
      <c r="F89" s="136">
        <f t="shared" si="34"/>
        <v>1.1898775655724947E-2</v>
      </c>
      <c r="G89" s="134">
        <f t="shared" si="28"/>
        <v>1.5005838964796047E-8</v>
      </c>
      <c r="H89" s="134">
        <f t="shared" si="35"/>
        <v>-1.2249832229380142E-4</v>
      </c>
      <c r="I89" s="135">
        <f t="shared" si="36"/>
        <v>5.82672507734791E-2</v>
      </c>
      <c r="J89" s="135">
        <f t="shared" si="37"/>
        <v>5.8389749095772901E-2</v>
      </c>
      <c r="K89" s="136">
        <f t="shared" si="38"/>
        <v>0.47063032858153808</v>
      </c>
      <c r="L89" s="136">
        <f t="shared" si="39"/>
        <v>0.52936967141846192</v>
      </c>
      <c r="M89" s="134">
        <f t="shared" si="40"/>
        <v>1.0002538018847447</v>
      </c>
      <c r="N89" s="134">
        <f t="shared" si="41"/>
        <v>2.5745551771035262</v>
      </c>
      <c r="O89" s="134">
        <f t="shared" si="42"/>
        <v>101.88479810206319</v>
      </c>
      <c r="P89" s="134">
        <f t="shared" si="43"/>
        <v>1.0000150022999132</v>
      </c>
      <c r="Q89" s="134">
        <f t="shared" si="44"/>
        <v>1.7387396216057884</v>
      </c>
      <c r="R89" s="134">
        <f t="shared" si="45"/>
        <v>4.4920514398558371</v>
      </c>
      <c r="S89" s="134">
        <f t="shared" si="46"/>
        <v>1</v>
      </c>
      <c r="T89" s="134">
        <f t="shared" si="47"/>
        <v>1</v>
      </c>
      <c r="U89" s="134">
        <f t="shared" si="48"/>
        <v>1459345.5590861328</v>
      </c>
      <c r="V89" s="134">
        <f t="shared" si="49"/>
        <v>4.4920514398558371</v>
      </c>
      <c r="W89" s="19">
        <f t="shared" si="50"/>
        <v>2.5373988013898389E-4</v>
      </c>
      <c r="X89" s="19">
        <f t="shared" si="51"/>
        <v>0.61158344539679288</v>
      </c>
      <c r="Y89" s="19">
        <f t="shared" si="52"/>
        <v>0.9901882655123917</v>
      </c>
      <c r="Z89" s="19">
        <f t="shared" si="53"/>
        <v>1.500207484760121E-5</v>
      </c>
      <c r="AA89" s="19">
        <f t="shared" si="54"/>
        <v>0.42487075835054361</v>
      </c>
      <c r="AB89" s="19">
        <f t="shared" si="55"/>
        <v>0.77784327089713778</v>
      </c>
      <c r="AC89" s="19">
        <f t="shared" si="56"/>
        <v>2.6251724824937038E-17</v>
      </c>
      <c r="AD89" s="19">
        <f t="shared" si="57"/>
        <v>2.6251724824937038E-17</v>
      </c>
      <c r="AE89" s="19">
        <f t="shared" si="58"/>
        <v>0.99999931476133685</v>
      </c>
      <c r="AF89" s="19">
        <f t="shared" si="59"/>
        <v>0.77784327089713778</v>
      </c>
      <c r="AG89" s="134">
        <f t="shared" si="60"/>
        <v>5.9514690065133297E-2</v>
      </c>
      <c r="AH89" s="134">
        <f t="shared" si="61"/>
        <v>3.6079234698813863E-3</v>
      </c>
      <c r="AI89" s="134" t="str">
        <f t="shared" si="62"/>
        <v/>
      </c>
      <c r="AJ89" s="134" t="str">
        <f t="shared" si="63"/>
        <v/>
      </c>
      <c r="AK89" s="134" t="str">
        <f t="shared" si="64"/>
        <v/>
      </c>
      <c r="AL89" s="134" t="str">
        <f t="shared" si="65"/>
        <v/>
      </c>
      <c r="AM89" s="134" t="str">
        <f t="shared" si="66"/>
        <v/>
      </c>
      <c r="AN89" s="134" t="str">
        <f t="shared" si="74"/>
        <v/>
      </c>
      <c r="AO89" s="134">
        <f t="shared" si="67"/>
        <v>1.6124704860042019E-8</v>
      </c>
      <c r="AP89" s="134" t="str">
        <f t="shared" si="68"/>
        <v/>
      </c>
      <c r="AQ89" s="142">
        <f t="shared" si="69"/>
        <v>8.7040718254031188E-2</v>
      </c>
      <c r="AR89" s="134">
        <f t="shared" si="70"/>
        <v>8.7040718254031188E-2</v>
      </c>
      <c r="AS89" s="1042"/>
      <c r="AT89" s="468">
        <v>8.7040718254031188E-2</v>
      </c>
      <c r="AU89" s="143">
        <f t="shared" si="71"/>
        <v>0.78946562620190575</v>
      </c>
      <c r="AV89" s="17"/>
      <c r="AW89" s="136">
        <f t="shared" si="72"/>
        <v>1.1898775655724947E-2</v>
      </c>
      <c r="AX89" s="17"/>
      <c r="AY89" s="27"/>
      <c r="AZ89" s="1041"/>
      <c r="BA89" s="1041"/>
    </row>
    <row r="90" spans="1:53">
      <c r="A90" s="6">
        <v>18.326342337240931</v>
      </c>
      <c r="B90" s="534">
        <v>9.6143446978506706</v>
      </c>
      <c r="C90" s="136">
        <v>9.6262283325195313</v>
      </c>
      <c r="D90" s="135">
        <f t="shared" si="75"/>
        <v>3.0788487160511472E-10</v>
      </c>
      <c r="E90" s="135">
        <f t="shared" si="73"/>
        <v>0.23726722187081739</v>
      </c>
      <c r="F90" s="136">
        <f t="shared" si="34"/>
        <v>1.1883634668860665E-2</v>
      </c>
      <c r="G90" s="134">
        <f t="shared" si="28"/>
        <v>1.5970110748621386E-8</v>
      </c>
      <c r="H90" s="134">
        <f t="shared" si="35"/>
        <v>-1.2637290353798708E-4</v>
      </c>
      <c r="I90" s="135">
        <f t="shared" si="36"/>
        <v>5.7437839044779754E-2</v>
      </c>
      <c r="J90" s="135">
        <f t="shared" si="37"/>
        <v>5.7564211948317741E-2</v>
      </c>
      <c r="K90" s="136">
        <f t="shared" si="38"/>
        <v>0.47816570065527997</v>
      </c>
      <c r="L90" s="136">
        <f t="shared" si="39"/>
        <v>0.52183429934472003</v>
      </c>
      <c r="M90" s="134">
        <f t="shared" si="40"/>
        <v>1.0001853501997049</v>
      </c>
      <c r="N90" s="134">
        <f t="shared" si="41"/>
        <v>2.150594475688139</v>
      </c>
      <c r="O90" s="134">
        <f t="shared" si="42"/>
        <v>74.698255577761714</v>
      </c>
      <c r="P90" s="134">
        <f t="shared" si="43"/>
        <v>1.0000109628192722</v>
      </c>
      <c r="Q90" s="134">
        <f t="shared" si="44"/>
        <v>1.5399932731202646</v>
      </c>
      <c r="R90" s="134">
        <f t="shared" si="45"/>
        <v>3.5506066748670575</v>
      </c>
      <c r="S90" s="134">
        <f t="shared" si="46"/>
        <v>1</v>
      </c>
      <c r="T90" s="134">
        <f t="shared" si="47"/>
        <v>1</v>
      </c>
      <c r="U90" s="134">
        <f t="shared" si="48"/>
        <v>1066406.2011793489</v>
      </c>
      <c r="V90" s="134">
        <f t="shared" si="49"/>
        <v>3.5506066748670575</v>
      </c>
      <c r="W90" s="19">
        <f t="shared" si="50"/>
        <v>1.8531712888969799E-4</v>
      </c>
      <c r="X90" s="19">
        <f t="shared" si="51"/>
        <v>0.5350123270575261</v>
      </c>
      <c r="Y90" s="19">
        <f t="shared" si="52"/>
        <v>0.98661518921276936</v>
      </c>
      <c r="Z90" s="19">
        <f t="shared" si="53"/>
        <v>1.0962699090103274E-5</v>
      </c>
      <c r="AA90" s="19">
        <f t="shared" si="54"/>
        <v>0.35064651420597104</v>
      </c>
      <c r="AB90" s="19">
        <f t="shared" si="55"/>
        <v>0.71866778620777438</v>
      </c>
      <c r="AC90" s="19">
        <f t="shared" si="56"/>
        <v>1.9183253001447783E-17</v>
      </c>
      <c r="AD90" s="19">
        <f t="shared" si="57"/>
        <v>1.9183253001447783E-17</v>
      </c>
      <c r="AE90" s="19">
        <f t="shared" si="58"/>
        <v>0.99999906227101931</v>
      </c>
      <c r="AF90" s="19">
        <f t="shared" si="59"/>
        <v>0.71866778620777438</v>
      </c>
      <c r="AG90" s="134">
        <f t="shared" si="60"/>
        <v>5.8669751928861452E-2</v>
      </c>
      <c r="AH90" s="134">
        <f t="shared" si="61"/>
        <v>4.2576948274304863E-3</v>
      </c>
      <c r="AI90" s="134" t="str">
        <f t="shared" si="62"/>
        <v/>
      </c>
      <c r="AJ90" s="134" t="str">
        <f t="shared" si="63"/>
        <v/>
      </c>
      <c r="AK90" s="134" t="str">
        <f t="shared" si="64"/>
        <v/>
      </c>
      <c r="AL90" s="134" t="str">
        <f t="shared" si="65"/>
        <v/>
      </c>
      <c r="AM90" s="134" t="str">
        <f t="shared" si="66"/>
        <v/>
      </c>
      <c r="AN90" s="134" t="str">
        <f t="shared" si="74"/>
        <v/>
      </c>
      <c r="AO90" s="134">
        <f t="shared" si="67"/>
        <v>2.2419491753070826E-8</v>
      </c>
      <c r="AP90" s="134" t="str">
        <f t="shared" si="68"/>
        <v/>
      </c>
      <c r="AQ90" s="142">
        <f t="shared" si="69"/>
        <v>8.7224163292907109E-2</v>
      </c>
      <c r="AR90" s="134">
        <f t="shared" si="70"/>
        <v>8.7224163292907109E-2</v>
      </c>
      <c r="AS90" s="1042"/>
      <c r="AT90" s="468">
        <v>8.7224163292907109E-2</v>
      </c>
      <c r="AU90" s="143">
        <f t="shared" si="71"/>
        <v>0.78934516378589759</v>
      </c>
      <c r="AV90" s="17"/>
      <c r="AW90" s="136">
        <f t="shared" si="72"/>
        <v>1.1883634668860665E-2</v>
      </c>
      <c r="AX90" s="17"/>
      <c r="AY90" s="27"/>
      <c r="AZ90" s="1041"/>
      <c r="BA90" s="1041"/>
    </row>
    <row r="91" spans="1:53">
      <c r="A91" s="6">
        <v>18.883451000147033</v>
      </c>
      <c r="B91" s="534">
        <v>9.7396602970849475</v>
      </c>
      <c r="C91" s="136">
        <v>9.7623672485351563</v>
      </c>
      <c r="D91" s="135">
        <f t="shared" si="75"/>
        <v>2.3073778967533078E-10</v>
      </c>
      <c r="E91" s="135">
        <f t="shared" si="73"/>
        <v>0.28386297888986095</v>
      </c>
      <c r="F91" s="136">
        <f>IF(A91="","",IF(C91="","0,00001",(IF(ABS(C91-B91)&lt;0.00001,0.00001,C91-B91))))</f>
        <v>2.2706951450208734E-2</v>
      </c>
      <c r="G91" s="134">
        <f t="shared" si="28"/>
        <v>5.6664848155025005E-8</v>
      </c>
      <c r="H91" s="134">
        <f t="shared" si="35"/>
        <v>-2.3804379461566522E-4</v>
      </c>
      <c r="I91" s="135">
        <f t="shared" si="36"/>
        <v>5.6614889515162838E-2</v>
      </c>
      <c r="J91" s="135">
        <f t="shared" si="37"/>
        <v>5.6852933309778503E-2</v>
      </c>
      <c r="K91" s="136">
        <f t="shared" si="38"/>
        <v>0.4856423623529616</v>
      </c>
      <c r="L91" s="136">
        <f t="shared" si="39"/>
        <v>0.51435763764703835</v>
      </c>
      <c r="M91" s="134">
        <f t="shared" si="40"/>
        <v>1.0001388183314595</v>
      </c>
      <c r="N91" s="134">
        <f t="shared" si="41"/>
        <v>1.8621060646297392</v>
      </c>
      <c r="O91" s="134">
        <f t="shared" si="42"/>
        <v>56.208177841828757</v>
      </c>
      <c r="P91" s="134">
        <f t="shared" si="43"/>
        <v>1.0000082141130893</v>
      </c>
      <c r="Q91" s="134">
        <f t="shared" si="44"/>
        <v>1.4046865103496278</v>
      </c>
      <c r="R91" s="134">
        <f t="shared" si="45"/>
        <v>2.9104822087151039</v>
      </c>
      <c r="S91" s="134">
        <f t="shared" si="46"/>
        <v>1</v>
      </c>
      <c r="T91" s="134">
        <f t="shared" si="47"/>
        <v>1</v>
      </c>
      <c r="U91" s="134">
        <f t="shared" si="48"/>
        <v>799026.57034077181</v>
      </c>
      <c r="V91" s="134">
        <f t="shared" si="49"/>
        <v>2.9104822087151039</v>
      </c>
      <c r="W91" s="19">
        <f t="shared" si="50"/>
        <v>1.3879978038699797E-4</v>
      </c>
      <c r="X91" s="19">
        <f t="shared" si="51"/>
        <v>0.4629736863747872</v>
      </c>
      <c r="Y91" s="19">
        <f t="shared" si="52"/>
        <v>0.98221077183259942</v>
      </c>
      <c r="Z91" s="19">
        <f t="shared" si="53"/>
        <v>8.2140456182015292E-6</v>
      </c>
      <c r="AA91" s="19">
        <f t="shared" si="54"/>
        <v>0.28809738498086734</v>
      </c>
      <c r="AB91" s="19">
        <f t="shared" si="55"/>
        <v>0.65662645120215291</v>
      </c>
      <c r="AC91" s="19">
        <f t="shared" si="56"/>
        <v>1.4373438589308713E-17</v>
      </c>
      <c r="AD91" s="19">
        <f t="shared" si="57"/>
        <v>1.4373438589308713E-17</v>
      </c>
      <c r="AE91" s="19">
        <f t="shared" si="58"/>
        <v>0.99999874847716319</v>
      </c>
      <c r="AF91" s="19">
        <f t="shared" si="59"/>
        <v>0.65662645120215291</v>
      </c>
      <c r="AG91" s="134">
        <f t="shared" si="60"/>
        <v>5.7830646600503334E-2</v>
      </c>
      <c r="AH91" s="134">
        <f t="shared" si="61"/>
        <v>4.8468680637147174E-3</v>
      </c>
      <c r="AI91" s="134" t="str">
        <f t="shared" si="62"/>
        <v/>
      </c>
      <c r="AJ91" s="134" t="str">
        <f t="shared" si="63"/>
        <v/>
      </c>
      <c r="AK91" s="134" t="str">
        <f t="shared" si="64"/>
        <v/>
      </c>
      <c r="AL91" s="134" t="str">
        <f t="shared" si="65"/>
        <v/>
      </c>
      <c r="AM91" s="134" t="str">
        <f t="shared" si="66"/>
        <v/>
      </c>
      <c r="AN91" s="134" t="str">
        <f t="shared" si="74"/>
        <v/>
      </c>
      <c r="AO91" s="134">
        <f t="shared" si="67"/>
        <v>3.0389625350371207E-8</v>
      </c>
      <c r="AP91" s="134" t="str">
        <f t="shared" si="68"/>
        <v/>
      </c>
      <c r="AQ91" s="142">
        <f t="shared" si="69"/>
        <v>8.7351665703125025E-2</v>
      </c>
      <c r="AR91" s="134">
        <f t="shared" si="70"/>
        <v>8.7351665703125025E-2</v>
      </c>
      <c r="AS91" s="1042"/>
      <c r="AT91" s="468">
        <v>8.7351665703125025E-2</v>
      </c>
      <c r="AU91" s="143">
        <f t="shared" si="71"/>
        <v>0.78926160238584886</v>
      </c>
      <c r="AV91" s="17"/>
      <c r="AW91" s="136">
        <f t="shared" si="72"/>
        <v>2.2706951450208734E-2</v>
      </c>
      <c r="AX91" s="17"/>
      <c r="AY91" s="27"/>
      <c r="AZ91" s="1041"/>
      <c r="BA91" s="1041"/>
    </row>
    <row r="92" spans="1:53">
      <c r="A92" s="6">
        <v>19.426484357973095</v>
      </c>
      <c r="B92" s="534">
        <v>9.9258049194563522</v>
      </c>
      <c r="C92" s="136">
        <v>9.8983230590820313</v>
      </c>
      <c r="D92" s="135">
        <f t="shared" ref="D92:D111" si="76">IF(A92="","",10^-((((B92-P$12)/P$13)+7))/$AU92)</f>
        <v>1.5035835656813602E-10</v>
      </c>
      <c r="E92" s="135">
        <f t="shared" si="73"/>
        <v>0.27614741342926019</v>
      </c>
      <c r="F92" s="136">
        <f t="shared" si="34"/>
        <v>-2.7481860374320988E-2</v>
      </c>
      <c r="G92" s="134">
        <f t="shared" si="28"/>
        <v>7.1993608195109669E-8</v>
      </c>
      <c r="H92" s="134">
        <f t="shared" ref="H92:H111" si="77">IF(A92="","",I92-J92)</f>
        <v>2.6831624661043108E-4</v>
      </c>
      <c r="I92" s="135">
        <f t="shared" ref="I92:I111" si="78">IF(A92="","",L92*I$18+K92*E$19)</f>
        <v>5.5835114852090376E-2</v>
      </c>
      <c r="J92" s="135">
        <f t="shared" ref="J92:J111" si="79">IF(A92="","",D92 -$AC$9/AU92^2/D92+L92*(W92*$B$11+X92*$C$11+Y92*$D$11+Z92*$E$11+AA92*$F$11+AB92*$G$11+AC92*$H$11)+K92*(AD92*$B$18+AE92*$C$18+AF92*$D$18))</f>
        <v>5.5566798605479945E-2</v>
      </c>
      <c r="K92" s="136">
        <f t="shared" ref="K92:K111" si="80">IF(A92="","",A92/(A92+$G$16))</f>
        <v>0.49272677171999835</v>
      </c>
      <c r="L92" s="136">
        <f t="shared" ref="L92:L111" si="81">IF(A92="","",$E$16/(A92+$G$16))</f>
        <v>0.50727322828000165</v>
      </c>
      <c r="M92" s="134">
        <f t="shared" ref="M92:M111" si="82">IF($A92="","",(1+(V$5*$AU92^(-2*V$4))*$D92+(V$6*$AU92^(-4*V$4-2))*$D92^2+(V$7*$AU92^(-6*V$4-6))*$D92^3+(V$8*$AU92^(-8*V$4-12))*$D92^4+(V$9*$AU92^(-10*V$4-20))*$D92^5+(V$10*$AU92^(-12*V$4-30))*$D92^6))</f>
        <v>1.0000902680564367</v>
      </c>
      <c r="N92" s="134">
        <f t="shared" ref="N92:N111" si="83">IF($A92="","",(1+(W$5*$AU92^(-2*W$4))*$D92+(W$6*$AU92^(-4*W$4-2))*$D92^2+(W$7*$AU92^(-6*W$4-6))*$D92^3+(W$8*$AU92^(-8*W$4-12))*$D92^4+(W$9*$AU92^(-10*W$4-20))*$D92^5+(W$10*$AU92^(-12*W$4-30))*$D92^6))</f>
        <v>1.561387328373584</v>
      </c>
      <c r="O92" s="134">
        <f t="shared" ref="O92:O111" si="84">IF($A92="","",(1+(X$5*$AU92^(-2*X$4))*$D92+(X$6*$AU92^(-4*X$4-2))*$D92^2+(X$7*$AU92^(-6*X$4-6))*$D92^3+(X$8*$AU92^(-8*X$4-12))*$D92^4+(X$9*$AU92^(-10*X$4-20))*$D92^5+(X$10*$AU92^(-12*X$4-30))*$D92^6))</f>
        <v>36.925111387140994</v>
      </c>
      <c r="P92" s="134">
        <f t="shared" ref="P92:P111" si="85">IF($A92="","",(1+(Y$5*$AU92^(-2*Y$4))*$D92+(Y$6*$AU92^(-4*Y$4-2))*$D92^2+(Y$7*$AU92^(-6*Y$4-6))*$D92^3+(Y$8*$AU92^(-8*Y$4-12))*$D92^4+(Y$9*$AU92^(-10*Y$4-20))*$D92^5+(Y$10*$AU92^(-12*Y$4-30))*$D92^6))</f>
        <v>1.00000534887675</v>
      </c>
      <c r="Q92" s="134">
        <f t="shared" ref="Q92:Q111" si="86">IF($A92="","",(1+(Z$5*$AU92^(-2*Z$4))*$D92+(Z$6*$AU92^(-4*Z$4-2))*$D92^2+(Z$7*$AU92^(-6*Z$4-6))*$D92^3+(Z$8*$AU92^(-8*Z$4-12))*$D92^4+(Z$9*$AU92^(-10*Z$4-20))*$D92^5+(Z$10*$AU92^(-12*Z$4-30))*$D92^6))</f>
        <v>1.2637105898738248</v>
      </c>
      <c r="R92" s="134">
        <f t="shared" ref="R92:R111" si="87">IF($A92="","",(1+(AA$5*$AU92^(-2*AA$4))*$D92+(AA$6*$AU92^(-4*AA$4-2))*$D92^2+(AA$7*$AU92^(-6*AA$4-6))*$D92^3+(AA$8*$AU92^(-8*AA$4-12))*$D92^4+(AA$9*$AU92^(-10*AA$4-20))*$D92^5+(AA$10*$AU92^(-12*AA$4-30))*$D92^6))</f>
        <v>2.243051217289544</v>
      </c>
      <c r="S92" s="134">
        <f t="shared" ref="S92:S111" si="88">IF($A92="","",(1+(AB$5*$AU92^(-2*AB$4))*$D92+(AB$6*$AU92^(-4*AB$4-2))*$D92^2+(AB$7*$AU92^(-6*AB$4-6))*$D92^3+(AB$8*$AU92^(-8*AB$4-12))*$D92^4+(AB$9*$AU92^(-10*AB$4-20))*$D92^5+(AB$10*$AU92^(-12*AB$4-30))*$D92^6))</f>
        <v>1</v>
      </c>
      <c r="T92" s="134">
        <f t="shared" ref="T92:T111" si="89">IF($A92="","",(1+(AC$5*$AU92^(-2*AC$4))*$D92+(AC$6*$AU92^(-4*AC$4-2))*$D92^2))</f>
        <v>1</v>
      </c>
      <c r="U92" s="134">
        <f t="shared" ref="U92:U111" si="90">IF($A92="","",(1+(AD$5*$AU92^(-2*AD$4))*$D92+(AD$6*$AU92^(-4*AD$4-2))*$D92^2))</f>
        <v>520311.50088969606</v>
      </c>
      <c r="V92" s="134">
        <f t="shared" ref="V92:V111" si="91">IF($A92="","",(1+(AE$5*$AU92^(-2*AE$4))*$D92+(AE$6*$AU92^(-4*AE$4-2))*$D92^2))</f>
        <v>2.243051217289544</v>
      </c>
      <c r="W92" s="19">
        <f t="shared" ref="W92:W111" si="92">IF($A92="","",((V$5*$AU92^(-2*V$4))*$D92+2*(V$6*$AU92^(-4*V$4-2))*$D92^2+3*(V$7*$AU92^(-6*V$4-6))*$D92^3+4*(V$8*$AU92^(-8*V$4-12))*$D92^4+5*(V$9*$AU92^(-10*V$4-20))*$D92^5+6*(V$10*$AU92^(-12*V$4-30))*$D92^6)/M92)</f>
        <v>9.0260212163157993E-5</v>
      </c>
      <c r="X92" s="19">
        <f t="shared" ref="X92:X111" si="93">IF($A92="","",((W$5*$AU92^(-2*W$4))*$D92+2*(W$6*$AU92^(-4*W$4-2))*$D92^2+3*(W$7*$AU92^(-6*W$4-6))*$D92^3+4*(W$8*$AU92^(-8*W$4-12))*$D92^4+5*(W$9*$AU92^(-10*W$4-20))*$D92^5+6*(W$10*$AU92^(-12*W$4-30))*$D92^6)/N92)</f>
        <v>0.35954393702889487</v>
      </c>
      <c r="Y92" s="19">
        <f t="shared" ref="Y92:Y111" si="94">IF($A92="","",((X$5*$AU92^(-2*X$4))*$D92+2*(X$6*$AU92^(-4*X$4-2))*$D92^2+3*(X$7*$AU92^(-6*X$4-6))*$D92^3+4*(X$8*$AU92^(-8*X$4-12))*$D92^4+5*(X$9*$AU92^(-10*X$4-20))*$D92^5+6*(X$10*$AU92^(-12*X$4-30))*$D92^6)/O92)</f>
        <v>0.97291930528380144</v>
      </c>
      <c r="Z92" s="19">
        <f t="shared" ref="Z92:Z111" si="95">IF($A92="","",((Y$5*$AU92^(-2*Y$4))*$D92+2*(Y$6*$AU92^(-4*Y$4-2))*$D92^2+3*(Y$7*$AU92^(-6*Y$4-6))*$D92^3+4*(Y$8*$AU92^(-8*Y$4-12))*$D92^4+5*(Y$9*$AU92^(-10*Y$4-20))*$D92^5+6*(Y$10*$AU92^(-12*Y$4-30))*$D92^6)/P92)</f>
        <v>5.3488481396801215E-6</v>
      </c>
      <c r="AA92" s="19">
        <f t="shared" ref="AA92:AA111" si="96">IF($A92="","",((Z$5*$AU92^(-2*Z$4))*$D92+2*(Z$6*$AU92^(-4*Z$4-2))*$D92^2+3*(Z$7*$AU92^(-6*Z$4-6))*$D92^3+4*(Z$8*$AU92^(-8*Z$4-12))*$D92^4+5*(Z$9*$AU92^(-10*Z$4-20))*$D92^5+6*(Z$10*$AU92^(-12*Z$4-30))*$D92^6)/Q92)</f>
        <v>0.20867957583559937</v>
      </c>
      <c r="AB92" s="19">
        <f t="shared" ref="AB92:AB111" si="97">IF($A92="","",((AA$5*$AU92^(-2*AA$4))*$D92+2*(AA$6*$AU92^(-4*AA$4-2))*$D92^2+3*(AA$7*$AU92^(-6*AA$4-6))*$D92^3+4*(AA$8*$AU92^(-8*AA$4-12))*$D92^4+5*(AA$9*$AU92^(-10*AA$4-20))*$D92^5+6*(AA$10*$AU92^(-12*AA$4-30))*$D92^6)/R92)</f>
        <v>0.55429533718937363</v>
      </c>
      <c r="AC92" s="19">
        <f t="shared" ref="AC92:AC111" si="98">IF($A92="","",((AB$5*$AU92^(-2*AB$4))*$D92+2*(AB$6*$AU92^(-4*AB$4-2))*$D92^2+3*(AB$7*$AU92^(-6*AB$4-6))*$D92^3+4*(AB$8*$AU92^(-8*AB$4-12))*$D92^4+5*(AB$9*$AU92^(-10*AB$4-20))*$D92^5+6*(AB$10*$AU92^(-12*AB$4-30))*$D92^6)/S92)</f>
        <v>9.3597142688684812E-18</v>
      </c>
      <c r="AD92" s="19">
        <f t="shared" ref="AD92:AD111" si="99">IF($A92="","",((AC$5*$AU92^(-2*AC$4))*$D92+2*(AC$6*$AU92^(-4*AC$4-2))*$D92^2)/T92)</f>
        <v>9.3597142688684812E-18</v>
      </c>
      <c r="AE92" s="19">
        <f t="shared" ref="AE92:AE111" si="100">IF($A92="","",((AD$5*$AU92^(-2*AD$4))*$D92+2*(AD$6*$AU92^(-4*AD$4-2))*$D92^2)/U92)</f>
        <v>0.99999807807438756</v>
      </c>
      <c r="AF92" s="19">
        <f t="shared" ref="AF92:AF111" si="101">IF($A92="","",((AE$5*$AU92^(-2*AE$4))*$D92+2*(AE$6*$AU92^(-4*AE$4-2))*$D92^2)/V92)</f>
        <v>0.55429533718937363</v>
      </c>
      <c r="AG92" s="134">
        <f t="shared" ref="AG92:AG111" si="102">IF(B$11=0,"",IF($A92="","",0.5*B$11*$L92*(1*V$4^2+(V$5*$AU92^(-2*V$4))*$D92*(V$4+1)^2+(V$6*$AU92^(-4*V$4-2))*$D92^2*(V$4+2)^2+(V$7*$AU92^(-6*V$4-6))*$D92^3*(V$4+3)^2+(V$8*$AU92^(-8*V$4-12))*$D92^4*(V$4+4)^2+(V$9*$AU92^(-10*V$4-20))*$D92^5*(V$4+5)^2+(V$10*$AU92^(-12*V$4-30))*$D92^6*(V$4+6)^2)/M92))</f>
        <v>5.703566505304776E-2</v>
      </c>
      <c r="AH92" s="134">
        <f t="shared" ref="AH92:AH111" si="103">IF(C$11=0,"",IF($A92="","",0.5*C$11*$L92*(1*W$4^2+(W$5*$AU92^(-2*W$4))*$D92*(W$4+1)^2+(W$6*$AU92^(-4*W$4-2))*$D92^2*(W$4+2)^2+(W$7*$AU92^(-6*W$4-6))*$D92^3*(W$4+3)^2+(W$8*$AU92^(-8*W$4-12))*$D92^4*(W$4+4)^2+(W$9*$AU92^(-10*W$4-20))*$D92^5*(W$4+5)^2+(W$10*$AU92^(-12*W$4-30))*$D92^6*(W$4+6)^2)/N92))</f>
        <v>5.7007461236276737E-3</v>
      </c>
      <c r="AI92" s="134" t="str">
        <f t="shared" ref="AI92:AI111" si="104">IF(D$11=0,"",IF($A92="","",0.5*D$11*$L92*(1*X$4^2+(X$5*$AU92^(-2*X$4))*$D92*(X$4+1)^2+(X$6*$AU92^(-4*X$4-2))*$D92^2*(X$4+2)^2+(X$7*$AU92^(-6*X$4-6))*$D92^3*(X$4+3)^2+(X$8*$AU92^(-8*X$4-12))*$D92^4*(X$4+4)^2+(X$9*$AU92^(-10*X$4-20))*$D92^5*(X$4+5)^2+(X$10*$AU92^(-12*X$4-30))*$D92^6*(X$4+6)^2)/O92))</f>
        <v/>
      </c>
      <c r="AJ92" s="134" t="str">
        <f t="shared" ref="AJ92:AJ111" si="105">IF(E$11=0,"",IF($A92="","",0.5*E$11*$L92*(1*Y$4^2+(Y$5*$AU92^(-2*Y$4))*$D92*(Y$4+1)^2+(Y$6*$AU92^(-4*Y$4-2))*$D92^2*(Y$4+2)^2+(Y$7*$AU92^(-6*Y$4-6))*$D92^3*(Y$4+3)^2+(Y$8*$AU92^(-8*Y$4-12))*$D92^4*(Y$4+4)^2+(Y$9*$AU92^(-10*Y$4-20))*$D92^5*(Y$4+5)^2+(Y$10*$AU92^(-12*Y$4-30))*$D92^6*(Y$4+6)^2)/P92))</f>
        <v/>
      </c>
      <c r="AK92" s="134" t="str">
        <f t="shared" ref="AK92:AK111" si="106">IF(F$11=0,"",IF($A92="","",0.5*F$11*$L92*(1*Z$4^2+(Z$5*$AU92^(-2*Z$4))*$D92*(Z$4+1)^2+(Z$6*$AU92^(-4*Z$4-2))*$D92^2*(Z$4+2)^2+(Z$7*$AU92^(-6*Z$4-6))*$D92^3*(Z$4+3)^2+(Z$8*$AU92^(-8*Z$4-12))*$D92^4*(Z$4+4)^2+(Z$9*$AU92^(-10*Z$4-20))*$D92^5*(Z$4+5)^2+(Z$10*$AU92^(-12*Z$4-30))*$D92^6*(Z$4+6)^2)/Q92))</f>
        <v/>
      </c>
      <c r="AL92" s="134" t="str">
        <f t="shared" ref="AL92:AL111" si="107">IF(G$11=0,"",IF($A92="","",0.5*G$11*$L92*(1*AA$4^2+(AA$5*$AU92^(-2*AA$4))*$D92*(AA$4+1)^2+(AA$6*$AU92^(-4*AA$4-2))*$D92^2*(AA$4+2)^2+(AA$7*$AU92^(-6*AA$4-6))*$D92^3*(AA$4+3)^2+(AA$8*$AU92^(-8*AA$4-12))*$D92^4*(AA$4+4)^2+(AA$9*$AU92^(-10*AA$4-20))*$D92^5*(AA$4+5)^2+(AA$10*$AU92^(-12*AA$4-30))*$D92^6*(AA$4+6)^2)/R92))</f>
        <v/>
      </c>
      <c r="AM92" s="134" t="str">
        <f t="shared" ref="AM92:AM111" si="108">IF(H$11=0,"",IF($A92="","",0.5*H$11*$L92*(1*AB$4^2+(AB$5*$AU92^(-2*AB$4))*$D92*(AB$4+1)^2+(AB$6*$AU92^(-4*AB$4-2))*$D92^2*(AB$4+2)^2+(AB$7*$AU92^(-6*AB$4-6))*$D92^3*(AB$4+3)^2+(AB$8*$AU92^(-8*AB$4-12))*$D92^4*(AB$4+4)^2+(AB$9*$AU92^(-10*AB$4-20))*$D92^5*(AB$4+5)^2+(AB$10*$AU92^(-12*AB$4-30))*$D92^6*(AB$4+6)^2)/S92))</f>
        <v/>
      </c>
      <c r="AN92" s="134" t="str">
        <f t="shared" ref="AN92:AN111" si="109">IF(B$18=0,"",IF($A92="","",0.5*B$18*$K92*(1*AC$4^2+(AC$5*$AU92^(-2*AC$4))*$D92*(AC$4+1)^2+(AC$6*$AU92^(-4*AC$4-2))*$D92^2*(AC$4+2)^2)/T92))</f>
        <v/>
      </c>
      <c r="AO92" s="134">
        <f t="shared" ref="AO92:AO111" si="110">IF(C$18=0,"",IF($A92="","",0.5*C$18*$K92*(1*AD$4^2+(AD$5*$AU92^(-2*AD$4))*$D92*(AD$4+1)^2+(AD$6*$AU92^(-4*AD$4-2))*$D92^2*(AD$4+2)^2)/U92))</f>
        <v>4.7349210124845434E-8</v>
      </c>
      <c r="AP92" s="134" t="str">
        <f t="shared" ref="AP92:AP111" si="111">IF(D$18=0,"",IF($A92="","",0.5*D$18*$K92*(1*AE$4^2+(AE$5*$AU92^(-2*AE$4))*$D92*(AE$4+1)^2+(AE$6*$AU92^(-4*AE$4-2))*$D92^2*(AE$4+2)^2)/V92))</f>
        <v/>
      </c>
      <c r="AQ92" s="142">
        <f t="shared" si="69"/>
        <v>8.7778646088413625E-2</v>
      </c>
      <c r="AR92" s="134">
        <f t="shared" si="70"/>
        <v>8.7778646088413625E-2</v>
      </c>
      <c r="AS92" s="1042"/>
      <c r="AT92" s="468">
        <v>8.7778646088413625E-2</v>
      </c>
      <c r="AU92" s="143">
        <f t="shared" si="71"/>
        <v>0.78898275414906338</v>
      </c>
      <c r="AV92" s="17"/>
      <c r="AW92" s="136">
        <f t="shared" si="72"/>
        <v>-2.7481860374320988E-2</v>
      </c>
      <c r="AX92" s="17"/>
      <c r="AY92" s="27"/>
    </row>
    <row r="93" spans="1:53">
      <c r="A93" s="6">
        <v>19.933300970296841</v>
      </c>
      <c r="B93" s="534">
        <v>10.031987109556535</v>
      </c>
      <c r="C93" s="136">
        <v>10.034309387207031</v>
      </c>
      <c r="D93" s="135">
        <f t="shared" si="76"/>
        <v>1.1774703308611857E-10</v>
      </c>
      <c r="E93" s="135">
        <f t="shared" si="73"/>
        <v>0.29222654407881288</v>
      </c>
      <c r="F93" s="136">
        <f t="shared" si="34"/>
        <v>2.3222776504958631E-3</v>
      </c>
      <c r="G93" s="134">
        <f t="shared" si="28"/>
        <v>4.2692315794177779E-10</v>
      </c>
      <c r="H93" s="134">
        <f t="shared" si="77"/>
        <v>-2.0662118912197214E-5</v>
      </c>
      <c r="I93" s="135">
        <f t="shared" si="78"/>
        <v>5.5126479125254459E-2</v>
      </c>
      <c r="J93" s="135">
        <f t="shared" si="79"/>
        <v>5.5147141244166656E-2</v>
      </c>
      <c r="K93" s="136">
        <f t="shared" si="80"/>
        <v>0.49916486956897488</v>
      </c>
      <c r="L93" s="136">
        <f t="shared" si="81"/>
        <v>0.50083513043102512</v>
      </c>
      <c r="M93" s="134">
        <f t="shared" si="82"/>
        <v>1.000070685221162</v>
      </c>
      <c r="N93" s="134">
        <f t="shared" si="83"/>
        <v>1.4396183576539592</v>
      </c>
      <c r="O93" s="134">
        <f t="shared" si="84"/>
        <v>29.132092965268701</v>
      </c>
      <c r="P93" s="134">
        <f t="shared" si="85"/>
        <v>1.0000041886667377</v>
      </c>
      <c r="Q93" s="134">
        <f t="shared" si="86"/>
        <v>1.2065142254794601</v>
      </c>
      <c r="R93" s="134">
        <f t="shared" si="87"/>
        <v>1.9733594027287902</v>
      </c>
      <c r="S93" s="134">
        <f t="shared" si="88"/>
        <v>1</v>
      </c>
      <c r="T93" s="134">
        <f t="shared" si="89"/>
        <v>1</v>
      </c>
      <c r="U93" s="134">
        <f t="shared" si="90"/>
        <v>407452.39403820434</v>
      </c>
      <c r="V93" s="134">
        <f t="shared" si="91"/>
        <v>1.9733594027287902</v>
      </c>
      <c r="W93" s="19">
        <f t="shared" si="92"/>
        <v>7.0680411108401588E-5</v>
      </c>
      <c r="X93" s="19">
        <f t="shared" si="93"/>
        <v>0.30537146661482872</v>
      </c>
      <c r="Y93" s="19">
        <f t="shared" si="94"/>
        <v>0.96567448679982559</v>
      </c>
      <c r="Z93" s="19">
        <f t="shared" si="95"/>
        <v>4.1886491928007161E-6</v>
      </c>
      <c r="AA93" s="19">
        <f t="shared" si="96"/>
        <v>0.17116600958218522</v>
      </c>
      <c r="AB93" s="19">
        <f t="shared" si="97"/>
        <v>0.49333123422855318</v>
      </c>
      <c r="AC93" s="19">
        <f t="shared" si="98"/>
        <v>7.3295246206417838E-18</v>
      </c>
      <c r="AD93" s="19">
        <f t="shared" si="99"/>
        <v>7.3295246206417838E-18</v>
      </c>
      <c r="AE93" s="19">
        <f t="shared" si="100"/>
        <v>0.99999754572555066</v>
      </c>
      <c r="AF93" s="19">
        <f t="shared" si="101"/>
        <v>0.49333123422855318</v>
      </c>
      <c r="AG93" s="134">
        <f t="shared" si="102"/>
        <v>5.6312405019634679E-2</v>
      </c>
      <c r="AH93" s="134">
        <f t="shared" si="103"/>
        <v>6.1044678874102544E-3</v>
      </c>
      <c r="AI93" s="134" t="str">
        <f t="shared" si="104"/>
        <v/>
      </c>
      <c r="AJ93" s="134" t="str">
        <f t="shared" si="105"/>
        <v/>
      </c>
      <c r="AK93" s="134" t="str">
        <f t="shared" si="106"/>
        <v/>
      </c>
      <c r="AL93" s="134" t="str">
        <f t="shared" si="107"/>
        <v/>
      </c>
      <c r="AM93" s="134" t="str">
        <f t="shared" si="108"/>
        <v/>
      </c>
      <c r="AN93" s="134" t="str">
        <f t="shared" si="109"/>
        <v/>
      </c>
      <c r="AO93" s="134">
        <f t="shared" si="110"/>
        <v>6.1254379268927705E-8</v>
      </c>
      <c r="AP93" s="134" t="str">
        <f t="shared" si="111"/>
        <v/>
      </c>
      <c r="AQ93" s="142">
        <f t="shared" si="69"/>
        <v>8.7791457807347539E-2</v>
      </c>
      <c r="AR93" s="134">
        <f t="shared" si="70"/>
        <v>8.7791457807347539E-2</v>
      </c>
      <c r="AS93" s="1042"/>
      <c r="AT93" s="468">
        <v>8.7791457807347539E-2</v>
      </c>
      <c r="AU93" s="143">
        <f t="shared" si="71"/>
        <v>0.78897441048863903</v>
      </c>
      <c r="AV93" s="17"/>
      <c r="AW93" s="136">
        <f t="shared" si="72"/>
        <v>2.3222776504958631E-3</v>
      </c>
      <c r="AX93" s="17"/>
      <c r="AY93" s="27"/>
    </row>
    <row r="94" spans="1:53">
      <c r="A94" s="6">
        <v>20.389101548062172</v>
      </c>
      <c r="B94" s="534">
        <v>10.202887247648615</v>
      </c>
      <c r="C94" s="136">
        <v>10.170051574707031</v>
      </c>
      <c r="D94" s="135">
        <f t="shared" si="76"/>
        <v>7.9459893971616144E-11</v>
      </c>
      <c r="E94" s="135">
        <f t="shared" si="73"/>
        <v>0.29745563918420004</v>
      </c>
      <c r="F94" s="136">
        <f t="shared" si="34"/>
        <v>-3.2835672941583738E-2</v>
      </c>
      <c r="G94" s="134">
        <f t="shared" si="28"/>
        <v>6.3188813846676076E-8</v>
      </c>
      <c r="H94" s="134">
        <f t="shared" si="77"/>
        <v>2.5137385275059154E-4</v>
      </c>
      <c r="I94" s="135">
        <f t="shared" si="78"/>
        <v>5.4504363750750295E-2</v>
      </c>
      <c r="J94" s="135">
        <f t="shared" si="79"/>
        <v>5.4252989897999704E-2</v>
      </c>
      <c r="K94" s="136">
        <f t="shared" si="80"/>
        <v>0.50481691264658546</v>
      </c>
      <c r="L94" s="136">
        <f t="shared" si="81"/>
        <v>0.49518308735341454</v>
      </c>
      <c r="M94" s="134">
        <f t="shared" si="82"/>
        <v>1.0000476362294621</v>
      </c>
      <c r="N94" s="134">
        <f t="shared" si="83"/>
        <v>1.2965360725055721</v>
      </c>
      <c r="O94" s="134">
        <f t="shared" si="84"/>
        <v>19.967379605239223</v>
      </c>
      <c r="P94" s="134">
        <f t="shared" si="85"/>
        <v>1.0000028253842734</v>
      </c>
      <c r="Q94" s="134">
        <f t="shared" si="86"/>
        <v>1.1393631587152313</v>
      </c>
      <c r="R94" s="134">
        <f t="shared" si="87"/>
        <v>1.6562289015242528</v>
      </c>
      <c r="S94" s="134">
        <f t="shared" si="88"/>
        <v>1</v>
      </c>
      <c r="T94" s="134">
        <f t="shared" si="89"/>
        <v>1</v>
      </c>
      <c r="U94" s="134">
        <f t="shared" si="90"/>
        <v>274839.47081688221</v>
      </c>
      <c r="V94" s="134">
        <f t="shared" si="91"/>
        <v>1.6562289015242528</v>
      </c>
      <c r="W94" s="19">
        <f t="shared" si="92"/>
        <v>4.7634044872875264E-5</v>
      </c>
      <c r="X94" s="19">
        <f t="shared" si="93"/>
        <v>0.22871409756270764</v>
      </c>
      <c r="Y94" s="19">
        <f t="shared" si="94"/>
        <v>0.94991890702413084</v>
      </c>
      <c r="Z94" s="19">
        <f t="shared" si="95"/>
        <v>2.8253762907453876E-6</v>
      </c>
      <c r="AA94" s="19">
        <f t="shared" si="96"/>
        <v>0.12231671495537903</v>
      </c>
      <c r="AB94" s="19">
        <f t="shared" si="97"/>
        <v>0.39626277556235751</v>
      </c>
      <c r="AC94" s="19">
        <f t="shared" si="98"/>
        <v>4.9439893151104077E-18</v>
      </c>
      <c r="AD94" s="19">
        <f t="shared" si="99"/>
        <v>4.9439893151104077E-18</v>
      </c>
      <c r="AE94" s="19">
        <f t="shared" si="100"/>
        <v>0.99999636151242388</v>
      </c>
      <c r="AF94" s="19">
        <f t="shared" si="101"/>
        <v>0.39626277556235751</v>
      </c>
      <c r="AG94" s="134">
        <f t="shared" si="102"/>
        <v>5.5677619078561683E-2</v>
      </c>
      <c r="AH94" s="134">
        <f t="shared" si="103"/>
        <v>6.7016478200618498E-3</v>
      </c>
      <c r="AI94" s="134" t="str">
        <f t="shared" si="104"/>
        <v/>
      </c>
      <c r="AJ94" s="134" t="str">
        <f t="shared" si="105"/>
        <v/>
      </c>
      <c r="AK94" s="134" t="str">
        <f t="shared" si="106"/>
        <v/>
      </c>
      <c r="AL94" s="134" t="str">
        <f t="shared" si="107"/>
        <v/>
      </c>
      <c r="AM94" s="134" t="str">
        <f t="shared" si="108"/>
        <v/>
      </c>
      <c r="AN94" s="134" t="str">
        <f t="shared" si="109"/>
        <v/>
      </c>
      <c r="AO94" s="134">
        <f t="shared" si="110"/>
        <v>9.1838503244486812E-8</v>
      </c>
      <c r="AP94" s="134" t="str">
        <f t="shared" si="111"/>
        <v/>
      </c>
      <c r="AQ94" s="142">
        <f t="shared" si="69"/>
        <v>8.8065705699650026E-2</v>
      </c>
      <c r="AR94" s="134">
        <f t="shared" si="70"/>
        <v>8.8065705699650026E-2</v>
      </c>
      <c r="AS94" s="1042"/>
      <c r="AT94" s="468">
        <v>8.8065705699650026E-2</v>
      </c>
      <c r="AU94" s="143">
        <f t="shared" si="71"/>
        <v>0.78879612989140924</v>
      </c>
      <c r="AV94" s="17"/>
      <c r="AW94" s="136">
        <f t="shared" si="72"/>
        <v>-3.2835672941583738E-2</v>
      </c>
      <c r="AX94" s="17"/>
      <c r="AY94" s="27"/>
    </row>
    <row r="95" spans="1:53">
      <c r="A95" s="6">
        <v>20.788013354467694</v>
      </c>
      <c r="B95" s="534">
        <v>10.290634401448534</v>
      </c>
      <c r="C95" s="136">
        <v>10.305747985839844</v>
      </c>
      <c r="D95" s="135">
        <f t="shared" si="76"/>
        <v>6.4920211276173472E-11</v>
      </c>
      <c r="E95" s="135">
        <f t="shared" si="73"/>
        <v>0.29469540398881311</v>
      </c>
      <c r="F95" s="136">
        <f t="shared" si="34"/>
        <v>1.5113584391309942E-2</v>
      </c>
      <c r="G95" s="134">
        <f t="shared" si="28"/>
        <v>1.0386616646811134E-8</v>
      </c>
      <c r="H95" s="134">
        <f t="shared" si="77"/>
        <v>-1.0191475186061699E-4</v>
      </c>
      <c r="I95" s="135">
        <f t="shared" si="78"/>
        <v>5.3971304344011282E-2</v>
      </c>
      <c r="J95" s="135">
        <f t="shared" si="79"/>
        <v>5.4073219095871899E-2</v>
      </c>
      <c r="K95" s="136">
        <f t="shared" si="80"/>
        <v>0.50965986437754973</v>
      </c>
      <c r="L95" s="136">
        <f t="shared" si="81"/>
        <v>0.49034013562245021</v>
      </c>
      <c r="M95" s="134">
        <f t="shared" si="82"/>
        <v>1.000038930913854</v>
      </c>
      <c r="N95" s="134">
        <f t="shared" si="83"/>
        <v>1.2422988087142428</v>
      </c>
      <c r="O95" s="134">
        <f t="shared" si="84"/>
        <v>16.499683908231965</v>
      </c>
      <c r="P95" s="134">
        <f t="shared" si="85"/>
        <v>1.0000023086137213</v>
      </c>
      <c r="Q95" s="134">
        <f t="shared" si="86"/>
        <v>1.1138622927327282</v>
      </c>
      <c r="R95" s="134">
        <f t="shared" si="87"/>
        <v>1.5362435443333857</v>
      </c>
      <c r="S95" s="134">
        <f t="shared" si="88"/>
        <v>1</v>
      </c>
      <c r="T95" s="134">
        <f t="shared" si="89"/>
        <v>1</v>
      </c>
      <c r="U95" s="134">
        <f t="shared" si="90"/>
        <v>224570.75882178955</v>
      </c>
      <c r="V95" s="134">
        <f t="shared" si="91"/>
        <v>1.5362435443333857</v>
      </c>
      <c r="W95" s="19">
        <f t="shared" si="92"/>
        <v>3.8929454738674836E-5</v>
      </c>
      <c r="X95" s="19">
        <f t="shared" si="93"/>
        <v>0.19504068629555096</v>
      </c>
      <c r="Y95" s="19">
        <f t="shared" si="94"/>
        <v>0.93939325608406665</v>
      </c>
      <c r="Z95" s="19">
        <f t="shared" si="95"/>
        <v>2.3086083916663043E-6</v>
      </c>
      <c r="AA95" s="19">
        <f t="shared" si="96"/>
        <v>0.1022229529409607</v>
      </c>
      <c r="AB95" s="19">
        <f t="shared" si="97"/>
        <v>0.349093255796813</v>
      </c>
      <c r="AC95" s="19">
        <f t="shared" si="98"/>
        <v>4.0397200756205673E-18</v>
      </c>
      <c r="AD95" s="19">
        <f t="shared" si="99"/>
        <v>4.0397200756205673E-18</v>
      </c>
      <c r="AE95" s="19">
        <f t="shared" si="100"/>
        <v>0.99999554706051119</v>
      </c>
      <c r="AF95" s="19">
        <f t="shared" si="101"/>
        <v>0.349093255796813</v>
      </c>
      <c r="AG95" s="134">
        <f t="shared" si="102"/>
        <v>5.5133351713746621E-2</v>
      </c>
      <c r="AH95" s="134">
        <f t="shared" si="103"/>
        <v>6.9258291793340664E-3</v>
      </c>
      <c r="AI95" s="134" t="str">
        <f t="shared" si="104"/>
        <v/>
      </c>
      <c r="AJ95" s="134" t="str">
        <f t="shared" si="105"/>
        <v/>
      </c>
      <c r="AK95" s="134" t="str">
        <f t="shared" si="106"/>
        <v/>
      </c>
      <c r="AL95" s="134" t="str">
        <f t="shared" si="107"/>
        <v/>
      </c>
      <c r="AM95" s="134" t="str">
        <f t="shared" si="108"/>
        <v/>
      </c>
      <c r="AN95" s="134" t="str">
        <f t="shared" si="109"/>
        <v/>
      </c>
      <c r="AO95" s="134">
        <f t="shared" si="110"/>
        <v>1.1347422679860017E-7</v>
      </c>
      <c r="AP95" s="134" t="str">
        <f t="shared" si="111"/>
        <v/>
      </c>
      <c r="AQ95" s="142">
        <f t="shared" si="69"/>
        <v>8.8007222767126941E-2</v>
      </c>
      <c r="AR95" s="134">
        <f t="shared" si="70"/>
        <v>8.8007222767126941E-2</v>
      </c>
      <c r="AS95" s="1042"/>
      <c r="AT95" s="468">
        <v>8.8007222767126941E-2</v>
      </c>
      <c r="AU95" s="143">
        <f t="shared" si="71"/>
        <v>0.78883409610098598</v>
      </c>
      <c r="AV95" s="17"/>
      <c r="AW95" s="136">
        <f t="shared" si="72"/>
        <v>1.5113584391309942E-2</v>
      </c>
      <c r="AX95" s="17"/>
      <c r="AY95" s="27"/>
    </row>
    <row r="96" spans="1:53">
      <c r="A96" s="6">
        <v>21.132498390215915</v>
      </c>
      <c r="B96" s="534">
        <v>10.417895616528499</v>
      </c>
      <c r="C96" s="136">
        <v>10.441261291503906</v>
      </c>
      <c r="D96" s="135">
        <f t="shared" si="76"/>
        <v>4.8433803161479891E-11</v>
      </c>
      <c r="E96" s="135">
        <f t="shared" si="73"/>
        <v>0.41285066378909513</v>
      </c>
      <c r="F96" s="136">
        <f t="shared" si="34"/>
        <v>2.3365674975407202E-2</v>
      </c>
      <c r="G96" s="134">
        <f t="shared" si="28"/>
        <v>1.8304168591373039E-8</v>
      </c>
      <c r="H96" s="134">
        <f t="shared" si="77"/>
        <v>-1.3529289926442201E-4</v>
      </c>
      <c r="I96" s="135">
        <f t="shared" si="78"/>
        <v>5.3519294195492138E-2</v>
      </c>
      <c r="J96" s="135">
        <f t="shared" si="79"/>
        <v>5.365458709475656E-2</v>
      </c>
      <c r="K96" s="136">
        <f t="shared" si="80"/>
        <v>0.51376646732556974</v>
      </c>
      <c r="L96" s="136">
        <f t="shared" si="81"/>
        <v>0.48623353267443026</v>
      </c>
      <c r="M96" s="134">
        <f t="shared" si="82"/>
        <v>1.000029032464808</v>
      </c>
      <c r="N96" s="134">
        <f t="shared" si="83"/>
        <v>1.1807424642673787</v>
      </c>
      <c r="O96" s="134">
        <f t="shared" si="84"/>
        <v>12.560376575935274</v>
      </c>
      <c r="P96" s="134">
        <f t="shared" si="85"/>
        <v>1.0000017221072477</v>
      </c>
      <c r="Q96" s="134">
        <f t="shared" si="86"/>
        <v>1.0849471029949613</v>
      </c>
      <c r="R96" s="134">
        <f t="shared" si="87"/>
        <v>1.3999459002092813</v>
      </c>
      <c r="S96" s="134">
        <f t="shared" si="88"/>
        <v>1</v>
      </c>
      <c r="T96" s="134">
        <f t="shared" si="89"/>
        <v>1</v>
      </c>
      <c r="U96" s="134">
        <f t="shared" si="90"/>
        <v>167518.50441769339</v>
      </c>
      <c r="V96" s="134">
        <f t="shared" si="91"/>
        <v>1.3999459002092813</v>
      </c>
      <c r="W96" s="19">
        <f t="shared" si="92"/>
        <v>2.9031653342045867E-5</v>
      </c>
      <c r="X96" s="19">
        <f t="shared" si="93"/>
        <v>0.15307526551889661</v>
      </c>
      <c r="Y96" s="19">
        <f t="shared" si="94"/>
        <v>0.92038490181212451</v>
      </c>
      <c r="Z96" s="19">
        <f t="shared" si="95"/>
        <v>1.7221042819803608E-6</v>
      </c>
      <c r="AA96" s="19">
        <f t="shared" si="96"/>
        <v>7.8296077993542434E-2</v>
      </c>
      <c r="AB96" s="19">
        <f t="shared" si="97"/>
        <v>0.28570604340033096</v>
      </c>
      <c r="AC96" s="19">
        <f t="shared" si="98"/>
        <v>3.0134236647197643E-18</v>
      </c>
      <c r="AD96" s="19">
        <f t="shared" si="99"/>
        <v>3.0134236647197643E-18</v>
      </c>
      <c r="AE96" s="19">
        <f t="shared" si="100"/>
        <v>0.99999403051022051</v>
      </c>
      <c r="AF96" s="19">
        <f t="shared" si="101"/>
        <v>0.28570604340033096</v>
      </c>
      <c r="AG96" s="134">
        <f t="shared" si="102"/>
        <v>5.4671910041557518E-2</v>
      </c>
      <c r="AH96" s="134">
        <f t="shared" si="103"/>
        <v>7.225869681443205E-3</v>
      </c>
      <c r="AI96" s="134" t="str">
        <f t="shared" si="104"/>
        <v/>
      </c>
      <c r="AJ96" s="134" t="str">
        <f t="shared" si="105"/>
        <v/>
      </c>
      <c r="AK96" s="134" t="str">
        <f t="shared" si="106"/>
        <v/>
      </c>
      <c r="AL96" s="134" t="str">
        <f t="shared" si="107"/>
        <v/>
      </c>
      <c r="AM96" s="134" t="str">
        <f t="shared" si="108"/>
        <v/>
      </c>
      <c r="AN96" s="134" t="str">
        <f t="shared" si="109"/>
        <v/>
      </c>
      <c r="AO96" s="134">
        <f t="shared" si="110"/>
        <v>1.5334618378771341E-7</v>
      </c>
      <c r="AP96" s="134" t="str">
        <f t="shared" si="111"/>
        <v/>
      </c>
      <c r="AQ96" s="142">
        <f t="shared" si="69"/>
        <v>8.8090787010640603E-2</v>
      </c>
      <c r="AR96" s="134">
        <f t="shared" si="70"/>
        <v>8.8090787010640603E-2</v>
      </c>
      <c r="AS96" s="1042"/>
      <c r="AT96" s="468">
        <v>8.8090787010640603E-2</v>
      </c>
      <c r="AU96" s="143">
        <f t="shared" si="71"/>
        <v>0.78877985608973966</v>
      </c>
      <c r="AV96" s="17"/>
      <c r="AW96" s="136">
        <f t="shared" si="72"/>
        <v>2.3365674975407202E-2</v>
      </c>
      <c r="AX96" s="17"/>
      <c r="AY96" s="27"/>
    </row>
    <row r="97" spans="1:51">
      <c r="A97" s="6">
        <v>21.431539957120549</v>
      </c>
      <c r="B97" s="534">
        <v>10.55434135139315</v>
      </c>
      <c r="C97" s="136">
        <v>10.576713562011719</v>
      </c>
      <c r="D97" s="135">
        <f t="shared" si="76"/>
        <v>3.5378345263008996E-11</v>
      </c>
      <c r="E97" s="135">
        <f t="shared" si="73"/>
        <v>0.5651745376220052</v>
      </c>
      <c r="F97" s="136">
        <f t="shared" si="34"/>
        <v>2.2372210618568644E-2</v>
      </c>
      <c r="G97" s="134">
        <f t="shared" si="28"/>
        <v>1.2616713285579139E-8</v>
      </c>
      <c r="H97" s="134">
        <f t="shared" si="77"/>
        <v>-1.1232414382304073E-4</v>
      </c>
      <c r="I97" s="135">
        <f t="shared" si="78"/>
        <v>5.3133006511944435E-2</v>
      </c>
      <c r="J97" s="135">
        <f t="shared" si="79"/>
        <v>5.3245330655767475E-2</v>
      </c>
      <c r="K97" s="136">
        <f t="shared" si="80"/>
        <v>0.5172759684844217</v>
      </c>
      <c r="L97" s="136">
        <f t="shared" si="81"/>
        <v>0.48272403151557824</v>
      </c>
      <c r="M97" s="134">
        <f t="shared" si="82"/>
        <v>1.0000211965243682</v>
      </c>
      <c r="N97" s="134">
        <f t="shared" si="83"/>
        <v>1.1320017791254404</v>
      </c>
      <c r="O97" s="134">
        <f t="shared" si="84"/>
        <v>9.4415494104957851</v>
      </c>
      <c r="P97" s="134">
        <f t="shared" si="85"/>
        <v>1.0000012577078781</v>
      </c>
      <c r="Q97" s="134">
        <f t="shared" si="86"/>
        <v>1.0620493899442174</v>
      </c>
      <c r="R97" s="134">
        <f t="shared" si="87"/>
        <v>1.2920408086441484</v>
      </c>
      <c r="S97" s="134">
        <f t="shared" si="88"/>
        <v>1</v>
      </c>
      <c r="T97" s="134">
        <f t="shared" si="89"/>
        <v>1</v>
      </c>
      <c r="U97" s="134">
        <f t="shared" si="90"/>
        <v>122344.18466360564</v>
      </c>
      <c r="V97" s="134">
        <f t="shared" si="91"/>
        <v>1.2920408086441484</v>
      </c>
      <c r="W97" s="19">
        <f t="shared" si="92"/>
        <v>2.1196091821973238E-5</v>
      </c>
      <c r="X97" s="19">
        <f t="shared" si="93"/>
        <v>0.11660916317013738</v>
      </c>
      <c r="Y97" s="19">
        <f t="shared" si="94"/>
        <v>0.89408542838940597</v>
      </c>
      <c r="Z97" s="19">
        <f t="shared" si="95"/>
        <v>1.2577062961617191E-6</v>
      </c>
      <c r="AA97" s="19">
        <f t="shared" si="96"/>
        <v>5.8424203743929801E-2</v>
      </c>
      <c r="AB97" s="19">
        <f t="shared" si="97"/>
        <v>0.22604182557450922</v>
      </c>
      <c r="AC97" s="19">
        <f t="shared" si="98"/>
        <v>2.2007959655560637E-18</v>
      </c>
      <c r="AD97" s="19">
        <f t="shared" si="99"/>
        <v>2.2007959655560637E-18</v>
      </c>
      <c r="AE97" s="19">
        <f t="shared" si="100"/>
        <v>0.99999182633810713</v>
      </c>
      <c r="AF97" s="19">
        <f t="shared" si="101"/>
        <v>0.22604182557450922</v>
      </c>
      <c r="AG97" s="134">
        <f t="shared" si="102"/>
        <v>5.4277539368481433E-2</v>
      </c>
      <c r="AH97" s="134">
        <f t="shared" si="103"/>
        <v>7.4825945124043407E-3</v>
      </c>
      <c r="AI97" s="134" t="str">
        <f t="shared" si="104"/>
        <v/>
      </c>
      <c r="AJ97" s="134" t="str">
        <f t="shared" si="105"/>
        <v/>
      </c>
      <c r="AK97" s="134" t="str">
        <f t="shared" si="106"/>
        <v/>
      </c>
      <c r="AL97" s="134" t="str">
        <f t="shared" si="107"/>
        <v/>
      </c>
      <c r="AM97" s="134" t="str">
        <f t="shared" si="108"/>
        <v/>
      </c>
      <c r="AN97" s="134" t="str">
        <f t="shared" si="109"/>
        <v/>
      </c>
      <c r="AO97" s="134">
        <f t="shared" si="110"/>
        <v>2.1140194358510384E-7</v>
      </c>
      <c r="AP97" s="134" t="str">
        <f t="shared" si="111"/>
        <v/>
      </c>
      <c r="AQ97" s="142">
        <f t="shared" si="69"/>
        <v>8.8187929586426503E-2</v>
      </c>
      <c r="AR97" s="134">
        <f t="shared" si="70"/>
        <v>8.8187929586426503E-2</v>
      </c>
      <c r="AS97" s="1042"/>
      <c r="AT97" s="468">
        <v>8.8187929586426503E-2</v>
      </c>
      <c r="AU97" s="143">
        <f t="shared" si="71"/>
        <v>0.78871687456460082</v>
      </c>
      <c r="AV97" s="17"/>
      <c r="AW97" s="136">
        <f t="shared" si="72"/>
        <v>2.2372210618568644E-2</v>
      </c>
      <c r="AX97" s="17"/>
      <c r="AY97" s="27"/>
    </row>
    <row r="98" spans="1:51">
      <c r="A98" s="6">
        <v>21.698694249789696</v>
      </c>
      <c r="B98" s="534">
        <v>10.734422648245941</v>
      </c>
      <c r="C98" s="136">
        <v>10.712287902832031</v>
      </c>
      <c r="D98" s="135">
        <f t="shared" si="76"/>
        <v>2.3373341596187889E-11</v>
      </c>
      <c r="E98" s="135">
        <f t="shared" si="73"/>
        <v>0.60234526427762458</v>
      </c>
      <c r="F98" s="136">
        <f t="shared" si="34"/>
        <v>-2.2134745413909584E-2</v>
      </c>
      <c r="G98" s="134">
        <f t="shared" si="28"/>
        <v>9.8284580095663843E-9</v>
      </c>
      <c r="H98" s="134">
        <f t="shared" si="77"/>
        <v>9.9138579824235851E-5</v>
      </c>
      <c r="I98" s="135">
        <f t="shared" si="78"/>
        <v>5.2792595114718129E-2</v>
      </c>
      <c r="J98" s="135">
        <f t="shared" si="79"/>
        <v>5.2693456534893893E-2</v>
      </c>
      <c r="K98" s="136">
        <f t="shared" si="80"/>
        <v>0.52036867437159939</v>
      </c>
      <c r="L98" s="136">
        <f t="shared" si="81"/>
        <v>0.47963132562840066</v>
      </c>
      <c r="M98" s="134">
        <f t="shared" si="82"/>
        <v>1.0000139913720678</v>
      </c>
      <c r="N98" s="134">
        <f t="shared" si="83"/>
        <v>1.0871834196354495</v>
      </c>
      <c r="O98" s="134">
        <f t="shared" si="84"/>
        <v>6.5737446409535529</v>
      </c>
      <c r="P98" s="134">
        <f t="shared" si="85"/>
        <v>1.0000008306802737</v>
      </c>
      <c r="Q98" s="134">
        <f t="shared" si="86"/>
        <v>1.040994048088441</v>
      </c>
      <c r="R98" s="134">
        <f t="shared" si="87"/>
        <v>1.1928240435284159</v>
      </c>
      <c r="S98" s="134">
        <f t="shared" si="88"/>
        <v>1</v>
      </c>
      <c r="T98" s="134">
        <f t="shared" si="89"/>
        <v>1</v>
      </c>
      <c r="U98" s="134">
        <f t="shared" si="90"/>
        <v>80805.192999511768</v>
      </c>
      <c r="V98" s="134">
        <f t="shared" si="91"/>
        <v>1.1928240435284159</v>
      </c>
      <c r="W98" s="19">
        <f t="shared" si="92"/>
        <v>1.3991183606704761E-5</v>
      </c>
      <c r="X98" s="19">
        <f t="shared" si="93"/>
        <v>8.0192006718501116E-2</v>
      </c>
      <c r="Y98" s="19">
        <f t="shared" si="94"/>
        <v>0.84787985620624284</v>
      </c>
      <c r="Z98" s="19">
        <f t="shared" si="95"/>
        <v>8.3067958357540938E-7</v>
      </c>
      <c r="AA98" s="19">
        <f t="shared" si="96"/>
        <v>3.937971419117868E-2</v>
      </c>
      <c r="AB98" s="19">
        <f t="shared" si="97"/>
        <v>0.16165866882207255</v>
      </c>
      <c r="AC98" s="19">
        <f t="shared" si="98"/>
        <v>1.4535631260728191E-18</v>
      </c>
      <c r="AD98" s="19">
        <f t="shared" si="99"/>
        <v>1.4535631260728191E-18</v>
      </c>
      <c r="AE98" s="19">
        <f t="shared" si="100"/>
        <v>0.99998762455774337</v>
      </c>
      <c r="AF98" s="19">
        <f t="shared" si="101"/>
        <v>0.16165866882207255</v>
      </c>
      <c r="AG98" s="134">
        <f t="shared" si="102"/>
        <v>5.3930011071562749E-2</v>
      </c>
      <c r="AH98" s="134">
        <f t="shared" si="103"/>
        <v>7.7411435298550164E-3</v>
      </c>
      <c r="AI98" s="134" t="str">
        <f t="shared" si="104"/>
        <v/>
      </c>
      <c r="AJ98" s="134" t="str">
        <f t="shared" si="105"/>
        <v/>
      </c>
      <c r="AK98" s="134" t="str">
        <f t="shared" si="106"/>
        <v/>
      </c>
      <c r="AL98" s="134" t="str">
        <f t="shared" si="107"/>
        <v/>
      </c>
      <c r="AM98" s="134" t="str">
        <f t="shared" si="108"/>
        <v/>
      </c>
      <c r="AN98" s="134" t="str">
        <f t="shared" si="109"/>
        <v/>
      </c>
      <c r="AO98" s="134">
        <f t="shared" si="110"/>
        <v>3.2198962409182261E-7</v>
      </c>
      <c r="AP98" s="134" t="str">
        <f t="shared" si="111"/>
        <v/>
      </c>
      <c r="AQ98" s="142">
        <f t="shared" si="69"/>
        <v>8.8369151122515532E-2</v>
      </c>
      <c r="AR98" s="134">
        <f t="shared" si="70"/>
        <v>8.8369151122515532E-2</v>
      </c>
      <c r="AS98" s="1042"/>
      <c r="AT98" s="468">
        <v>8.8369151122515532E-2</v>
      </c>
      <c r="AU98" s="143">
        <f t="shared" si="71"/>
        <v>0.78859958741816194</v>
      </c>
      <c r="AV98" s="17"/>
      <c r="AW98" s="136">
        <f t="shared" si="72"/>
        <v>-2.2134745413909584E-2</v>
      </c>
      <c r="AX98" s="17"/>
      <c r="AY98" s="27"/>
    </row>
    <row r="99" spans="1:51">
      <c r="A99" s="6">
        <v>21.950749414099846</v>
      </c>
      <c r="B99" s="534">
        <v>10.868167724032876</v>
      </c>
      <c r="C99" s="136">
        <v>10.848320007324219</v>
      </c>
      <c r="D99" s="135">
        <f t="shared" si="76"/>
        <v>1.7179022632581533E-11</v>
      </c>
      <c r="E99" s="135">
        <f t="shared" si="73"/>
        <v>0.48644457655932849</v>
      </c>
      <c r="F99" s="136">
        <f t="shared" si="34"/>
        <v>-1.9847716708657259E-2</v>
      </c>
      <c r="G99" s="134">
        <f t="shared" si="28"/>
        <v>7.4462103395330908E-9</v>
      </c>
      <c r="H99" s="134">
        <f t="shared" si="77"/>
        <v>8.6291426802047322E-5</v>
      </c>
      <c r="I99" s="135">
        <f t="shared" si="78"/>
        <v>5.2475398248825501E-2</v>
      </c>
      <c r="J99" s="135">
        <f t="shared" si="79"/>
        <v>5.2389106822023454E-2</v>
      </c>
      <c r="K99" s="136">
        <f t="shared" si="80"/>
        <v>0.52325047158089855</v>
      </c>
      <c r="L99" s="136">
        <f t="shared" si="81"/>
        <v>0.47674952841910151</v>
      </c>
      <c r="M99" s="134">
        <f t="shared" si="82"/>
        <v>1.0000102801999777</v>
      </c>
      <c r="N99" s="134">
        <f t="shared" si="83"/>
        <v>1.0640716785449835</v>
      </c>
      <c r="O99" s="134">
        <f t="shared" si="84"/>
        <v>5.0957534591986162</v>
      </c>
      <c r="P99" s="134">
        <f t="shared" si="85"/>
        <v>1.000000610472493</v>
      </c>
      <c r="Q99" s="134">
        <f t="shared" si="86"/>
        <v>1.0301299528359831</v>
      </c>
      <c r="R99" s="134">
        <f t="shared" si="87"/>
        <v>1.1416916253665443</v>
      </c>
      <c r="S99" s="134">
        <f t="shared" si="88"/>
        <v>1</v>
      </c>
      <c r="T99" s="134">
        <f t="shared" si="89"/>
        <v>1</v>
      </c>
      <c r="U99" s="134">
        <f t="shared" si="90"/>
        <v>59384.54228108166</v>
      </c>
      <c r="V99" s="134">
        <f t="shared" si="91"/>
        <v>1.1416916253665443</v>
      </c>
      <c r="W99" s="19">
        <f t="shared" si="92"/>
        <v>1.0280098234701886E-5</v>
      </c>
      <c r="X99" s="19">
        <f t="shared" si="93"/>
        <v>6.0213686806333239E-2</v>
      </c>
      <c r="Y99" s="19">
        <f t="shared" si="94"/>
        <v>0.8037582749637654</v>
      </c>
      <c r="Z99" s="19">
        <f t="shared" si="95"/>
        <v>6.1047212037790873E-7</v>
      </c>
      <c r="AA99" s="19">
        <f t="shared" si="96"/>
        <v>2.9248691151086595E-2</v>
      </c>
      <c r="AB99" s="19">
        <f t="shared" si="97"/>
        <v>0.12410972131091992</v>
      </c>
      <c r="AC99" s="19">
        <f t="shared" si="98"/>
        <v>1.0682332704676223E-18</v>
      </c>
      <c r="AD99" s="19">
        <f t="shared" si="99"/>
        <v>1.0682332704676223E-18</v>
      </c>
      <c r="AE99" s="19">
        <f t="shared" si="100"/>
        <v>0.9999831606010321</v>
      </c>
      <c r="AF99" s="19">
        <f t="shared" si="101"/>
        <v>0.12410972131091992</v>
      </c>
      <c r="AG99" s="134">
        <f t="shared" si="102"/>
        <v>5.3606090723252162E-2</v>
      </c>
      <c r="AH99" s="134">
        <f t="shared" si="103"/>
        <v>7.8617601184413216E-3</v>
      </c>
      <c r="AI99" s="134" t="str">
        <f t="shared" si="104"/>
        <v/>
      </c>
      <c r="AJ99" s="134" t="str">
        <f t="shared" si="105"/>
        <v/>
      </c>
      <c r="AK99" s="134" t="str">
        <f t="shared" si="106"/>
        <v/>
      </c>
      <c r="AL99" s="134" t="str">
        <f t="shared" si="107"/>
        <v/>
      </c>
      <c r="AM99" s="134" t="str">
        <f t="shared" si="108"/>
        <v/>
      </c>
      <c r="AN99" s="134" t="str">
        <f t="shared" si="109"/>
        <v/>
      </c>
      <c r="AO99" s="134">
        <f t="shared" si="110"/>
        <v>4.4056117255583555E-7</v>
      </c>
      <c r="AP99" s="134" t="str">
        <f t="shared" si="111"/>
        <v/>
      </c>
      <c r="AQ99" s="142">
        <f t="shared" si="69"/>
        <v>8.8432996099892414E-2</v>
      </c>
      <c r="AR99" s="134">
        <f t="shared" si="70"/>
        <v>8.8432996099892414E-2</v>
      </c>
      <c r="AS99" s="1042"/>
      <c r="AT99" s="468">
        <v>8.8432996099892414E-2</v>
      </c>
      <c r="AU99" s="143">
        <f t="shared" si="71"/>
        <v>0.7885583305702889</v>
      </c>
      <c r="AV99" s="17"/>
      <c r="AW99" s="136">
        <f t="shared" si="72"/>
        <v>-1.9847716708657259E-2</v>
      </c>
      <c r="AX99" s="17"/>
      <c r="AY99" s="27"/>
    </row>
    <row r="100" spans="1:51">
      <c r="A100" s="6">
        <v>22.207322194299195</v>
      </c>
      <c r="B100" s="534">
        <v>10.981642393549766</v>
      </c>
      <c r="C100" s="136">
        <v>10.984977722167969</v>
      </c>
      <c r="D100" s="135">
        <f t="shared" si="76"/>
        <v>1.322911707893406E-11</v>
      </c>
      <c r="E100" s="135">
        <f t="shared" si="73"/>
        <v>0.44805216469906783</v>
      </c>
      <c r="F100" s="136">
        <f t="shared" si="34"/>
        <v>3.3353286182027375E-3</v>
      </c>
      <c r="G100" s="134">
        <f t="shared" si="28"/>
        <v>2.3039642477755224E-10</v>
      </c>
      <c r="H100" s="134">
        <f t="shared" si="77"/>
        <v>-1.5178814999121382E-5</v>
      </c>
      <c r="I100" s="135">
        <f t="shared" si="78"/>
        <v>5.2156407179958592E-2</v>
      </c>
      <c r="J100" s="135">
        <f t="shared" si="79"/>
        <v>5.2171585994957713E-2</v>
      </c>
      <c r="K100" s="136">
        <f t="shared" si="80"/>
        <v>0.52614856948443567</v>
      </c>
      <c r="L100" s="136">
        <f t="shared" si="81"/>
        <v>0.47385143051556428</v>
      </c>
      <c r="M100" s="134">
        <f t="shared" si="82"/>
        <v>1.0000079157390116</v>
      </c>
      <c r="N100" s="134">
        <f t="shared" si="83"/>
        <v>1.0493383196313111</v>
      </c>
      <c r="O100" s="134">
        <f t="shared" si="84"/>
        <v>4.1538271732467109</v>
      </c>
      <c r="P100" s="134">
        <f t="shared" si="85"/>
        <v>1.0000004700936154</v>
      </c>
      <c r="Q100" s="134">
        <f t="shared" si="86"/>
        <v>1.0232022905013243</v>
      </c>
      <c r="R100" s="134">
        <f t="shared" si="87"/>
        <v>1.1091053081794056</v>
      </c>
      <c r="S100" s="134">
        <f t="shared" si="88"/>
        <v>1</v>
      </c>
      <c r="T100" s="134">
        <f t="shared" si="89"/>
        <v>1</v>
      </c>
      <c r="U100" s="134">
        <f t="shared" si="90"/>
        <v>45729.225934291637</v>
      </c>
      <c r="V100" s="134">
        <f t="shared" si="91"/>
        <v>1.1091053081794056</v>
      </c>
      <c r="W100" s="19">
        <f t="shared" si="92"/>
        <v>7.9156786883767129E-6</v>
      </c>
      <c r="X100" s="19">
        <f t="shared" si="93"/>
        <v>4.7018505713932415E-2</v>
      </c>
      <c r="Y100" s="19">
        <f t="shared" si="94"/>
        <v>0.75925823784000745</v>
      </c>
      <c r="Z100" s="19">
        <f t="shared" si="95"/>
        <v>4.7009339446071226E-7</v>
      </c>
      <c r="AA100" s="19">
        <f t="shared" si="96"/>
        <v>2.267615183890585E-2</v>
      </c>
      <c r="AB100" s="19">
        <f t="shared" si="97"/>
        <v>9.8374181283144901E-2</v>
      </c>
      <c r="AC100" s="19">
        <f t="shared" si="98"/>
        <v>8.2259175633637427E-19</v>
      </c>
      <c r="AD100" s="19">
        <f t="shared" si="99"/>
        <v>8.2259175633637427E-19</v>
      </c>
      <c r="AE100" s="19">
        <f t="shared" si="100"/>
        <v>0.99997813214679299</v>
      </c>
      <c r="AF100" s="19">
        <f t="shared" si="101"/>
        <v>9.8374181283144901E-2</v>
      </c>
      <c r="AG100" s="134">
        <f t="shared" si="102"/>
        <v>5.3280296310511094E-2</v>
      </c>
      <c r="AH100" s="134">
        <f t="shared" si="103"/>
        <v>7.9236824722277808E-3</v>
      </c>
      <c r="AI100" s="134" t="str">
        <f t="shared" si="104"/>
        <v/>
      </c>
      <c r="AJ100" s="134" t="str">
        <f t="shared" si="105"/>
        <v/>
      </c>
      <c r="AK100" s="134" t="str">
        <f t="shared" si="106"/>
        <v/>
      </c>
      <c r="AL100" s="134" t="str">
        <f t="shared" si="107"/>
        <v/>
      </c>
      <c r="AM100" s="134" t="str">
        <f t="shared" si="108"/>
        <v/>
      </c>
      <c r="AN100" s="134" t="str">
        <f t="shared" si="109"/>
        <v/>
      </c>
      <c r="AO100" s="134">
        <f t="shared" si="110"/>
        <v>5.7528698412745827E-7</v>
      </c>
      <c r="AP100" s="134" t="str">
        <f t="shared" si="111"/>
        <v/>
      </c>
      <c r="AQ100" s="142">
        <f t="shared" si="69"/>
        <v>8.8452893541792504E-2</v>
      </c>
      <c r="AR100" s="134">
        <f t="shared" si="70"/>
        <v>8.8452893541792504E-2</v>
      </c>
      <c r="AS100" s="1042"/>
      <c r="AT100" s="468">
        <v>8.8452893541792504E-2</v>
      </c>
      <c r="AU100" s="143">
        <f t="shared" si="71"/>
        <v>0.78854547955879672</v>
      </c>
      <c r="AV100" s="17"/>
      <c r="AW100" s="136">
        <f t="shared" si="72"/>
        <v>3.3353286182027375E-3</v>
      </c>
      <c r="AX100" s="17"/>
      <c r="AY100" s="27"/>
    </row>
    <row r="101" spans="1:51">
      <c r="A101" s="6">
        <v>22.491481258475687</v>
      </c>
      <c r="B101" s="534">
        <v>11.110603281563485</v>
      </c>
      <c r="C101" s="136">
        <v>11.122184753417969</v>
      </c>
      <c r="D101" s="135">
        <f t="shared" si="76"/>
        <v>9.8308159419079966E-12</v>
      </c>
      <c r="E101" s="135">
        <f t="shared" si="73"/>
        <v>0.46524593977633544</v>
      </c>
      <c r="F101" s="136">
        <f t="shared" si="34"/>
        <v>1.1581471854483993E-2</v>
      </c>
      <c r="G101" s="134">
        <f t="shared" si="28"/>
        <v>3.5285703757215133E-9</v>
      </c>
      <c r="H101" s="134">
        <f t="shared" si="77"/>
        <v>-5.9401770813011234E-5</v>
      </c>
      <c r="I101" s="135">
        <f t="shared" si="78"/>
        <v>5.1807614541619855E-2</v>
      </c>
      <c r="J101" s="135">
        <f t="shared" si="79"/>
        <v>5.1867016312432866E-2</v>
      </c>
      <c r="K101" s="136">
        <f t="shared" si="80"/>
        <v>0.52931742062979648</v>
      </c>
      <c r="L101" s="136">
        <f t="shared" si="81"/>
        <v>0.47068257937020358</v>
      </c>
      <c r="M101" s="134">
        <f t="shared" si="82"/>
        <v>1.0000058807481476</v>
      </c>
      <c r="N101" s="134">
        <f t="shared" si="83"/>
        <v>1.0366609633422597</v>
      </c>
      <c r="O101" s="134">
        <f t="shared" si="84"/>
        <v>3.3432477676107153</v>
      </c>
      <c r="P101" s="134">
        <f t="shared" si="85"/>
        <v>1.0000003493042517</v>
      </c>
      <c r="Q101" s="134">
        <f t="shared" si="86"/>
        <v>1.0172420763977075</v>
      </c>
      <c r="R101" s="134">
        <f t="shared" si="87"/>
        <v>1.0810632755954162</v>
      </c>
      <c r="S101" s="134">
        <f t="shared" si="88"/>
        <v>1</v>
      </c>
      <c r="T101" s="134">
        <f t="shared" si="89"/>
        <v>1</v>
      </c>
      <c r="U101" s="134">
        <f t="shared" si="90"/>
        <v>33979.47410464182</v>
      </c>
      <c r="V101" s="134">
        <f t="shared" si="91"/>
        <v>1.0810632755954162</v>
      </c>
      <c r="W101" s="19">
        <f t="shared" si="92"/>
        <v>5.880714853679488E-6</v>
      </c>
      <c r="X101" s="19">
        <f t="shared" si="93"/>
        <v>3.5364467959464414E-2</v>
      </c>
      <c r="Y101" s="19">
        <f t="shared" si="94"/>
        <v>0.70088970689607866</v>
      </c>
      <c r="Z101" s="19">
        <f t="shared" si="95"/>
        <v>3.4930412963698416E-7</v>
      </c>
      <c r="AA101" s="19">
        <f t="shared" si="96"/>
        <v>1.694982619944882E-2</v>
      </c>
      <c r="AB101" s="19">
        <f t="shared" si="97"/>
        <v>7.4985795722159854E-2</v>
      </c>
      <c r="AC101" s="19">
        <f t="shared" si="98"/>
        <v>6.1122888807298129E-19</v>
      </c>
      <c r="AD101" s="19">
        <f t="shared" si="99"/>
        <v>6.1122888807298129E-19</v>
      </c>
      <c r="AE101" s="19">
        <f t="shared" si="100"/>
        <v>0.99997057046860349</v>
      </c>
      <c r="AF101" s="19">
        <f t="shared" si="101"/>
        <v>7.4985795722159854E-2</v>
      </c>
      <c r="AG101" s="134">
        <f t="shared" si="102"/>
        <v>5.2924047568164705E-2</v>
      </c>
      <c r="AH101" s="134">
        <f t="shared" si="103"/>
        <v>7.9669442837628241E-3</v>
      </c>
      <c r="AI101" s="134" t="str">
        <f t="shared" si="104"/>
        <v/>
      </c>
      <c r="AJ101" s="134" t="str">
        <f t="shared" si="105"/>
        <v/>
      </c>
      <c r="AK101" s="134" t="str">
        <f t="shared" si="106"/>
        <v/>
      </c>
      <c r="AL101" s="134" t="str">
        <f t="shared" si="107"/>
        <v/>
      </c>
      <c r="AM101" s="134" t="str">
        <f t="shared" si="108"/>
        <v/>
      </c>
      <c r="AN101" s="134" t="str">
        <f t="shared" si="109"/>
        <v/>
      </c>
      <c r="AO101" s="134">
        <f t="shared" si="110"/>
        <v>7.788781824576389E-7</v>
      </c>
      <c r="AP101" s="134" t="str">
        <f t="shared" si="111"/>
        <v/>
      </c>
      <c r="AQ101" s="142">
        <f t="shared" si="69"/>
        <v>8.850799970846307E-2</v>
      </c>
      <c r="AR101" s="134">
        <f t="shared" si="70"/>
        <v>8.850799970846307E-2</v>
      </c>
      <c r="AS101" s="1042"/>
      <c r="AT101" s="468">
        <v>8.850799970846307E-2</v>
      </c>
      <c r="AU101" s="143">
        <f t="shared" si="71"/>
        <v>0.78850990536786525</v>
      </c>
      <c r="AV101" s="17"/>
      <c r="AW101" s="136">
        <f t="shared" si="72"/>
        <v>1.1581471854483993E-2</v>
      </c>
      <c r="AX101" s="17"/>
      <c r="AY101" s="27"/>
    </row>
    <row r="102" spans="1:51">
      <c r="A102" s="6">
        <v>22.831461780879181</v>
      </c>
      <c r="B102" s="534">
        <v>11.272657863965625</v>
      </c>
      <c r="C102" s="136">
        <v>11.259651184082031</v>
      </c>
      <c r="D102" s="135">
        <f t="shared" si="76"/>
        <v>6.7700601378210673E-12</v>
      </c>
      <c r="E102" s="135">
        <f t="shared" si="73"/>
        <v>0.40731953756749351</v>
      </c>
      <c r="F102" s="136">
        <f t="shared" si="34"/>
        <v>-1.3006679883593719E-2</v>
      </c>
      <c r="G102" s="134">
        <f t="shared" si="28"/>
        <v>6.830633549787297E-9</v>
      </c>
      <c r="H102" s="134">
        <f t="shared" si="77"/>
        <v>8.2647646970662736E-5</v>
      </c>
      <c r="I102" s="135">
        <f t="shared" si="78"/>
        <v>5.1396384592325858E-2</v>
      </c>
      <c r="J102" s="135">
        <f t="shared" si="79"/>
        <v>5.1313736945355196E-2</v>
      </c>
      <c r="K102" s="136">
        <f t="shared" si="80"/>
        <v>0.53305352728053756</v>
      </c>
      <c r="L102" s="136">
        <f t="shared" si="81"/>
        <v>0.46694647271946249</v>
      </c>
      <c r="M102" s="134">
        <f t="shared" si="82"/>
        <v>1.0000040465997393</v>
      </c>
      <c r="N102" s="134">
        <f t="shared" si="83"/>
        <v>1.0252401392292416</v>
      </c>
      <c r="O102" s="134">
        <f t="shared" si="84"/>
        <v>2.6128388926504602</v>
      </c>
      <c r="P102" s="134">
        <f t="shared" si="85"/>
        <v>1.000000240487078</v>
      </c>
      <c r="Q102" s="134">
        <f t="shared" si="86"/>
        <v>1.0118738764720205</v>
      </c>
      <c r="R102" s="134">
        <f t="shared" si="87"/>
        <v>1.0557949734091927</v>
      </c>
      <c r="S102" s="134">
        <f t="shared" si="88"/>
        <v>1</v>
      </c>
      <c r="T102" s="134">
        <f t="shared" si="89"/>
        <v>1</v>
      </c>
      <c r="U102" s="134">
        <f t="shared" si="90"/>
        <v>23394.31374845235</v>
      </c>
      <c r="V102" s="134">
        <f t="shared" si="91"/>
        <v>1.0557949734091927</v>
      </c>
      <c r="W102" s="19">
        <f t="shared" si="92"/>
        <v>4.0465839750102393E-6</v>
      </c>
      <c r="X102" s="19">
        <f t="shared" si="93"/>
        <v>2.4618758378374871E-2</v>
      </c>
      <c r="Y102" s="19">
        <f t="shared" si="94"/>
        <v>0.61727456010830528</v>
      </c>
      <c r="Z102" s="19">
        <f t="shared" si="95"/>
        <v>2.404870201719309E-7</v>
      </c>
      <c r="AA102" s="19">
        <f t="shared" si="96"/>
        <v>1.1734541970210495E-2</v>
      </c>
      <c r="AB102" s="19">
        <f t="shared" si="97"/>
        <v>5.2846909555124319E-2</v>
      </c>
      <c r="AC102" s="19">
        <f t="shared" si="98"/>
        <v>4.208155171057396E-19</v>
      </c>
      <c r="AD102" s="19">
        <f t="shared" si="99"/>
        <v>4.208155171057396E-19</v>
      </c>
      <c r="AE102" s="19">
        <f t="shared" si="100"/>
        <v>0.99995725457003126</v>
      </c>
      <c r="AF102" s="19">
        <f t="shared" si="101"/>
        <v>5.2846909555124319E-2</v>
      </c>
      <c r="AG102" s="134">
        <f t="shared" si="102"/>
        <v>5.2504009280365832E-2</v>
      </c>
      <c r="AH102" s="134">
        <f t="shared" si="103"/>
        <v>7.991750159379897E-3</v>
      </c>
      <c r="AI102" s="134" t="str">
        <f t="shared" si="104"/>
        <v/>
      </c>
      <c r="AJ102" s="134" t="str">
        <f t="shared" si="105"/>
        <v/>
      </c>
      <c r="AK102" s="134" t="str">
        <f t="shared" si="106"/>
        <v/>
      </c>
      <c r="AL102" s="134" t="str">
        <f t="shared" si="107"/>
        <v/>
      </c>
      <c r="AM102" s="134" t="str">
        <f t="shared" si="108"/>
        <v/>
      </c>
      <c r="AN102" s="134" t="str">
        <f t="shared" si="109"/>
        <v/>
      </c>
      <c r="AO102" s="134">
        <f t="shared" si="110"/>
        <v>1.1392801109966341E-6</v>
      </c>
      <c r="AP102" s="134" t="str">
        <f t="shared" si="111"/>
        <v/>
      </c>
      <c r="AQ102" s="142">
        <f t="shared" si="69"/>
        <v>8.8670050765994143E-2</v>
      </c>
      <c r="AR102" s="134">
        <f t="shared" si="70"/>
        <v>8.8670050765994143E-2</v>
      </c>
      <c r="AS102" s="1042"/>
      <c r="AT102" s="468">
        <v>8.8670050765994143E-2</v>
      </c>
      <c r="AU102" s="143">
        <f t="shared" si="71"/>
        <v>0.78840543506792926</v>
      </c>
      <c r="AV102" s="17"/>
      <c r="AW102" s="136">
        <f t="shared" si="72"/>
        <v>-1.3006679883593719E-2</v>
      </c>
      <c r="AX102" s="17"/>
      <c r="AY102" s="27"/>
    </row>
    <row r="103" spans="1:51">
      <c r="A103" s="5">
        <v>23.263700974348467</v>
      </c>
      <c r="B103" s="534">
        <v>11.418746344965863</v>
      </c>
      <c r="C103" s="136">
        <v>11.397163391113281</v>
      </c>
      <c r="D103" s="135">
        <f t="shared" si="76"/>
        <v>4.8368323888561023E-12</v>
      </c>
      <c r="E103" s="135">
        <f t="shared" si="73"/>
        <v>0.2786025783046992</v>
      </c>
      <c r="F103" s="136">
        <f t="shared" si="34"/>
        <v>-2.1582953852581355E-2</v>
      </c>
      <c r="G103" s="134">
        <f t="shared" si="28"/>
        <v>3.1323718897626357E-8</v>
      </c>
      <c r="H103" s="134">
        <f t="shared" si="77"/>
        <v>1.7698508100296578E-4</v>
      </c>
      <c r="I103" s="135">
        <f t="shared" si="78"/>
        <v>5.0882893343932749E-2</v>
      </c>
      <c r="J103" s="135">
        <f t="shared" si="79"/>
        <v>5.0705908262929783E-2</v>
      </c>
      <c r="K103" s="136">
        <f t="shared" si="80"/>
        <v>0.53771869836428876</v>
      </c>
      <c r="L103" s="136">
        <f t="shared" si="81"/>
        <v>0.46228130163571129</v>
      </c>
      <c r="M103" s="134">
        <f t="shared" si="82"/>
        <v>1.0000028887954207</v>
      </c>
      <c r="N103" s="134">
        <f t="shared" si="83"/>
        <v>1.0180279469960134</v>
      </c>
      <c r="O103" s="134">
        <f t="shared" si="84"/>
        <v>2.1516791980172747</v>
      </c>
      <c r="P103" s="134">
        <f t="shared" si="85"/>
        <v>1.0000001717695872</v>
      </c>
      <c r="Q103" s="134">
        <f t="shared" si="86"/>
        <v>1.0084832260174914</v>
      </c>
      <c r="R103" s="134">
        <f t="shared" si="87"/>
        <v>1.0398413863398557</v>
      </c>
      <c r="S103" s="134">
        <f t="shared" si="88"/>
        <v>1</v>
      </c>
      <c r="T103" s="134">
        <f t="shared" si="89"/>
        <v>1</v>
      </c>
      <c r="U103" s="134">
        <f t="shared" si="90"/>
        <v>16709.83891211433</v>
      </c>
      <c r="V103" s="134">
        <f t="shared" si="91"/>
        <v>1.0398413863398557</v>
      </c>
      <c r="W103" s="19">
        <f t="shared" si="92"/>
        <v>2.888787386626042E-6</v>
      </c>
      <c r="X103" s="19">
        <f t="shared" si="93"/>
        <v>1.7708695590068265E-2</v>
      </c>
      <c r="Y103" s="19">
        <f t="shared" si="94"/>
        <v>0.53524672388782402</v>
      </c>
      <c r="Z103" s="19">
        <f t="shared" si="95"/>
        <v>1.7176955773944771E-7</v>
      </c>
      <c r="AA103" s="19">
        <f t="shared" si="96"/>
        <v>8.4118662548228525E-3</v>
      </c>
      <c r="AB103" s="19">
        <f t="shared" si="97"/>
        <v>3.8315127854049551E-2</v>
      </c>
      <c r="AC103" s="19">
        <f t="shared" si="98"/>
        <v>3.0057044344574927E-19</v>
      </c>
      <c r="AD103" s="19">
        <f t="shared" si="99"/>
        <v>3.0057044344574927E-19</v>
      </c>
      <c r="AE103" s="19">
        <f t="shared" si="100"/>
        <v>0.99994015501853373</v>
      </c>
      <c r="AF103" s="19">
        <f t="shared" si="101"/>
        <v>3.8315127854049551E-2</v>
      </c>
      <c r="AG103" s="134">
        <f t="shared" si="102"/>
        <v>5.1979485404180632E-2</v>
      </c>
      <c r="AH103" s="134">
        <f t="shared" si="103"/>
        <v>7.9679578341073538E-3</v>
      </c>
      <c r="AI103" s="134" t="str">
        <f t="shared" si="104"/>
        <v/>
      </c>
      <c r="AJ103" s="134" t="str">
        <f t="shared" si="105"/>
        <v/>
      </c>
      <c r="AK103" s="134" t="str">
        <f t="shared" si="106"/>
        <v/>
      </c>
      <c r="AL103" s="134" t="str">
        <f t="shared" si="107"/>
        <v/>
      </c>
      <c r="AM103" s="134" t="str">
        <f t="shared" si="108"/>
        <v/>
      </c>
      <c r="AN103" s="134" t="str">
        <f t="shared" si="109"/>
        <v/>
      </c>
      <c r="AO103" s="134">
        <f t="shared" si="110"/>
        <v>1.6089882768841429E-6</v>
      </c>
      <c r="AP103" s="134" t="str">
        <f t="shared" si="111"/>
        <v/>
      </c>
      <c r="AQ103" s="142">
        <f t="shared" si="69"/>
        <v>8.8830854398690984E-2</v>
      </c>
      <c r="AR103" s="134">
        <f t="shared" si="70"/>
        <v>8.8830854398690984E-2</v>
      </c>
      <c r="AS103" s="1042"/>
      <c r="AT103" s="468">
        <v>8.8830854398690984E-2</v>
      </c>
      <c r="AU103" s="143">
        <f t="shared" si="71"/>
        <v>0.78830197933375667</v>
      </c>
      <c r="AV103" s="17"/>
      <c r="AW103" s="136">
        <f t="shared" si="72"/>
        <v>-2.1582953852581355E-2</v>
      </c>
      <c r="AX103" s="17"/>
      <c r="AY103" s="27"/>
    </row>
    <row r="104" spans="1:51">
      <c r="A104" s="5">
        <v>23.837788712990005</v>
      </c>
      <c r="B104" s="534">
        <v>11.544600449625474</v>
      </c>
      <c r="C104" s="136">
        <v>11.534584045410156</v>
      </c>
      <c r="D104" s="135">
        <f t="shared" si="76"/>
        <v>3.6203181468374844E-12</v>
      </c>
      <c r="E104" s="135">
        <f t="shared" si="73"/>
        <v>0.21877131435016478</v>
      </c>
      <c r="F104" s="136">
        <f t="shared" si="34"/>
        <v>-1.0016404215317465E-2</v>
      </c>
      <c r="G104" s="134">
        <f t="shared" si="28"/>
        <v>1.1464254626292158E-8</v>
      </c>
      <c r="H104" s="134">
        <f t="shared" si="77"/>
        <v>1.070712595718018E-4</v>
      </c>
      <c r="I104" s="135">
        <f t="shared" si="78"/>
        <v>5.0216544834280369E-2</v>
      </c>
      <c r="J104" s="135">
        <f t="shared" si="79"/>
        <v>5.0109473574708567E-2</v>
      </c>
      <c r="K104" s="136">
        <f t="shared" si="80"/>
        <v>0.54377260835527486</v>
      </c>
      <c r="L104" s="136">
        <f t="shared" si="81"/>
        <v>0.45622739164472509</v>
      </c>
      <c r="M104" s="134">
        <f t="shared" si="82"/>
        <v>1.0000021610442078</v>
      </c>
      <c r="N104" s="134">
        <f t="shared" si="83"/>
        <v>1.0134912553999675</v>
      </c>
      <c r="O104" s="134">
        <f t="shared" si="84"/>
        <v>1.8617037882064051</v>
      </c>
      <c r="P104" s="134">
        <f t="shared" si="85"/>
        <v>1.0000001285441638</v>
      </c>
      <c r="Q104" s="134">
        <f t="shared" si="86"/>
        <v>1.0063496054082022</v>
      </c>
      <c r="R104" s="134">
        <f t="shared" si="87"/>
        <v>1.0298098771952511</v>
      </c>
      <c r="S104" s="134">
        <f t="shared" si="88"/>
        <v>1</v>
      </c>
      <c r="T104" s="134">
        <f t="shared" si="89"/>
        <v>1</v>
      </c>
      <c r="U104" s="134">
        <f t="shared" si="90"/>
        <v>12505.097849383057</v>
      </c>
      <c r="V104" s="134">
        <f t="shared" si="91"/>
        <v>1.0298098771952511</v>
      </c>
      <c r="W104" s="19">
        <f t="shared" si="92"/>
        <v>2.1610397120801668E-6</v>
      </c>
      <c r="X104" s="19">
        <f t="shared" si="93"/>
        <v>1.3311664347392669E-2</v>
      </c>
      <c r="Y104" s="19">
        <f t="shared" si="94"/>
        <v>0.46285763506864724</v>
      </c>
      <c r="Z104" s="19">
        <f t="shared" si="95"/>
        <v>1.2854414730173994E-7</v>
      </c>
      <c r="AA104" s="19">
        <f t="shared" si="96"/>
        <v>6.3095423042637275E-3</v>
      </c>
      <c r="AB104" s="19">
        <f t="shared" si="97"/>
        <v>2.894711796663825E-2</v>
      </c>
      <c r="AC104" s="19">
        <f t="shared" si="98"/>
        <v>2.2493257941179792E-19</v>
      </c>
      <c r="AD104" s="19">
        <f t="shared" si="99"/>
        <v>2.2493257941179792E-19</v>
      </c>
      <c r="AE104" s="19">
        <f t="shared" si="100"/>
        <v>0.99992003261293561</v>
      </c>
      <c r="AF104" s="19">
        <f t="shared" si="101"/>
        <v>2.894711796663825E-2</v>
      </c>
      <c r="AG104" s="134">
        <f t="shared" si="102"/>
        <v>5.1298796963987883E-2</v>
      </c>
      <c r="AH104" s="134">
        <f t="shared" si="103"/>
        <v>7.8988115189692933E-3</v>
      </c>
      <c r="AI104" s="134" t="str">
        <f t="shared" si="104"/>
        <v/>
      </c>
      <c r="AJ104" s="134" t="str">
        <f t="shared" si="105"/>
        <v/>
      </c>
      <c r="AK104" s="134" t="str">
        <f t="shared" si="106"/>
        <v/>
      </c>
      <c r="AL104" s="134" t="str">
        <f t="shared" si="107"/>
        <v/>
      </c>
      <c r="AM104" s="134" t="str">
        <f t="shared" si="108"/>
        <v/>
      </c>
      <c r="AN104" s="134" t="str">
        <f t="shared" si="109"/>
        <v/>
      </c>
      <c r="AO104" s="134">
        <f t="shared" si="110"/>
        <v>2.1742037323686438E-6</v>
      </c>
      <c r="AP104" s="134" t="str">
        <f t="shared" si="111"/>
        <v/>
      </c>
      <c r="AQ104" s="142">
        <f t="shared" si="69"/>
        <v>8.894334104176442E-2</v>
      </c>
      <c r="AR104" s="134">
        <f t="shared" si="70"/>
        <v>8.894334104176442E-2</v>
      </c>
      <c r="AS104" s="1042"/>
      <c r="AT104" s="468">
        <v>8.894334104176442E-2</v>
      </c>
      <c r="AU104" s="143">
        <f t="shared" si="71"/>
        <v>0.78822973337788826</v>
      </c>
      <c r="AV104" s="17"/>
      <c r="AW104" s="136">
        <f t="shared" si="72"/>
        <v>-1.0016404215317465E-2</v>
      </c>
      <c r="AX104" s="17"/>
      <c r="AY104" s="27"/>
    </row>
    <row r="105" spans="1:51">
      <c r="A105" s="5">
        <v>24.624625903379638</v>
      </c>
      <c r="B105" s="534">
        <v>11.716381262755226</v>
      </c>
      <c r="C105" s="136">
        <v>11.671730041503906</v>
      </c>
      <c r="D105" s="135">
        <f t="shared" si="76"/>
        <v>2.4385602009892258E-12</v>
      </c>
      <c r="E105" s="135">
        <f t="shared" si="73"/>
        <v>0.16594882740251107</v>
      </c>
      <c r="F105" s="136">
        <f t="shared" si="34"/>
        <v>-4.4651221251319484E-2</v>
      </c>
      <c r="G105" s="134">
        <f t="shared" si="28"/>
        <v>4.4296380291015873E-7</v>
      </c>
      <c r="H105" s="134">
        <f t="shared" si="77"/>
        <v>6.6555525909586105E-4</v>
      </c>
      <c r="I105" s="135">
        <f t="shared" si="78"/>
        <v>4.9331108951097137E-2</v>
      </c>
      <c r="J105" s="135">
        <f t="shared" si="79"/>
        <v>4.8665553692001276E-2</v>
      </c>
      <c r="K105" s="136">
        <f t="shared" si="80"/>
        <v>0.55181697112030459</v>
      </c>
      <c r="L105" s="136">
        <f t="shared" si="81"/>
        <v>0.44818302887969541</v>
      </c>
      <c r="M105" s="134">
        <f t="shared" si="82"/>
        <v>1.0000014522622196</v>
      </c>
      <c r="N105" s="134">
        <f t="shared" si="83"/>
        <v>1.0090803793671708</v>
      </c>
      <c r="O105" s="134">
        <f t="shared" si="84"/>
        <v>1.5795281185420738</v>
      </c>
      <c r="P105" s="134">
        <f t="shared" si="85"/>
        <v>1.0000000865175063</v>
      </c>
      <c r="Q105" s="134">
        <f t="shared" si="86"/>
        <v>1.0042769431890823</v>
      </c>
      <c r="R105" s="134">
        <f t="shared" si="87"/>
        <v>1.0200482275559373</v>
      </c>
      <c r="S105" s="134">
        <f t="shared" si="88"/>
        <v>1</v>
      </c>
      <c r="T105" s="134">
        <f t="shared" si="89"/>
        <v>1</v>
      </c>
      <c r="U105" s="134">
        <f t="shared" si="90"/>
        <v>8416.9664004979095</v>
      </c>
      <c r="V105" s="134">
        <f t="shared" si="91"/>
        <v>1.0200482275559373</v>
      </c>
      <c r="W105" s="19">
        <f t="shared" si="92"/>
        <v>1.4522601890958602E-6</v>
      </c>
      <c r="X105" s="19">
        <f t="shared" si="93"/>
        <v>8.9986680524129191E-3</v>
      </c>
      <c r="Y105" s="19">
        <f t="shared" si="94"/>
        <v>0.36689953333803971</v>
      </c>
      <c r="Z105" s="19">
        <f t="shared" si="95"/>
        <v>8.6517498756688333E-8</v>
      </c>
      <c r="AA105" s="19">
        <f t="shared" si="96"/>
        <v>4.2587288477428263E-3</v>
      </c>
      <c r="AB105" s="19">
        <f t="shared" si="97"/>
        <v>1.9654262687062499E-2</v>
      </c>
      <c r="AC105" s="19">
        <f t="shared" si="98"/>
        <v>1.5139237180556897E-19</v>
      </c>
      <c r="AD105" s="19">
        <f t="shared" si="99"/>
        <v>1.5139237180556897E-19</v>
      </c>
      <c r="AE105" s="19">
        <f t="shared" si="100"/>
        <v>0.99988119234978279</v>
      </c>
      <c r="AF105" s="19">
        <f t="shared" si="101"/>
        <v>1.9654262687062499E-2</v>
      </c>
      <c r="AG105" s="134">
        <f t="shared" si="102"/>
        <v>5.0394298271991253E-2</v>
      </c>
      <c r="AH105" s="134">
        <f t="shared" si="103"/>
        <v>7.7934552435673073E-3</v>
      </c>
      <c r="AI105" s="134" t="str">
        <f t="shared" si="104"/>
        <v/>
      </c>
      <c r="AJ105" s="134" t="str">
        <f t="shared" si="105"/>
        <v/>
      </c>
      <c r="AK105" s="134" t="str">
        <f t="shared" si="106"/>
        <v/>
      </c>
      <c r="AL105" s="134" t="str">
        <f t="shared" si="107"/>
        <v/>
      </c>
      <c r="AM105" s="134" t="str">
        <f t="shared" si="108"/>
        <v/>
      </c>
      <c r="AN105" s="134" t="str">
        <f t="shared" si="109"/>
        <v/>
      </c>
      <c r="AO105" s="134">
        <f t="shared" si="110"/>
        <v>3.2780038844378757E-6</v>
      </c>
      <c r="AP105" s="134" t="str">
        <f t="shared" si="111"/>
        <v/>
      </c>
      <c r="AQ105" s="142">
        <f t="shared" si="69"/>
        <v>8.9418497797217639E-2</v>
      </c>
      <c r="AR105" s="134">
        <f t="shared" si="70"/>
        <v>8.9418497797217639E-2</v>
      </c>
      <c r="AS105" s="1042"/>
      <c r="AT105" s="468">
        <v>8.9418497797217639E-2</v>
      </c>
      <c r="AU105" s="143">
        <f t="shared" si="71"/>
        <v>0.78792568093756787</v>
      </c>
      <c r="AV105" s="17"/>
      <c r="AW105" s="136">
        <f t="shared" si="72"/>
        <v>-4.4651221251319484E-2</v>
      </c>
      <c r="AX105" s="17"/>
      <c r="AY105" s="27"/>
    </row>
    <row r="106" spans="1:51">
      <c r="A106" s="5">
        <v>25.730517484771553</v>
      </c>
      <c r="B106" s="534">
        <v>11.841987918362173</v>
      </c>
      <c r="C106" s="136">
        <v>11.808845520019531</v>
      </c>
      <c r="D106" s="135">
        <f t="shared" si="76"/>
        <v>1.8264963516569868E-12</v>
      </c>
      <c r="E106" s="135">
        <f t="shared" si="73"/>
        <v>8.3911350979676058E-2</v>
      </c>
      <c r="F106" s="136">
        <f t="shared" ref="F106:F162" si="112">IF(A106="","",IF(C106="","0,00001",(IF(ABS(C106-B106)&lt;0.00001,0.00001,C106-B106))))</f>
        <v>-3.314239834264221E-2</v>
      </c>
      <c r="G106" s="134">
        <f t="shared" ref="G106:G162" si="113">IF(A106="","",IF(ABS(E106)&lt;0.00001,(0.00001^M$20)*(ABS(H106)^I$20)*ABS(F106)^K$20,((ABS(E106))^M$20)*((ABS(H106))^I$20)*ABS(F106)^K$20))</f>
        <v>4.377286723920323E-7</v>
      </c>
      <c r="H106" s="134">
        <f t="shared" si="77"/>
        <v>6.6161066526472523E-4</v>
      </c>
      <c r="I106" s="135">
        <f t="shared" si="78"/>
        <v>4.8138145016063762E-2</v>
      </c>
      <c r="J106" s="135">
        <f t="shared" si="79"/>
        <v>4.7476534350799036E-2</v>
      </c>
      <c r="K106" s="136">
        <f t="shared" si="80"/>
        <v>0.56265528797787867</v>
      </c>
      <c r="L106" s="136">
        <f t="shared" si="81"/>
        <v>0.43734471202212133</v>
      </c>
      <c r="M106" s="134">
        <f t="shared" si="82"/>
        <v>1.0000010863717459</v>
      </c>
      <c r="N106" s="134">
        <f t="shared" si="83"/>
        <v>1.0067983787207924</v>
      </c>
      <c r="O106" s="134">
        <f t="shared" si="84"/>
        <v>1.4337024800111033</v>
      </c>
      <c r="P106" s="134">
        <f t="shared" si="85"/>
        <v>1.0000000647746916</v>
      </c>
      <c r="Q106" s="134">
        <f t="shared" si="86"/>
        <v>1.0032034563378562</v>
      </c>
      <c r="R106" s="134">
        <f t="shared" si="87"/>
        <v>1.0150035146425676</v>
      </c>
      <c r="S106" s="134">
        <f t="shared" si="88"/>
        <v>1</v>
      </c>
      <c r="T106" s="134">
        <f t="shared" si="89"/>
        <v>1</v>
      </c>
      <c r="U106" s="134">
        <f t="shared" si="90"/>
        <v>6301.9401464815846</v>
      </c>
      <c r="V106" s="134">
        <f t="shared" si="91"/>
        <v>1.0150035146425676</v>
      </c>
      <c r="W106" s="19">
        <f t="shared" si="92"/>
        <v>1.0863706099299311E-6</v>
      </c>
      <c r="X106" s="19">
        <f t="shared" si="93"/>
        <v>6.7524728557968421E-3</v>
      </c>
      <c r="Y106" s="19">
        <f t="shared" si="94"/>
        <v>0.30250522144344311</v>
      </c>
      <c r="Z106" s="19">
        <f t="shared" si="95"/>
        <v>6.477468744526448E-8</v>
      </c>
      <c r="AA106" s="19">
        <f t="shared" si="96"/>
        <v>3.1932269746660939E-3</v>
      </c>
      <c r="AB106" s="19">
        <f t="shared" si="97"/>
        <v>1.4781774322072451E-2</v>
      </c>
      <c r="AC106" s="19">
        <f t="shared" si="98"/>
        <v>1.13345779674731E-19</v>
      </c>
      <c r="AD106" s="19">
        <f t="shared" si="99"/>
        <v>1.13345779674731E-19</v>
      </c>
      <c r="AE106" s="19">
        <f t="shared" si="100"/>
        <v>0.99984131870872206</v>
      </c>
      <c r="AF106" s="19">
        <f t="shared" si="101"/>
        <v>1.4781774322072451E-2</v>
      </c>
      <c r="AG106" s="134">
        <f t="shared" si="102"/>
        <v>4.9175633447044148E-2</v>
      </c>
      <c r="AH106" s="134">
        <f t="shared" si="103"/>
        <v>7.6222251388653453E-3</v>
      </c>
      <c r="AI106" s="134" t="str">
        <f t="shared" si="104"/>
        <v/>
      </c>
      <c r="AJ106" s="134" t="str">
        <f t="shared" si="105"/>
        <v/>
      </c>
      <c r="AK106" s="134" t="str">
        <f t="shared" si="106"/>
        <v/>
      </c>
      <c r="AL106" s="134" t="str">
        <f t="shared" si="107"/>
        <v/>
      </c>
      <c r="AM106" s="134" t="str">
        <f t="shared" si="108"/>
        <v/>
      </c>
      <c r="AN106" s="134" t="str">
        <f t="shared" si="109"/>
        <v/>
      </c>
      <c r="AO106" s="134">
        <f t="shared" si="110"/>
        <v>4.4641433820346023E-6</v>
      </c>
      <c r="AP106" s="134" t="str">
        <f t="shared" si="111"/>
        <v/>
      </c>
      <c r="AQ106" s="142">
        <f t="shared" ref="AQ106:AQ162" si="114">IF(A106="","",SUM(AG106:AP106)+0.5*(D106+ $AC$9/AU106^2/D106)+$L106*$S$16+$K106*$T$16)</f>
        <v>8.9680471253884675E-2</v>
      </c>
      <c r="AR106" s="134">
        <f t="shared" ref="AR106:AR162" si="115">IF(A106="","",AQ106+$L106*S$14+$K106*$T$14)</f>
        <v>8.9680471253884675E-2</v>
      </c>
      <c r="AS106" s="1042"/>
      <c r="AT106" s="468">
        <v>8.9680471253884675E-2</v>
      </c>
      <c r="AU106" s="143">
        <f t="shared" ref="AU106:AU162" si="116">IF(A106="","",10^(-$P$16*($AT106^0.5/(1+$AT106^0.5)-$P$17*$AT106)))</f>
        <v>0.78775881673331516</v>
      </c>
      <c r="AV106" s="17"/>
      <c r="AW106" s="136">
        <f t="shared" ref="AW106:AW162" si="117">IF(C106="","",C106-B106)</f>
        <v>-3.314239834264221E-2</v>
      </c>
      <c r="AX106" s="17"/>
      <c r="AY106" s="27"/>
    </row>
    <row r="107" spans="1:51">
      <c r="A107" s="5">
        <v>27.32318145717727</v>
      </c>
      <c r="B107" s="534">
        <v>11.928379050320729</v>
      </c>
      <c r="C107" s="136">
        <v>11.946022033691406</v>
      </c>
      <c r="D107" s="135">
        <f t="shared" si="76"/>
        <v>1.4967795465688095E-12</v>
      </c>
      <c r="E107" s="135">
        <f t="shared" ref="E107:E162" si="118">IF(A107="","",IF(A108="",(B107-B106)/(A107-A106),((B108-B107)/(A108-A107)+(B107-B106)/(A107-A106))/2))</f>
        <v>5.2419871386658483E-2</v>
      </c>
      <c r="F107" s="136">
        <f t="shared" si="112"/>
        <v>1.7642983370677712E-2</v>
      </c>
      <c r="G107" s="134">
        <f t="shared" si="113"/>
        <v>2.054086507527953E-7</v>
      </c>
      <c r="H107" s="134">
        <f t="shared" si="77"/>
        <v>-4.5322031149629127E-4</v>
      </c>
      <c r="I107" s="135">
        <f t="shared" si="78"/>
        <v>4.6518053405466886E-2</v>
      </c>
      <c r="J107" s="135">
        <f t="shared" si="79"/>
        <v>4.6971273716963177E-2</v>
      </c>
      <c r="K107" s="136">
        <f t="shared" si="80"/>
        <v>0.57737414552109112</v>
      </c>
      <c r="L107" s="136">
        <f t="shared" si="81"/>
        <v>0.42262585447890888</v>
      </c>
      <c r="M107" s="134">
        <f t="shared" si="82"/>
        <v>1.0000008911206608</v>
      </c>
      <c r="N107" s="134">
        <f t="shared" si="83"/>
        <v>1.0055729360509729</v>
      </c>
      <c r="O107" s="134">
        <f t="shared" si="84"/>
        <v>1.3556397399816458</v>
      </c>
      <c r="P107" s="134">
        <f t="shared" si="85"/>
        <v>1.000000053098721</v>
      </c>
      <c r="Q107" s="134">
        <f t="shared" si="86"/>
        <v>1.0026251724622826</v>
      </c>
      <c r="R107" s="134">
        <f t="shared" si="87"/>
        <v>1.0123030046035801</v>
      </c>
      <c r="S107" s="134">
        <f t="shared" si="88"/>
        <v>1</v>
      </c>
      <c r="T107" s="134">
        <f t="shared" si="89"/>
        <v>1</v>
      </c>
      <c r="U107" s="134">
        <f t="shared" si="90"/>
        <v>5166.1633340967055</v>
      </c>
      <c r="V107" s="134">
        <f t="shared" si="91"/>
        <v>1.0123030046035801</v>
      </c>
      <c r="W107" s="19">
        <f t="shared" si="92"/>
        <v>8.9111989626392498E-7</v>
      </c>
      <c r="X107" s="19">
        <f t="shared" si="93"/>
        <v>5.5420505594809604E-3</v>
      </c>
      <c r="Y107" s="19">
        <f t="shared" si="94"/>
        <v>0.26234089607499295</v>
      </c>
      <c r="Z107" s="19">
        <f t="shared" si="95"/>
        <v>5.3098718079892956E-8</v>
      </c>
      <c r="AA107" s="19">
        <f t="shared" si="96"/>
        <v>2.6182989759129978E-3</v>
      </c>
      <c r="AB107" s="19">
        <f t="shared" si="97"/>
        <v>1.2153505676830479E-2</v>
      </c>
      <c r="AC107" s="19">
        <f t="shared" si="98"/>
        <v>9.2914620935962384E-20</v>
      </c>
      <c r="AD107" s="19">
        <f t="shared" si="99"/>
        <v>9.2914620935962384E-20</v>
      </c>
      <c r="AE107" s="19">
        <f t="shared" si="100"/>
        <v>0.99980643275573577</v>
      </c>
      <c r="AF107" s="19">
        <f t="shared" si="101"/>
        <v>1.2153505676830479E-2</v>
      </c>
      <c r="AG107" s="134">
        <f t="shared" si="102"/>
        <v>4.7520630267558067E-2</v>
      </c>
      <c r="AH107" s="134">
        <f t="shared" si="103"/>
        <v>7.3746749989725665E-3</v>
      </c>
      <c r="AI107" s="134" t="str">
        <f t="shared" si="104"/>
        <v/>
      </c>
      <c r="AJ107" s="134" t="str">
        <f t="shared" si="105"/>
        <v/>
      </c>
      <c r="AK107" s="134" t="str">
        <f t="shared" si="106"/>
        <v/>
      </c>
      <c r="AL107" s="134" t="str">
        <f t="shared" si="107"/>
        <v/>
      </c>
      <c r="AM107" s="134" t="str">
        <f t="shared" si="108"/>
        <v/>
      </c>
      <c r="AN107" s="134" t="str">
        <f t="shared" si="109"/>
        <v/>
      </c>
      <c r="AO107" s="134">
        <f t="shared" si="110"/>
        <v>5.5880361128965736E-6</v>
      </c>
      <c r="AP107" s="134" t="str">
        <f t="shared" si="111"/>
        <v/>
      </c>
      <c r="AQ107" s="142">
        <f t="shared" si="114"/>
        <v>8.9481497401448618E-2</v>
      </c>
      <c r="AR107" s="134">
        <f t="shared" si="115"/>
        <v>8.9481497401448618E-2</v>
      </c>
      <c r="AS107" s="1042"/>
      <c r="AT107" s="468">
        <v>8.9481497401448618E-2</v>
      </c>
      <c r="AU107" s="143">
        <f t="shared" si="116"/>
        <v>0.78788550332173413</v>
      </c>
      <c r="AV107" s="17"/>
      <c r="AW107" s="136">
        <f t="shared" si="117"/>
        <v>1.7642983370677712E-2</v>
      </c>
      <c r="AX107" s="17"/>
      <c r="AY107" s="27"/>
    </row>
    <row r="108" spans="1:51">
      <c r="A108" s="5">
        <v>29.683852127345745</v>
      </c>
      <c r="B108" s="534">
        <v>12.047820911462628</v>
      </c>
      <c r="C108" s="136">
        <v>12.083091735839844</v>
      </c>
      <c r="D108" s="135">
        <f t="shared" si="76"/>
        <v>1.1369839017042605E-12</v>
      </c>
      <c r="E108" s="135">
        <f t="shared" si="118"/>
        <v>4.9922325274648377E-2</v>
      </c>
      <c r="F108" s="136">
        <f t="shared" si="112"/>
        <v>3.5270824377215959E-2</v>
      </c>
      <c r="G108" s="134">
        <f t="shared" si="113"/>
        <v>1.4711417972456981E-6</v>
      </c>
      <c r="H108" s="134">
        <f t="shared" si="77"/>
        <v>-1.2129063431467815E-3</v>
      </c>
      <c r="I108" s="135">
        <f t="shared" si="78"/>
        <v>4.430780199367719E-2</v>
      </c>
      <c r="J108" s="135">
        <f t="shared" si="79"/>
        <v>4.5520708336823971E-2</v>
      </c>
      <c r="K108" s="136">
        <f t="shared" si="80"/>
        <v>0.59745472334275584</v>
      </c>
      <c r="L108" s="136">
        <f t="shared" si="81"/>
        <v>0.40254527665724416</v>
      </c>
      <c r="M108" s="134">
        <f t="shared" si="82"/>
        <v>1.0000006765547755</v>
      </c>
      <c r="N108" s="134">
        <f t="shared" si="83"/>
        <v>1.0042325671946351</v>
      </c>
      <c r="O108" s="134">
        <f t="shared" si="84"/>
        <v>1.27005573903917</v>
      </c>
      <c r="P108" s="134">
        <f t="shared" si="85"/>
        <v>1.0000000403277378</v>
      </c>
      <c r="Q108" s="134">
        <f t="shared" si="86"/>
        <v>1.0019941338961071</v>
      </c>
      <c r="R108" s="134">
        <f t="shared" si="87"/>
        <v>1.0093423061782985</v>
      </c>
      <c r="S108" s="134">
        <f t="shared" si="88"/>
        <v>1</v>
      </c>
      <c r="T108" s="134">
        <f t="shared" si="89"/>
        <v>1</v>
      </c>
      <c r="U108" s="134">
        <f t="shared" si="90"/>
        <v>3923.8695044462124</v>
      </c>
      <c r="V108" s="134">
        <f t="shared" si="91"/>
        <v>1.0093423061782985</v>
      </c>
      <c r="W108" s="19">
        <f t="shared" si="92"/>
        <v>6.7655433492609654E-7</v>
      </c>
      <c r="X108" s="19">
        <f t="shared" si="93"/>
        <v>4.2147280759238627E-3</v>
      </c>
      <c r="Y108" s="19">
        <f t="shared" si="94"/>
        <v>0.21263298384260165</v>
      </c>
      <c r="Z108" s="19">
        <f t="shared" si="95"/>
        <v>4.0327736233613981E-8</v>
      </c>
      <c r="AA108" s="19">
        <f t="shared" si="96"/>
        <v>1.9901652401428487E-3</v>
      </c>
      <c r="AB108" s="19">
        <f t="shared" si="97"/>
        <v>9.2558500206013708E-3</v>
      </c>
      <c r="AC108" s="19">
        <f t="shared" si="98"/>
        <v>7.056735855393996E-20</v>
      </c>
      <c r="AD108" s="19">
        <f t="shared" si="99"/>
        <v>7.056735855393996E-20</v>
      </c>
      <c r="AE108" s="19">
        <f t="shared" si="100"/>
        <v>0.99974514952679572</v>
      </c>
      <c r="AF108" s="19">
        <f t="shared" si="101"/>
        <v>9.2558500206013708E-3</v>
      </c>
      <c r="AG108" s="134">
        <f t="shared" si="102"/>
        <v>4.5262747973211989E-2</v>
      </c>
      <c r="AH108" s="134">
        <f t="shared" si="103"/>
        <v>7.0336512991109141E-3</v>
      </c>
      <c r="AI108" s="134" t="str">
        <f t="shared" si="104"/>
        <v/>
      </c>
      <c r="AJ108" s="134" t="str">
        <f t="shared" si="105"/>
        <v/>
      </c>
      <c r="AK108" s="134" t="str">
        <f t="shared" si="106"/>
        <v/>
      </c>
      <c r="AL108" s="134" t="str">
        <f t="shared" si="107"/>
        <v/>
      </c>
      <c r="AM108" s="134" t="str">
        <f t="shared" si="108"/>
        <v/>
      </c>
      <c r="AN108" s="134" t="str">
        <f t="shared" si="109"/>
        <v/>
      </c>
      <c r="AO108" s="134">
        <f t="shared" si="110"/>
        <v>7.6130809481019742E-6</v>
      </c>
      <c r="AP108" s="134" t="str">
        <f t="shared" si="111"/>
        <v/>
      </c>
      <c r="AQ108" s="142">
        <f t="shared" si="114"/>
        <v>8.9590666048802933E-2</v>
      </c>
      <c r="AR108" s="134">
        <f t="shared" si="115"/>
        <v>8.9590666048802933E-2</v>
      </c>
      <c r="AS108" s="1042"/>
      <c r="AT108" s="468">
        <v>8.9590666048802933E-2</v>
      </c>
      <c r="AU108" s="143">
        <f t="shared" si="116"/>
        <v>0.78781595664202764</v>
      </c>
      <c r="AV108" s="17"/>
      <c r="AW108" s="136">
        <f t="shared" si="117"/>
        <v>3.5270824377215959E-2</v>
      </c>
      <c r="AX108" s="17"/>
      <c r="AY108" s="27"/>
    </row>
    <row r="109" spans="1:51">
      <c r="A109" s="5">
        <v>33.322947287524585</v>
      </c>
      <c r="B109" s="534">
        <v>12.227039328612095</v>
      </c>
      <c r="C109" s="136">
        <v>12.219718933105469</v>
      </c>
      <c r="D109" s="135">
        <f t="shared" si="76"/>
        <v>7.5342970692370739E-13</v>
      </c>
      <c r="E109" s="135">
        <f t="shared" si="118"/>
        <v>3.4173523934599687E-2</v>
      </c>
      <c r="F109" s="136">
        <f t="shared" si="112"/>
        <v>-7.3203955066265536E-3</v>
      </c>
      <c r="G109" s="134">
        <f t="shared" si="113"/>
        <v>1.3111030169136065E-7</v>
      </c>
      <c r="H109" s="134">
        <f t="shared" si="77"/>
        <v>3.6209156534136588E-4</v>
      </c>
      <c r="I109" s="135">
        <f t="shared" si="78"/>
        <v>4.1283957364011026E-2</v>
      </c>
      <c r="J109" s="135">
        <f t="shared" si="79"/>
        <v>4.092186579866966E-2</v>
      </c>
      <c r="K109" s="136">
        <f t="shared" si="80"/>
        <v>0.62492695889150163</v>
      </c>
      <c r="L109" s="136">
        <f t="shared" si="81"/>
        <v>0.37507304110849837</v>
      </c>
      <c r="M109" s="134">
        <f t="shared" si="82"/>
        <v>1.000000445195059</v>
      </c>
      <c r="N109" s="134">
        <f t="shared" si="83"/>
        <v>1.002798199037563</v>
      </c>
      <c r="O109" s="134">
        <f t="shared" si="84"/>
        <v>1.1781207307557473</v>
      </c>
      <c r="P109" s="134">
        <f t="shared" si="85"/>
        <v>1.0000000266611331</v>
      </c>
      <c r="Q109" s="134">
        <f t="shared" si="86"/>
        <v>1.0013214256724818</v>
      </c>
      <c r="R109" s="134">
        <f t="shared" si="87"/>
        <v>1.0061619039067327</v>
      </c>
      <c r="S109" s="134">
        <f t="shared" si="88"/>
        <v>1</v>
      </c>
      <c r="T109" s="134">
        <f t="shared" si="89"/>
        <v>1</v>
      </c>
      <c r="U109" s="134">
        <f t="shared" si="90"/>
        <v>2594.4543193271729</v>
      </c>
      <c r="V109" s="134">
        <f t="shared" si="91"/>
        <v>1.0061619039067327</v>
      </c>
      <c r="W109" s="19">
        <f t="shared" si="92"/>
        <v>4.4519486826625428E-7</v>
      </c>
      <c r="X109" s="19">
        <f t="shared" si="93"/>
        <v>2.790390968711743E-3</v>
      </c>
      <c r="Y109" s="19">
        <f t="shared" si="94"/>
        <v>0.15119055895708869</v>
      </c>
      <c r="Z109" s="19">
        <f t="shared" si="95"/>
        <v>2.6661132376332383E-8</v>
      </c>
      <c r="AA109" s="19">
        <f t="shared" si="96"/>
        <v>1.3196818110572045E-3</v>
      </c>
      <c r="AB109" s="19">
        <f t="shared" si="97"/>
        <v>6.1241738016242601E-3</v>
      </c>
      <c r="AC109" s="19">
        <f t="shared" si="98"/>
        <v>4.6652895447527924E-20</v>
      </c>
      <c r="AD109" s="19">
        <f t="shared" si="99"/>
        <v>4.6652895447527924E-20</v>
      </c>
      <c r="AE109" s="19">
        <f t="shared" si="100"/>
        <v>0.9996145624948759</v>
      </c>
      <c r="AF109" s="19">
        <f t="shared" si="101"/>
        <v>6.1241738016242601E-3</v>
      </c>
      <c r="AG109" s="134">
        <f t="shared" si="102"/>
        <v>4.2173737211132593E-2</v>
      </c>
      <c r="AH109" s="134">
        <f t="shared" si="103"/>
        <v>6.5630045388831047E-3</v>
      </c>
      <c r="AI109" s="134" t="str">
        <f t="shared" si="104"/>
        <v/>
      </c>
      <c r="AJ109" s="134" t="str">
        <f t="shared" si="105"/>
        <v/>
      </c>
      <c r="AK109" s="134" t="str">
        <f t="shared" si="106"/>
        <v/>
      </c>
      <c r="AL109" s="134" t="str">
        <f t="shared" si="107"/>
        <v/>
      </c>
      <c r="AM109" s="134" t="str">
        <f t="shared" si="108"/>
        <v/>
      </c>
      <c r="AN109" s="134" t="str">
        <f t="shared" si="109"/>
        <v/>
      </c>
      <c r="AO109" s="134">
        <f t="shared" si="110"/>
        <v>1.2043514395997646E-5</v>
      </c>
      <c r="AP109" s="134" t="str">
        <f t="shared" si="111"/>
        <v/>
      </c>
      <c r="AQ109" s="142">
        <f t="shared" si="114"/>
        <v>9.1047179924031024E-2</v>
      </c>
      <c r="AR109" s="134">
        <f t="shared" si="115"/>
        <v>9.1047179924031024E-2</v>
      </c>
      <c r="AS109" s="1042"/>
      <c r="AT109" s="468">
        <v>9.1047179924031024E-2</v>
      </c>
      <c r="AU109" s="143">
        <f t="shared" si="116"/>
        <v>0.78689707578829737</v>
      </c>
      <c r="AV109" s="17"/>
      <c r="AW109" s="136">
        <f t="shared" si="117"/>
        <v>-7.3203955066265536E-3</v>
      </c>
      <c r="AX109" s="17"/>
      <c r="AY109" s="27"/>
    </row>
    <row r="110" spans="1:51">
      <c r="A110" s="5">
        <v>39.274074586865027</v>
      </c>
      <c r="B110" s="534">
        <v>12.340699770716011</v>
      </c>
      <c r="C110" s="136">
        <v>12.356880187988281</v>
      </c>
      <c r="D110" s="135">
        <f t="shared" si="76"/>
        <v>5.8003219801541989E-13</v>
      </c>
      <c r="E110" s="135">
        <f t="shared" si="118"/>
        <v>1.7176237787837535E-2</v>
      </c>
      <c r="F110" s="136">
        <f t="shared" si="112"/>
        <v>1.6180417272270375E-2</v>
      </c>
      <c r="G110" s="134">
        <f t="shared" si="113"/>
        <v>1.1382939126705618E-6</v>
      </c>
      <c r="H110" s="134">
        <f t="shared" si="77"/>
        <v>-1.0669085774660178E-3</v>
      </c>
      <c r="I110" s="135">
        <f t="shared" si="78"/>
        <v>3.7139040932903787E-2</v>
      </c>
      <c r="J110" s="135">
        <f t="shared" si="79"/>
        <v>3.8205949510369805E-2</v>
      </c>
      <c r="K110" s="136">
        <f t="shared" si="80"/>
        <v>0.66258435683056716</v>
      </c>
      <c r="L110" s="136">
        <f t="shared" si="81"/>
        <v>0.3374156431694329</v>
      </c>
      <c r="M110" s="134">
        <f t="shared" si="82"/>
        <v>1.000000342405609</v>
      </c>
      <c r="N110" s="134">
        <f t="shared" si="83"/>
        <v>1.0021535172574765</v>
      </c>
      <c r="O110" s="134">
        <f t="shared" si="84"/>
        <v>1.1370391361707208</v>
      </c>
      <c r="P110" s="134">
        <f t="shared" si="85"/>
        <v>1.0000000205186299</v>
      </c>
      <c r="Q110" s="134">
        <f t="shared" si="86"/>
        <v>1.0010173071625397</v>
      </c>
      <c r="R110" s="134">
        <f t="shared" si="87"/>
        <v>1.00474072715723</v>
      </c>
      <c r="S110" s="134">
        <f t="shared" si="88"/>
        <v>1</v>
      </c>
      <c r="T110" s="134">
        <f t="shared" si="89"/>
        <v>1</v>
      </c>
      <c r="U110" s="134">
        <f t="shared" si="90"/>
        <v>1996.9440191322283</v>
      </c>
      <c r="V110" s="134">
        <f t="shared" si="91"/>
        <v>1.00474072715723</v>
      </c>
      <c r="W110" s="19">
        <f t="shared" si="92"/>
        <v>3.4240549596235042E-7</v>
      </c>
      <c r="X110" s="19">
        <f t="shared" si="93"/>
        <v>2.148889586946342E-3</v>
      </c>
      <c r="Y110" s="19">
        <f t="shared" si="94"/>
        <v>0.12052279682445012</v>
      </c>
      <c r="Z110" s="19">
        <f t="shared" si="95"/>
        <v>2.0518629397145755E-8</v>
      </c>
      <c r="AA110" s="19">
        <f t="shared" si="96"/>
        <v>1.0162733004320369E-3</v>
      </c>
      <c r="AB110" s="19">
        <f t="shared" si="97"/>
        <v>4.7183625160974515E-3</v>
      </c>
      <c r="AC110" s="19">
        <f t="shared" si="98"/>
        <v>3.5904456442422309E-20</v>
      </c>
      <c r="AD110" s="19">
        <f t="shared" si="99"/>
        <v>3.5904456442422309E-20</v>
      </c>
      <c r="AE110" s="19">
        <f t="shared" si="100"/>
        <v>0.9994992348356192</v>
      </c>
      <c r="AF110" s="19">
        <f t="shared" si="101"/>
        <v>4.7183625160974515E-3</v>
      </c>
      <c r="AG110" s="134">
        <f t="shared" si="102"/>
        <v>3.7939488896639603E-2</v>
      </c>
      <c r="AH110" s="134">
        <f t="shared" si="103"/>
        <v>5.9078758247467847E-3</v>
      </c>
      <c r="AI110" s="134" t="str">
        <f t="shared" si="104"/>
        <v/>
      </c>
      <c r="AJ110" s="134" t="str">
        <f t="shared" si="105"/>
        <v/>
      </c>
      <c r="AK110" s="134" t="str">
        <f t="shared" si="106"/>
        <v/>
      </c>
      <c r="AL110" s="134" t="str">
        <f t="shared" si="107"/>
        <v/>
      </c>
      <c r="AM110" s="134" t="str">
        <f t="shared" si="108"/>
        <v/>
      </c>
      <c r="AN110" s="134" t="str">
        <f t="shared" si="109"/>
        <v/>
      </c>
      <c r="AO110" s="134">
        <f t="shared" si="110"/>
        <v>1.6589958218220184E-5</v>
      </c>
      <c r="AP110" s="134" t="str">
        <f t="shared" si="111"/>
        <v/>
      </c>
      <c r="AQ110" s="142">
        <f t="shared" si="114"/>
        <v>9.1249723295354912E-2</v>
      </c>
      <c r="AR110" s="134">
        <f t="shared" si="115"/>
        <v>9.1249723295354912E-2</v>
      </c>
      <c r="AS110" s="1042"/>
      <c r="AT110" s="468">
        <v>9.1249723295354912E-2</v>
      </c>
      <c r="AU110" s="143">
        <f t="shared" si="116"/>
        <v>0.78677060758372952</v>
      </c>
      <c r="AV110" s="17"/>
      <c r="AW110" s="136">
        <f t="shared" si="117"/>
        <v>1.6180417272270375E-2</v>
      </c>
      <c r="AX110" s="17"/>
      <c r="AY110" s="27"/>
    </row>
    <row r="111" spans="1:51">
      <c r="A111" s="5">
        <v>49.999999995634425</v>
      </c>
      <c r="B111" s="534">
        <v>12.504307661022999</v>
      </c>
      <c r="C111" s="136">
        <v>12.493522644042969</v>
      </c>
      <c r="D111" s="135">
        <f t="shared" si="76"/>
        <v>3.9867959600712234E-13</v>
      </c>
      <c r="E111" s="135">
        <f t="shared" si="118"/>
        <v>1.5253498795845061E-2</v>
      </c>
      <c r="F111" s="136">
        <f t="shared" si="112"/>
        <v>-1.0785016980030093E-2</v>
      </c>
      <c r="G111" s="134">
        <f t="shared" si="113"/>
        <v>1.0116721345957123E-6</v>
      </c>
      <c r="H111" s="134">
        <f t="shared" si="77"/>
        <v>1.0058191361252342E-3</v>
      </c>
      <c r="I111" s="135">
        <f t="shared" si="78"/>
        <v>3.1448318321126607E-2</v>
      </c>
      <c r="J111" s="135">
        <f t="shared" si="79"/>
        <v>3.0442499185001373E-2</v>
      </c>
      <c r="K111" s="136">
        <f t="shared" si="80"/>
        <v>0.71428571426789567</v>
      </c>
      <c r="L111" s="136">
        <f t="shared" si="81"/>
        <v>0.28571428573210439</v>
      </c>
      <c r="M111" s="134">
        <f t="shared" si="82"/>
        <v>1.0000002328273472</v>
      </c>
      <c r="N111" s="134">
        <f t="shared" si="83"/>
        <v>1.0014748935232216</v>
      </c>
      <c r="O111" s="134">
        <f t="shared" si="84"/>
        <v>1.093518456165596</v>
      </c>
      <c r="P111" s="134">
        <f t="shared" si="85"/>
        <v>1.000000014052729</v>
      </c>
      <c r="Q111" s="134">
        <f t="shared" si="86"/>
        <v>1.000699236369919</v>
      </c>
      <c r="R111" s="134">
        <f t="shared" si="87"/>
        <v>1.0032351734332998</v>
      </c>
      <c r="S111" s="134">
        <f t="shared" si="88"/>
        <v>1</v>
      </c>
      <c r="T111" s="134">
        <f t="shared" si="89"/>
        <v>1</v>
      </c>
      <c r="U111" s="134">
        <f t="shared" si="90"/>
        <v>1367.9753035087101</v>
      </c>
      <c r="V111" s="134">
        <f t="shared" si="91"/>
        <v>1.0032351734332998</v>
      </c>
      <c r="W111" s="19">
        <f t="shared" si="92"/>
        <v>2.3282729515140691E-7</v>
      </c>
      <c r="X111" s="19">
        <f t="shared" si="93"/>
        <v>1.4727214160750561E-3</v>
      </c>
      <c r="Y111" s="19">
        <f t="shared" si="94"/>
        <v>8.552069325196697E-2</v>
      </c>
      <c r="Z111" s="19">
        <f t="shared" si="95"/>
        <v>1.4052728713954202E-8</v>
      </c>
      <c r="AA111" s="19">
        <f t="shared" si="96"/>
        <v>6.9874778005782562E-4</v>
      </c>
      <c r="AB111" s="19">
        <f t="shared" si="97"/>
        <v>3.22474262083989E-3</v>
      </c>
      <c r="AC111" s="19">
        <f t="shared" si="98"/>
        <v>2.4590121151811711E-20</v>
      </c>
      <c r="AD111" s="19">
        <f t="shared" si="99"/>
        <v>2.4590121151811711E-20</v>
      </c>
      <c r="AE111" s="19">
        <f t="shared" si="100"/>
        <v>0.99926899265108438</v>
      </c>
      <c r="AF111" s="19">
        <f t="shared" si="101"/>
        <v>3.22474262083989E-3</v>
      </c>
      <c r="AG111" s="134">
        <f t="shared" si="102"/>
        <v>3.2126117595551958E-2</v>
      </c>
      <c r="AH111" s="134">
        <f t="shared" si="103"/>
        <v>5.0060166487543257E-3</v>
      </c>
      <c r="AI111" s="134" t="str">
        <f t="shared" si="104"/>
        <v/>
      </c>
      <c r="AJ111" s="134" t="str">
        <f t="shared" si="105"/>
        <v/>
      </c>
      <c r="AK111" s="134" t="str">
        <f t="shared" si="106"/>
        <v/>
      </c>
      <c r="AL111" s="134" t="str">
        <f t="shared" si="107"/>
        <v/>
      </c>
      <c r="AM111" s="134" t="str">
        <f t="shared" si="108"/>
        <v/>
      </c>
      <c r="AN111" s="134" t="str">
        <f t="shared" si="109"/>
        <v/>
      </c>
      <c r="AO111" s="134">
        <f t="shared" si="110"/>
        <v>2.6107405317765217E-5</v>
      </c>
      <c r="AP111" s="134" t="str">
        <f t="shared" si="111"/>
        <v/>
      </c>
      <c r="AQ111" s="142">
        <f t="shared" si="114"/>
        <v>9.3545131927460626E-2</v>
      </c>
      <c r="AR111" s="134">
        <f t="shared" si="115"/>
        <v>9.3545131927460626E-2</v>
      </c>
      <c r="AS111" s="1042"/>
      <c r="AT111" s="468">
        <v>9.3545131927460626E-2</v>
      </c>
      <c r="AU111" s="143">
        <f t="shared" si="116"/>
        <v>0.78535918892237955</v>
      </c>
      <c r="AV111" s="17"/>
      <c r="AW111" s="136">
        <f t="shared" si="117"/>
        <v>-1.0785016980030093E-2</v>
      </c>
      <c r="AX111" s="17"/>
      <c r="AY111" s="27"/>
    </row>
    <row r="112" spans="1:51">
      <c r="B112" s="534"/>
      <c r="C112" s="136"/>
      <c r="D112" s="135" t="str">
        <f t="shared" ref="D112:D161" si="119">IF(A112="","",10^-((((B112-P$12)/P$13)+7))/$AU112)</f>
        <v/>
      </c>
      <c r="E112" s="135" t="str">
        <f t="shared" si="118"/>
        <v/>
      </c>
      <c r="F112" s="136" t="str">
        <f t="shared" si="112"/>
        <v/>
      </c>
      <c r="G112" s="134" t="str">
        <f t="shared" si="113"/>
        <v/>
      </c>
      <c r="H112" s="134" t="str">
        <f t="shared" ref="H112:H161" si="120">IF(A112="","",I112-J112)</f>
        <v/>
      </c>
      <c r="I112" s="135" t="str">
        <f t="shared" ref="I112:I161" si="121">IF(A112="","",L112*I$18+K112*E$19)</f>
        <v/>
      </c>
      <c r="J112" s="135" t="str">
        <f t="shared" ref="J112:J161" si="122">IF(A112="","",D112 -$AC$9/AU112^2/D112+L112*(W112*$B$11+X112*$C$11+Y112*$D$11+Z112*$E$11+AA112*$F$11+AB112*$G$11+AC112*$H$11)+K112*(AD112*$B$18+AE112*$C$18+AF112*$D$18))</f>
        <v/>
      </c>
      <c r="K112" s="136" t="str">
        <f t="shared" ref="K112:K161" si="123">IF(A112="","",A112/(A112+$G$16))</f>
        <v/>
      </c>
      <c r="L112" s="136" t="str">
        <f t="shared" ref="L112:L161" si="124">IF(A112="","",$E$16/(A112+$G$16))</f>
        <v/>
      </c>
      <c r="M112" s="134" t="str">
        <f t="shared" ref="M112:M161" si="125">IF($A112="","",(1+(V$5*$AU112^(-2*V$4))*$D112+(V$6*$AU112^(-4*V$4-2))*$D112^2+(V$7*$AU112^(-6*V$4-6))*$D112^3+(V$8*$AU112^(-8*V$4-12))*$D112^4+(V$9*$AU112^(-10*V$4-20))*$D112^5+(V$10*$AU112^(-12*V$4-30))*$D112^6))</f>
        <v/>
      </c>
      <c r="N112" s="134" t="str">
        <f t="shared" ref="N112:N161" si="126">IF($A112="","",(1+(W$5*$AU112^(-2*W$4))*$D112+(W$6*$AU112^(-4*W$4-2))*$D112^2+(W$7*$AU112^(-6*W$4-6))*$D112^3+(W$8*$AU112^(-8*W$4-12))*$D112^4+(W$9*$AU112^(-10*W$4-20))*$D112^5+(W$10*$AU112^(-12*W$4-30))*$D112^6))</f>
        <v/>
      </c>
      <c r="O112" s="134" t="str">
        <f t="shared" ref="O112:O161" si="127">IF($A112="","",(1+(X$5*$AU112^(-2*X$4))*$D112+(X$6*$AU112^(-4*X$4-2))*$D112^2+(X$7*$AU112^(-6*X$4-6))*$D112^3+(X$8*$AU112^(-8*X$4-12))*$D112^4+(X$9*$AU112^(-10*X$4-20))*$D112^5+(X$10*$AU112^(-12*X$4-30))*$D112^6))</f>
        <v/>
      </c>
      <c r="P112" s="134" t="str">
        <f t="shared" ref="P112:P161" si="128">IF($A112="","",(1+(Y$5*$AU112^(-2*Y$4))*$D112+(Y$6*$AU112^(-4*Y$4-2))*$D112^2+(Y$7*$AU112^(-6*Y$4-6))*$D112^3+(Y$8*$AU112^(-8*Y$4-12))*$D112^4+(Y$9*$AU112^(-10*Y$4-20))*$D112^5+(Y$10*$AU112^(-12*Y$4-30))*$D112^6))</f>
        <v/>
      </c>
      <c r="Q112" s="134" t="str">
        <f t="shared" ref="Q112:Q161" si="129">IF($A112="","",(1+(Z$5*$AU112^(-2*Z$4))*$D112+(Z$6*$AU112^(-4*Z$4-2))*$D112^2+(Z$7*$AU112^(-6*Z$4-6))*$D112^3+(Z$8*$AU112^(-8*Z$4-12))*$D112^4+(Z$9*$AU112^(-10*Z$4-20))*$D112^5+(Z$10*$AU112^(-12*Z$4-30))*$D112^6))</f>
        <v/>
      </c>
      <c r="R112" s="134" t="str">
        <f t="shared" ref="R112:R161" si="130">IF($A112="","",(1+(AA$5*$AU112^(-2*AA$4))*$D112+(AA$6*$AU112^(-4*AA$4-2))*$D112^2+(AA$7*$AU112^(-6*AA$4-6))*$D112^3+(AA$8*$AU112^(-8*AA$4-12))*$D112^4+(AA$9*$AU112^(-10*AA$4-20))*$D112^5+(AA$10*$AU112^(-12*AA$4-30))*$D112^6))</f>
        <v/>
      </c>
      <c r="S112" s="134" t="str">
        <f t="shared" ref="S112:S161" si="131">IF($A112="","",(1+(AB$5*$AU112^(-2*AB$4))*$D112+(AB$6*$AU112^(-4*AB$4-2))*$D112^2+(AB$7*$AU112^(-6*AB$4-6))*$D112^3+(AB$8*$AU112^(-8*AB$4-12))*$D112^4+(AB$9*$AU112^(-10*AB$4-20))*$D112^5+(AB$10*$AU112^(-12*AB$4-30))*$D112^6))</f>
        <v/>
      </c>
      <c r="T112" s="134" t="str">
        <f t="shared" ref="T112:T161" si="132">IF($A112="","",(1+(AC$5*$AU112^(-2*AC$4))*$D112+(AC$6*$AU112^(-4*AC$4-2))*$D112^2))</f>
        <v/>
      </c>
      <c r="U112" s="134" t="str">
        <f t="shared" ref="U112:U161" si="133">IF($A112="","",(1+(AD$5*$AU112^(-2*AD$4))*$D112+(AD$6*$AU112^(-4*AD$4-2))*$D112^2))</f>
        <v/>
      </c>
      <c r="V112" s="134" t="str">
        <f t="shared" ref="V112:V161" si="134">IF($A112="","",(1+(AE$5*$AU112^(-2*AE$4))*$D112+(AE$6*$AU112^(-4*AE$4-2))*$D112^2))</f>
        <v/>
      </c>
      <c r="W112" s="19" t="str">
        <f t="shared" ref="W112:W161" si="135">IF($A112="","",((V$5*$AU112^(-2*V$4))*$D112+2*(V$6*$AU112^(-4*V$4-2))*$D112^2+3*(V$7*$AU112^(-6*V$4-6))*$D112^3+4*(V$8*$AU112^(-8*V$4-12))*$D112^4+5*(V$9*$AU112^(-10*V$4-20))*$D112^5+6*(V$10*$AU112^(-12*V$4-30))*$D112^6)/M112)</f>
        <v/>
      </c>
      <c r="X112" s="19" t="str">
        <f t="shared" ref="X112:X161" si="136">IF($A112="","",((W$5*$AU112^(-2*W$4))*$D112+2*(W$6*$AU112^(-4*W$4-2))*$D112^2+3*(W$7*$AU112^(-6*W$4-6))*$D112^3+4*(W$8*$AU112^(-8*W$4-12))*$D112^4+5*(W$9*$AU112^(-10*W$4-20))*$D112^5+6*(W$10*$AU112^(-12*W$4-30))*$D112^6)/N112)</f>
        <v/>
      </c>
      <c r="Y112" s="19" t="str">
        <f t="shared" ref="Y112:Y161" si="137">IF($A112="","",((X$5*$AU112^(-2*X$4))*$D112+2*(X$6*$AU112^(-4*X$4-2))*$D112^2+3*(X$7*$AU112^(-6*X$4-6))*$D112^3+4*(X$8*$AU112^(-8*X$4-12))*$D112^4+5*(X$9*$AU112^(-10*X$4-20))*$D112^5+6*(X$10*$AU112^(-12*X$4-30))*$D112^6)/O112)</f>
        <v/>
      </c>
      <c r="Z112" s="19" t="str">
        <f t="shared" ref="Z112:Z161" si="138">IF($A112="","",((Y$5*$AU112^(-2*Y$4))*$D112+2*(Y$6*$AU112^(-4*Y$4-2))*$D112^2+3*(Y$7*$AU112^(-6*Y$4-6))*$D112^3+4*(Y$8*$AU112^(-8*Y$4-12))*$D112^4+5*(Y$9*$AU112^(-10*Y$4-20))*$D112^5+6*(Y$10*$AU112^(-12*Y$4-30))*$D112^6)/P112)</f>
        <v/>
      </c>
      <c r="AA112" s="19" t="str">
        <f t="shared" ref="AA112:AA161" si="139">IF($A112="","",((Z$5*$AU112^(-2*Z$4))*$D112+2*(Z$6*$AU112^(-4*Z$4-2))*$D112^2+3*(Z$7*$AU112^(-6*Z$4-6))*$D112^3+4*(Z$8*$AU112^(-8*Z$4-12))*$D112^4+5*(Z$9*$AU112^(-10*Z$4-20))*$D112^5+6*(Z$10*$AU112^(-12*Z$4-30))*$D112^6)/Q112)</f>
        <v/>
      </c>
      <c r="AB112" s="19" t="str">
        <f t="shared" ref="AB112:AB161" si="140">IF($A112="","",((AA$5*$AU112^(-2*AA$4))*$D112+2*(AA$6*$AU112^(-4*AA$4-2))*$D112^2+3*(AA$7*$AU112^(-6*AA$4-6))*$D112^3+4*(AA$8*$AU112^(-8*AA$4-12))*$D112^4+5*(AA$9*$AU112^(-10*AA$4-20))*$D112^5+6*(AA$10*$AU112^(-12*AA$4-30))*$D112^6)/R112)</f>
        <v/>
      </c>
      <c r="AC112" s="19" t="str">
        <f t="shared" ref="AC112:AC161" si="141">IF($A112="","",((AB$5*$AU112^(-2*AB$4))*$D112+2*(AB$6*$AU112^(-4*AB$4-2))*$D112^2+3*(AB$7*$AU112^(-6*AB$4-6))*$D112^3+4*(AB$8*$AU112^(-8*AB$4-12))*$D112^4+5*(AB$9*$AU112^(-10*AB$4-20))*$D112^5+6*(AB$10*$AU112^(-12*AB$4-30))*$D112^6)/S112)</f>
        <v/>
      </c>
      <c r="AD112" s="19" t="str">
        <f t="shared" ref="AD112:AD161" si="142">IF($A112="","",((AC$5*$AU112^(-2*AC$4))*$D112+2*(AC$6*$AU112^(-4*AC$4-2))*$D112^2)/T112)</f>
        <v/>
      </c>
      <c r="AE112" s="19" t="str">
        <f t="shared" ref="AE112:AE161" si="143">IF($A112="","",((AD$5*$AU112^(-2*AD$4))*$D112+2*(AD$6*$AU112^(-4*AD$4-2))*$D112^2)/U112)</f>
        <v/>
      </c>
      <c r="AF112" s="19" t="str">
        <f t="shared" ref="AF112:AF161" si="144">IF($A112="","",((AE$5*$AU112^(-2*AE$4))*$D112+2*(AE$6*$AU112^(-4*AE$4-2))*$D112^2)/V112)</f>
        <v/>
      </c>
      <c r="AG112" s="134" t="str">
        <f t="shared" ref="AG112:AG161" si="145">IF(B$11=0,"",IF($A112="","",0.5*B$11*$L112*(1*V$4^2+(V$5*$AU112^(-2*V$4))*$D112*(V$4+1)^2+(V$6*$AU112^(-4*V$4-2))*$D112^2*(V$4+2)^2+(V$7*$AU112^(-6*V$4-6))*$D112^3*(V$4+3)^2+(V$8*$AU112^(-8*V$4-12))*$D112^4*(V$4+4)^2+(V$9*$AU112^(-10*V$4-20))*$D112^5*(V$4+5)^2+(V$10*$AU112^(-12*V$4-30))*$D112^6*(V$4+6)^2)/M112))</f>
        <v/>
      </c>
      <c r="AH112" s="134" t="str">
        <f t="shared" ref="AH112:AH161" si="146">IF(C$11=0,"",IF($A112="","",0.5*C$11*$L112*(1*W$4^2+(W$5*$AU112^(-2*W$4))*$D112*(W$4+1)^2+(W$6*$AU112^(-4*W$4-2))*$D112^2*(W$4+2)^2+(W$7*$AU112^(-6*W$4-6))*$D112^3*(W$4+3)^2+(W$8*$AU112^(-8*W$4-12))*$D112^4*(W$4+4)^2+(W$9*$AU112^(-10*W$4-20))*$D112^5*(W$4+5)^2+(W$10*$AU112^(-12*W$4-30))*$D112^6*(W$4+6)^2)/N112))</f>
        <v/>
      </c>
      <c r="AI112" s="134" t="str">
        <f t="shared" ref="AI112:AI161" si="147">IF(D$11=0,"",IF($A112="","",0.5*D$11*$L112*(1*X$4^2+(X$5*$AU112^(-2*X$4))*$D112*(X$4+1)^2+(X$6*$AU112^(-4*X$4-2))*$D112^2*(X$4+2)^2+(X$7*$AU112^(-6*X$4-6))*$D112^3*(X$4+3)^2+(X$8*$AU112^(-8*X$4-12))*$D112^4*(X$4+4)^2+(X$9*$AU112^(-10*X$4-20))*$D112^5*(X$4+5)^2+(X$10*$AU112^(-12*X$4-30))*$D112^6*(X$4+6)^2)/O112))</f>
        <v/>
      </c>
      <c r="AJ112" s="134" t="str">
        <f t="shared" ref="AJ112:AJ161" si="148">IF(E$11=0,"",IF($A112="","",0.5*E$11*$L112*(1*Y$4^2+(Y$5*$AU112^(-2*Y$4))*$D112*(Y$4+1)^2+(Y$6*$AU112^(-4*Y$4-2))*$D112^2*(Y$4+2)^2+(Y$7*$AU112^(-6*Y$4-6))*$D112^3*(Y$4+3)^2+(Y$8*$AU112^(-8*Y$4-12))*$D112^4*(Y$4+4)^2+(Y$9*$AU112^(-10*Y$4-20))*$D112^5*(Y$4+5)^2+(Y$10*$AU112^(-12*Y$4-30))*$D112^6*(Y$4+6)^2)/P112))</f>
        <v/>
      </c>
      <c r="AK112" s="134" t="str">
        <f t="shared" ref="AK112:AK161" si="149">IF(F$11=0,"",IF($A112="","",0.5*F$11*$L112*(1*Z$4^2+(Z$5*$AU112^(-2*Z$4))*$D112*(Z$4+1)^2+(Z$6*$AU112^(-4*Z$4-2))*$D112^2*(Z$4+2)^2+(Z$7*$AU112^(-6*Z$4-6))*$D112^3*(Z$4+3)^2+(Z$8*$AU112^(-8*Z$4-12))*$D112^4*(Z$4+4)^2+(Z$9*$AU112^(-10*Z$4-20))*$D112^5*(Z$4+5)^2+(Z$10*$AU112^(-12*Z$4-30))*$D112^6*(Z$4+6)^2)/Q112))</f>
        <v/>
      </c>
      <c r="AL112" s="134" t="str">
        <f t="shared" ref="AL112:AL161" si="150">IF(G$11=0,"",IF($A112="","",0.5*G$11*$L112*(1*AA$4^2+(AA$5*$AU112^(-2*AA$4))*$D112*(AA$4+1)^2+(AA$6*$AU112^(-4*AA$4-2))*$D112^2*(AA$4+2)^2+(AA$7*$AU112^(-6*AA$4-6))*$D112^3*(AA$4+3)^2+(AA$8*$AU112^(-8*AA$4-12))*$D112^4*(AA$4+4)^2+(AA$9*$AU112^(-10*AA$4-20))*$D112^5*(AA$4+5)^2+(AA$10*$AU112^(-12*AA$4-30))*$D112^6*(AA$4+6)^2)/R112))</f>
        <v/>
      </c>
      <c r="AM112" s="134" t="str">
        <f t="shared" ref="AM112:AM161" si="151">IF(H$11=0,"",IF($A112="","",0.5*H$11*$L112*(1*AB$4^2+(AB$5*$AU112^(-2*AB$4))*$D112*(AB$4+1)^2+(AB$6*$AU112^(-4*AB$4-2))*$D112^2*(AB$4+2)^2+(AB$7*$AU112^(-6*AB$4-6))*$D112^3*(AB$4+3)^2+(AB$8*$AU112^(-8*AB$4-12))*$D112^4*(AB$4+4)^2+(AB$9*$AU112^(-10*AB$4-20))*$D112^5*(AB$4+5)^2+(AB$10*$AU112^(-12*AB$4-30))*$D112^6*(AB$4+6)^2)/S112))</f>
        <v/>
      </c>
      <c r="AN112" s="134" t="str">
        <f t="shared" ref="AN112:AN161" si="152">IF(B$18=0,"",IF($A112="","",0.5*B$18*$K112*(1*AC$4^2+(AC$5*$AU112^(-2*AC$4))*$D112*(AC$4+1)^2+(AC$6*$AU112^(-4*AC$4-2))*$D112^2*(AC$4+2)^2)/T112))</f>
        <v/>
      </c>
      <c r="AO112" s="134" t="str">
        <f t="shared" ref="AO112:AO161" si="153">IF(C$18=0,"",IF($A112="","",0.5*C$18*$K112*(1*AD$4^2+(AD$5*$AU112^(-2*AD$4))*$D112*(AD$4+1)^2+(AD$6*$AU112^(-4*AD$4-2))*$D112^2*(AD$4+2)^2)/U112))</f>
        <v/>
      </c>
      <c r="AP112" s="134" t="str">
        <f t="shared" ref="AP112:AP161" si="154">IF(D$18=0,"",IF($A112="","",0.5*D$18*$K112*(1*AE$4^2+(AE$5*$AU112^(-2*AE$4))*$D112*(AE$4+1)^2+(AE$6*$AU112^(-4*AE$4-2))*$D112^2*(AE$4+2)^2)/V112))</f>
        <v/>
      </c>
      <c r="AQ112" s="142" t="str">
        <f t="shared" si="114"/>
        <v/>
      </c>
      <c r="AR112" s="134" t="str">
        <f t="shared" si="115"/>
        <v/>
      </c>
      <c r="AS112" s="1042"/>
      <c r="AT112" s="468"/>
      <c r="AU112" s="143" t="str">
        <f t="shared" si="116"/>
        <v/>
      </c>
      <c r="AV112" s="17"/>
      <c r="AW112" s="136" t="str">
        <f t="shared" si="117"/>
        <v/>
      </c>
      <c r="AX112" s="17"/>
      <c r="AY112" s="27"/>
    </row>
    <row r="113" spans="2:51">
      <c r="B113" s="534"/>
      <c r="C113" s="136"/>
      <c r="D113" s="135" t="str">
        <f t="shared" si="119"/>
        <v/>
      </c>
      <c r="E113" s="135" t="str">
        <f t="shared" si="118"/>
        <v/>
      </c>
      <c r="F113" s="136" t="str">
        <f t="shared" si="112"/>
        <v/>
      </c>
      <c r="G113" s="134" t="str">
        <f t="shared" si="113"/>
        <v/>
      </c>
      <c r="H113" s="134" t="str">
        <f t="shared" si="120"/>
        <v/>
      </c>
      <c r="I113" s="135" t="str">
        <f t="shared" si="121"/>
        <v/>
      </c>
      <c r="J113" s="135" t="str">
        <f t="shared" si="122"/>
        <v/>
      </c>
      <c r="K113" s="136" t="str">
        <f t="shared" si="123"/>
        <v/>
      </c>
      <c r="L113" s="136" t="str">
        <f t="shared" si="124"/>
        <v/>
      </c>
      <c r="M113" s="134" t="str">
        <f t="shared" si="125"/>
        <v/>
      </c>
      <c r="N113" s="134" t="str">
        <f t="shared" si="126"/>
        <v/>
      </c>
      <c r="O113" s="134" t="str">
        <f t="shared" si="127"/>
        <v/>
      </c>
      <c r="P113" s="134" t="str">
        <f t="shared" si="128"/>
        <v/>
      </c>
      <c r="Q113" s="134" t="str">
        <f t="shared" si="129"/>
        <v/>
      </c>
      <c r="R113" s="134" t="str">
        <f t="shared" si="130"/>
        <v/>
      </c>
      <c r="S113" s="134" t="str">
        <f t="shared" si="131"/>
        <v/>
      </c>
      <c r="T113" s="134" t="str">
        <f t="shared" si="132"/>
        <v/>
      </c>
      <c r="U113" s="134" t="str">
        <f t="shared" si="133"/>
        <v/>
      </c>
      <c r="V113" s="134" t="str">
        <f t="shared" si="134"/>
        <v/>
      </c>
      <c r="W113" s="19" t="str">
        <f t="shared" si="135"/>
        <v/>
      </c>
      <c r="X113" s="19" t="str">
        <f t="shared" si="136"/>
        <v/>
      </c>
      <c r="Y113" s="19" t="str">
        <f t="shared" si="137"/>
        <v/>
      </c>
      <c r="Z113" s="19" t="str">
        <f t="shared" si="138"/>
        <v/>
      </c>
      <c r="AA113" s="19" t="str">
        <f t="shared" si="139"/>
        <v/>
      </c>
      <c r="AB113" s="19" t="str">
        <f t="shared" si="140"/>
        <v/>
      </c>
      <c r="AC113" s="19" t="str">
        <f t="shared" si="141"/>
        <v/>
      </c>
      <c r="AD113" s="19" t="str">
        <f t="shared" si="142"/>
        <v/>
      </c>
      <c r="AE113" s="19" t="str">
        <f t="shared" si="143"/>
        <v/>
      </c>
      <c r="AF113" s="19" t="str">
        <f t="shared" si="144"/>
        <v/>
      </c>
      <c r="AG113" s="134" t="str">
        <f t="shared" si="145"/>
        <v/>
      </c>
      <c r="AH113" s="134" t="str">
        <f t="shared" si="146"/>
        <v/>
      </c>
      <c r="AI113" s="134" t="str">
        <f t="shared" si="147"/>
        <v/>
      </c>
      <c r="AJ113" s="134" t="str">
        <f t="shared" si="148"/>
        <v/>
      </c>
      <c r="AK113" s="134" t="str">
        <f t="shared" si="149"/>
        <v/>
      </c>
      <c r="AL113" s="134" t="str">
        <f t="shared" si="150"/>
        <v/>
      </c>
      <c r="AM113" s="134" t="str">
        <f t="shared" si="151"/>
        <v/>
      </c>
      <c r="AN113" s="134" t="str">
        <f t="shared" si="152"/>
        <v/>
      </c>
      <c r="AO113" s="134" t="str">
        <f t="shared" si="153"/>
        <v/>
      </c>
      <c r="AP113" s="134" t="str">
        <f t="shared" si="154"/>
        <v/>
      </c>
      <c r="AQ113" s="142" t="str">
        <f t="shared" si="114"/>
        <v/>
      </c>
      <c r="AR113" s="134" t="str">
        <f t="shared" si="115"/>
        <v/>
      </c>
      <c r="AS113" s="1042"/>
      <c r="AT113" s="468"/>
      <c r="AU113" s="143" t="str">
        <f t="shared" si="116"/>
        <v/>
      </c>
      <c r="AV113" s="17"/>
      <c r="AW113" s="136" t="str">
        <f t="shared" si="117"/>
        <v/>
      </c>
      <c r="AX113" s="17"/>
      <c r="AY113" s="27"/>
    </row>
    <row r="114" spans="2:51">
      <c r="B114" s="534"/>
      <c r="C114" s="136"/>
      <c r="D114" s="135" t="str">
        <f t="shared" si="119"/>
        <v/>
      </c>
      <c r="E114" s="135" t="str">
        <f t="shared" si="118"/>
        <v/>
      </c>
      <c r="F114" s="136" t="str">
        <f t="shared" si="112"/>
        <v/>
      </c>
      <c r="G114" s="134" t="str">
        <f t="shared" si="113"/>
        <v/>
      </c>
      <c r="H114" s="134" t="str">
        <f t="shared" si="120"/>
        <v/>
      </c>
      <c r="I114" s="135" t="str">
        <f t="shared" si="121"/>
        <v/>
      </c>
      <c r="J114" s="135" t="str">
        <f t="shared" si="122"/>
        <v/>
      </c>
      <c r="K114" s="136" t="str">
        <f t="shared" si="123"/>
        <v/>
      </c>
      <c r="L114" s="136" t="str">
        <f t="shared" si="124"/>
        <v/>
      </c>
      <c r="M114" s="134" t="str">
        <f t="shared" si="125"/>
        <v/>
      </c>
      <c r="N114" s="134" t="str">
        <f t="shared" si="126"/>
        <v/>
      </c>
      <c r="O114" s="134" t="str">
        <f t="shared" si="127"/>
        <v/>
      </c>
      <c r="P114" s="134" t="str">
        <f t="shared" si="128"/>
        <v/>
      </c>
      <c r="Q114" s="134" t="str">
        <f t="shared" si="129"/>
        <v/>
      </c>
      <c r="R114" s="134" t="str">
        <f t="shared" si="130"/>
        <v/>
      </c>
      <c r="S114" s="134" t="str">
        <f t="shared" si="131"/>
        <v/>
      </c>
      <c r="T114" s="134" t="str">
        <f t="shared" si="132"/>
        <v/>
      </c>
      <c r="U114" s="134" t="str">
        <f t="shared" si="133"/>
        <v/>
      </c>
      <c r="V114" s="134" t="str">
        <f t="shared" si="134"/>
        <v/>
      </c>
      <c r="W114" s="19" t="str">
        <f t="shared" si="135"/>
        <v/>
      </c>
      <c r="X114" s="19" t="str">
        <f t="shared" si="136"/>
        <v/>
      </c>
      <c r="Y114" s="19" t="str">
        <f t="shared" si="137"/>
        <v/>
      </c>
      <c r="Z114" s="19" t="str">
        <f t="shared" si="138"/>
        <v/>
      </c>
      <c r="AA114" s="19" t="str">
        <f t="shared" si="139"/>
        <v/>
      </c>
      <c r="AB114" s="19" t="str">
        <f t="shared" si="140"/>
        <v/>
      </c>
      <c r="AC114" s="19" t="str">
        <f t="shared" si="141"/>
        <v/>
      </c>
      <c r="AD114" s="19" t="str">
        <f t="shared" si="142"/>
        <v/>
      </c>
      <c r="AE114" s="19" t="str">
        <f t="shared" si="143"/>
        <v/>
      </c>
      <c r="AF114" s="19" t="str">
        <f t="shared" si="144"/>
        <v/>
      </c>
      <c r="AG114" s="134" t="str">
        <f t="shared" si="145"/>
        <v/>
      </c>
      <c r="AH114" s="134" t="str">
        <f t="shared" si="146"/>
        <v/>
      </c>
      <c r="AI114" s="134" t="str">
        <f t="shared" si="147"/>
        <v/>
      </c>
      <c r="AJ114" s="134" t="str">
        <f t="shared" si="148"/>
        <v/>
      </c>
      <c r="AK114" s="134" t="str">
        <f t="shared" si="149"/>
        <v/>
      </c>
      <c r="AL114" s="134" t="str">
        <f t="shared" si="150"/>
        <v/>
      </c>
      <c r="AM114" s="134" t="str">
        <f t="shared" si="151"/>
        <v/>
      </c>
      <c r="AN114" s="134" t="str">
        <f t="shared" si="152"/>
        <v/>
      </c>
      <c r="AO114" s="134" t="str">
        <f t="shared" si="153"/>
        <v/>
      </c>
      <c r="AP114" s="134" t="str">
        <f t="shared" si="154"/>
        <v/>
      </c>
      <c r="AQ114" s="142" t="str">
        <f t="shared" si="114"/>
        <v/>
      </c>
      <c r="AR114" s="134" t="str">
        <f t="shared" si="115"/>
        <v/>
      </c>
      <c r="AS114" s="1042"/>
      <c r="AT114" s="468"/>
      <c r="AU114" s="143" t="str">
        <f t="shared" si="116"/>
        <v/>
      </c>
      <c r="AV114" s="17"/>
      <c r="AW114" s="136" t="str">
        <f t="shared" si="117"/>
        <v/>
      </c>
      <c r="AX114" s="17"/>
      <c r="AY114" s="27"/>
    </row>
    <row r="115" spans="2:51">
      <c r="B115" s="534"/>
      <c r="C115" s="136"/>
      <c r="D115" s="135" t="str">
        <f t="shared" si="119"/>
        <v/>
      </c>
      <c r="E115" s="135" t="str">
        <f t="shared" si="118"/>
        <v/>
      </c>
      <c r="F115" s="136" t="str">
        <f t="shared" si="112"/>
        <v/>
      </c>
      <c r="G115" s="134" t="str">
        <f t="shared" si="113"/>
        <v/>
      </c>
      <c r="H115" s="134" t="str">
        <f t="shared" si="120"/>
        <v/>
      </c>
      <c r="I115" s="135" t="str">
        <f t="shared" si="121"/>
        <v/>
      </c>
      <c r="J115" s="135" t="str">
        <f t="shared" si="122"/>
        <v/>
      </c>
      <c r="K115" s="136" t="str">
        <f t="shared" si="123"/>
        <v/>
      </c>
      <c r="L115" s="136" t="str">
        <f t="shared" si="124"/>
        <v/>
      </c>
      <c r="M115" s="134" t="str">
        <f t="shared" si="125"/>
        <v/>
      </c>
      <c r="N115" s="134" t="str">
        <f t="shared" si="126"/>
        <v/>
      </c>
      <c r="O115" s="134" t="str">
        <f t="shared" si="127"/>
        <v/>
      </c>
      <c r="P115" s="134" t="str">
        <f t="shared" si="128"/>
        <v/>
      </c>
      <c r="Q115" s="134" t="str">
        <f t="shared" si="129"/>
        <v/>
      </c>
      <c r="R115" s="134" t="str">
        <f t="shared" si="130"/>
        <v/>
      </c>
      <c r="S115" s="134" t="str">
        <f t="shared" si="131"/>
        <v/>
      </c>
      <c r="T115" s="134" t="str">
        <f t="shared" si="132"/>
        <v/>
      </c>
      <c r="U115" s="134" t="str">
        <f t="shared" si="133"/>
        <v/>
      </c>
      <c r="V115" s="134" t="str">
        <f t="shared" si="134"/>
        <v/>
      </c>
      <c r="W115" s="19" t="str">
        <f t="shared" si="135"/>
        <v/>
      </c>
      <c r="X115" s="19" t="str">
        <f t="shared" si="136"/>
        <v/>
      </c>
      <c r="Y115" s="19" t="str">
        <f t="shared" si="137"/>
        <v/>
      </c>
      <c r="Z115" s="19" t="str">
        <f t="shared" si="138"/>
        <v/>
      </c>
      <c r="AA115" s="19" t="str">
        <f t="shared" si="139"/>
        <v/>
      </c>
      <c r="AB115" s="19" t="str">
        <f t="shared" si="140"/>
        <v/>
      </c>
      <c r="AC115" s="19" t="str">
        <f t="shared" si="141"/>
        <v/>
      </c>
      <c r="AD115" s="19" t="str">
        <f t="shared" si="142"/>
        <v/>
      </c>
      <c r="AE115" s="19" t="str">
        <f t="shared" si="143"/>
        <v/>
      </c>
      <c r="AF115" s="19" t="str">
        <f t="shared" si="144"/>
        <v/>
      </c>
      <c r="AG115" s="134" t="str">
        <f t="shared" si="145"/>
        <v/>
      </c>
      <c r="AH115" s="134" t="str">
        <f t="shared" si="146"/>
        <v/>
      </c>
      <c r="AI115" s="134" t="str">
        <f t="shared" si="147"/>
        <v/>
      </c>
      <c r="AJ115" s="134" t="str">
        <f t="shared" si="148"/>
        <v/>
      </c>
      <c r="AK115" s="134" t="str">
        <f t="shared" si="149"/>
        <v/>
      </c>
      <c r="AL115" s="134" t="str">
        <f t="shared" si="150"/>
        <v/>
      </c>
      <c r="AM115" s="134" t="str">
        <f t="shared" si="151"/>
        <v/>
      </c>
      <c r="AN115" s="134" t="str">
        <f t="shared" si="152"/>
        <v/>
      </c>
      <c r="AO115" s="134" t="str">
        <f t="shared" si="153"/>
        <v/>
      </c>
      <c r="AP115" s="134" t="str">
        <f t="shared" si="154"/>
        <v/>
      </c>
      <c r="AQ115" s="142" t="str">
        <f t="shared" si="114"/>
        <v/>
      </c>
      <c r="AR115" s="134" t="str">
        <f t="shared" si="115"/>
        <v/>
      </c>
      <c r="AS115" s="1042"/>
      <c r="AT115" s="468"/>
      <c r="AU115" s="143" t="str">
        <f t="shared" si="116"/>
        <v/>
      </c>
      <c r="AV115" s="17"/>
      <c r="AW115" s="136" t="str">
        <f t="shared" si="117"/>
        <v/>
      </c>
      <c r="AX115" s="17"/>
      <c r="AY115" s="27"/>
    </row>
    <row r="116" spans="2:51">
      <c r="B116" s="534"/>
      <c r="C116" s="136"/>
      <c r="D116" s="135" t="str">
        <f t="shared" si="119"/>
        <v/>
      </c>
      <c r="E116" s="135" t="str">
        <f t="shared" si="118"/>
        <v/>
      </c>
      <c r="F116" s="136" t="str">
        <f t="shared" si="112"/>
        <v/>
      </c>
      <c r="G116" s="134" t="str">
        <f t="shared" si="113"/>
        <v/>
      </c>
      <c r="H116" s="134" t="str">
        <f t="shared" si="120"/>
        <v/>
      </c>
      <c r="I116" s="135" t="str">
        <f t="shared" si="121"/>
        <v/>
      </c>
      <c r="J116" s="135" t="str">
        <f t="shared" si="122"/>
        <v/>
      </c>
      <c r="K116" s="136" t="str">
        <f t="shared" si="123"/>
        <v/>
      </c>
      <c r="L116" s="136" t="str">
        <f t="shared" si="124"/>
        <v/>
      </c>
      <c r="M116" s="134" t="str">
        <f t="shared" si="125"/>
        <v/>
      </c>
      <c r="N116" s="134" t="str">
        <f t="shared" si="126"/>
        <v/>
      </c>
      <c r="O116" s="134" t="str">
        <f t="shared" si="127"/>
        <v/>
      </c>
      <c r="P116" s="134" t="str">
        <f t="shared" si="128"/>
        <v/>
      </c>
      <c r="Q116" s="134" t="str">
        <f t="shared" si="129"/>
        <v/>
      </c>
      <c r="R116" s="134" t="str">
        <f t="shared" si="130"/>
        <v/>
      </c>
      <c r="S116" s="134" t="str">
        <f t="shared" si="131"/>
        <v/>
      </c>
      <c r="T116" s="134" t="str">
        <f t="shared" si="132"/>
        <v/>
      </c>
      <c r="U116" s="134" t="str">
        <f t="shared" si="133"/>
        <v/>
      </c>
      <c r="V116" s="134" t="str">
        <f t="shared" si="134"/>
        <v/>
      </c>
      <c r="W116" s="19" t="str">
        <f t="shared" si="135"/>
        <v/>
      </c>
      <c r="X116" s="19" t="str">
        <f t="shared" si="136"/>
        <v/>
      </c>
      <c r="Y116" s="19" t="str">
        <f t="shared" si="137"/>
        <v/>
      </c>
      <c r="Z116" s="19" t="str">
        <f t="shared" si="138"/>
        <v/>
      </c>
      <c r="AA116" s="19" t="str">
        <f t="shared" si="139"/>
        <v/>
      </c>
      <c r="AB116" s="19" t="str">
        <f t="shared" si="140"/>
        <v/>
      </c>
      <c r="AC116" s="19" t="str">
        <f t="shared" si="141"/>
        <v/>
      </c>
      <c r="AD116" s="19" t="str">
        <f t="shared" si="142"/>
        <v/>
      </c>
      <c r="AE116" s="19" t="str">
        <f t="shared" si="143"/>
        <v/>
      </c>
      <c r="AF116" s="19" t="str">
        <f t="shared" si="144"/>
        <v/>
      </c>
      <c r="AG116" s="134" t="str">
        <f t="shared" si="145"/>
        <v/>
      </c>
      <c r="AH116" s="134" t="str">
        <f t="shared" si="146"/>
        <v/>
      </c>
      <c r="AI116" s="134" t="str">
        <f t="shared" si="147"/>
        <v/>
      </c>
      <c r="AJ116" s="134" t="str">
        <f t="shared" si="148"/>
        <v/>
      </c>
      <c r="AK116" s="134" t="str">
        <f t="shared" si="149"/>
        <v/>
      </c>
      <c r="AL116" s="134" t="str">
        <f t="shared" si="150"/>
        <v/>
      </c>
      <c r="AM116" s="134" t="str">
        <f t="shared" si="151"/>
        <v/>
      </c>
      <c r="AN116" s="134" t="str">
        <f t="shared" si="152"/>
        <v/>
      </c>
      <c r="AO116" s="134" t="str">
        <f t="shared" si="153"/>
        <v/>
      </c>
      <c r="AP116" s="134" t="str">
        <f t="shared" si="154"/>
        <v/>
      </c>
      <c r="AQ116" s="142" t="str">
        <f t="shared" si="114"/>
        <v/>
      </c>
      <c r="AR116" s="134" t="str">
        <f t="shared" si="115"/>
        <v/>
      </c>
      <c r="AS116" s="1042"/>
      <c r="AT116" s="468"/>
      <c r="AU116" s="143" t="str">
        <f t="shared" si="116"/>
        <v/>
      </c>
      <c r="AV116" s="17"/>
      <c r="AW116" s="136" t="str">
        <f t="shared" si="117"/>
        <v/>
      </c>
      <c r="AX116" s="17"/>
      <c r="AY116" s="27"/>
    </row>
    <row r="117" spans="2:51">
      <c r="B117" s="534"/>
      <c r="C117" s="136"/>
      <c r="D117" s="135" t="str">
        <f t="shared" si="119"/>
        <v/>
      </c>
      <c r="E117" s="135" t="str">
        <f t="shared" si="118"/>
        <v/>
      </c>
      <c r="F117" s="136" t="str">
        <f t="shared" si="112"/>
        <v/>
      </c>
      <c r="G117" s="134" t="str">
        <f t="shared" si="113"/>
        <v/>
      </c>
      <c r="H117" s="134" t="str">
        <f t="shared" si="120"/>
        <v/>
      </c>
      <c r="I117" s="135" t="str">
        <f t="shared" si="121"/>
        <v/>
      </c>
      <c r="J117" s="135" t="str">
        <f t="shared" si="122"/>
        <v/>
      </c>
      <c r="K117" s="136" t="str">
        <f t="shared" si="123"/>
        <v/>
      </c>
      <c r="L117" s="136" t="str">
        <f t="shared" si="124"/>
        <v/>
      </c>
      <c r="M117" s="134" t="str">
        <f t="shared" si="125"/>
        <v/>
      </c>
      <c r="N117" s="134" t="str">
        <f t="shared" si="126"/>
        <v/>
      </c>
      <c r="O117" s="134" t="str">
        <f t="shared" si="127"/>
        <v/>
      </c>
      <c r="P117" s="134" t="str">
        <f t="shared" si="128"/>
        <v/>
      </c>
      <c r="Q117" s="134" t="str">
        <f t="shared" si="129"/>
        <v/>
      </c>
      <c r="R117" s="134" t="str">
        <f t="shared" si="130"/>
        <v/>
      </c>
      <c r="S117" s="134" t="str">
        <f t="shared" si="131"/>
        <v/>
      </c>
      <c r="T117" s="134" t="str">
        <f t="shared" si="132"/>
        <v/>
      </c>
      <c r="U117" s="134" t="str">
        <f t="shared" si="133"/>
        <v/>
      </c>
      <c r="V117" s="134" t="str">
        <f t="shared" si="134"/>
        <v/>
      </c>
      <c r="W117" s="19" t="str">
        <f t="shared" si="135"/>
        <v/>
      </c>
      <c r="X117" s="19" t="str">
        <f t="shared" si="136"/>
        <v/>
      </c>
      <c r="Y117" s="19" t="str">
        <f t="shared" si="137"/>
        <v/>
      </c>
      <c r="Z117" s="19" t="str">
        <f t="shared" si="138"/>
        <v/>
      </c>
      <c r="AA117" s="19" t="str">
        <f t="shared" si="139"/>
        <v/>
      </c>
      <c r="AB117" s="19" t="str">
        <f t="shared" si="140"/>
        <v/>
      </c>
      <c r="AC117" s="19" t="str">
        <f t="shared" si="141"/>
        <v/>
      </c>
      <c r="AD117" s="19" t="str">
        <f t="shared" si="142"/>
        <v/>
      </c>
      <c r="AE117" s="19" t="str">
        <f t="shared" si="143"/>
        <v/>
      </c>
      <c r="AF117" s="19" t="str">
        <f t="shared" si="144"/>
        <v/>
      </c>
      <c r="AG117" s="134" t="str">
        <f t="shared" si="145"/>
        <v/>
      </c>
      <c r="AH117" s="134" t="str">
        <f t="shared" si="146"/>
        <v/>
      </c>
      <c r="AI117" s="134" t="str">
        <f t="shared" si="147"/>
        <v/>
      </c>
      <c r="AJ117" s="134" t="str">
        <f t="shared" si="148"/>
        <v/>
      </c>
      <c r="AK117" s="134" t="str">
        <f t="shared" si="149"/>
        <v/>
      </c>
      <c r="AL117" s="134" t="str">
        <f t="shared" si="150"/>
        <v/>
      </c>
      <c r="AM117" s="134" t="str">
        <f t="shared" si="151"/>
        <v/>
      </c>
      <c r="AN117" s="134" t="str">
        <f t="shared" si="152"/>
        <v/>
      </c>
      <c r="AO117" s="134" t="str">
        <f t="shared" si="153"/>
        <v/>
      </c>
      <c r="AP117" s="134" t="str">
        <f t="shared" si="154"/>
        <v/>
      </c>
      <c r="AQ117" s="142" t="str">
        <f t="shared" si="114"/>
        <v/>
      </c>
      <c r="AR117" s="134" t="str">
        <f t="shared" si="115"/>
        <v/>
      </c>
      <c r="AS117" s="1042"/>
      <c r="AT117" s="468"/>
      <c r="AU117" s="143" t="str">
        <f t="shared" si="116"/>
        <v/>
      </c>
      <c r="AV117" s="17"/>
      <c r="AW117" s="136" t="str">
        <f t="shared" si="117"/>
        <v/>
      </c>
      <c r="AX117" s="17"/>
      <c r="AY117" s="27"/>
    </row>
    <row r="118" spans="2:51">
      <c r="B118" s="534"/>
      <c r="C118" s="136"/>
      <c r="D118" s="135" t="str">
        <f t="shared" si="119"/>
        <v/>
      </c>
      <c r="E118" s="135" t="str">
        <f t="shared" si="118"/>
        <v/>
      </c>
      <c r="F118" s="136" t="str">
        <f t="shared" si="112"/>
        <v/>
      </c>
      <c r="G118" s="134" t="str">
        <f t="shared" si="113"/>
        <v/>
      </c>
      <c r="H118" s="134" t="str">
        <f t="shared" si="120"/>
        <v/>
      </c>
      <c r="I118" s="135" t="str">
        <f t="shared" si="121"/>
        <v/>
      </c>
      <c r="J118" s="135" t="str">
        <f t="shared" si="122"/>
        <v/>
      </c>
      <c r="K118" s="136" t="str">
        <f t="shared" si="123"/>
        <v/>
      </c>
      <c r="L118" s="136" t="str">
        <f t="shared" si="124"/>
        <v/>
      </c>
      <c r="M118" s="134" t="str">
        <f t="shared" si="125"/>
        <v/>
      </c>
      <c r="N118" s="134" t="str">
        <f t="shared" si="126"/>
        <v/>
      </c>
      <c r="O118" s="134" t="str">
        <f t="shared" si="127"/>
        <v/>
      </c>
      <c r="P118" s="134" t="str">
        <f t="shared" si="128"/>
        <v/>
      </c>
      <c r="Q118" s="134" t="str">
        <f t="shared" si="129"/>
        <v/>
      </c>
      <c r="R118" s="134" t="str">
        <f t="shared" si="130"/>
        <v/>
      </c>
      <c r="S118" s="134" t="str">
        <f t="shared" si="131"/>
        <v/>
      </c>
      <c r="T118" s="134" t="str">
        <f t="shared" si="132"/>
        <v/>
      </c>
      <c r="U118" s="134" t="str">
        <f t="shared" si="133"/>
        <v/>
      </c>
      <c r="V118" s="134" t="str">
        <f t="shared" si="134"/>
        <v/>
      </c>
      <c r="W118" s="19" t="str">
        <f t="shared" si="135"/>
        <v/>
      </c>
      <c r="X118" s="19" t="str">
        <f t="shared" si="136"/>
        <v/>
      </c>
      <c r="Y118" s="19" t="str">
        <f t="shared" si="137"/>
        <v/>
      </c>
      <c r="Z118" s="19" t="str">
        <f t="shared" si="138"/>
        <v/>
      </c>
      <c r="AA118" s="19" t="str">
        <f t="shared" si="139"/>
        <v/>
      </c>
      <c r="AB118" s="19" t="str">
        <f t="shared" si="140"/>
        <v/>
      </c>
      <c r="AC118" s="19" t="str">
        <f t="shared" si="141"/>
        <v/>
      </c>
      <c r="AD118" s="19" t="str">
        <f t="shared" si="142"/>
        <v/>
      </c>
      <c r="AE118" s="19" t="str">
        <f t="shared" si="143"/>
        <v/>
      </c>
      <c r="AF118" s="19" t="str">
        <f t="shared" si="144"/>
        <v/>
      </c>
      <c r="AG118" s="134" t="str">
        <f t="shared" si="145"/>
        <v/>
      </c>
      <c r="AH118" s="134" t="str">
        <f t="shared" si="146"/>
        <v/>
      </c>
      <c r="AI118" s="134" t="str">
        <f t="shared" si="147"/>
        <v/>
      </c>
      <c r="AJ118" s="134" t="str">
        <f t="shared" si="148"/>
        <v/>
      </c>
      <c r="AK118" s="134" t="str">
        <f t="shared" si="149"/>
        <v/>
      </c>
      <c r="AL118" s="134" t="str">
        <f t="shared" si="150"/>
        <v/>
      </c>
      <c r="AM118" s="134" t="str">
        <f t="shared" si="151"/>
        <v/>
      </c>
      <c r="AN118" s="134" t="str">
        <f t="shared" si="152"/>
        <v/>
      </c>
      <c r="AO118" s="134" t="str">
        <f t="shared" si="153"/>
        <v/>
      </c>
      <c r="AP118" s="134" t="str">
        <f t="shared" si="154"/>
        <v/>
      </c>
      <c r="AQ118" s="142" t="str">
        <f t="shared" si="114"/>
        <v/>
      </c>
      <c r="AR118" s="134" t="str">
        <f t="shared" si="115"/>
        <v/>
      </c>
      <c r="AS118" s="1042"/>
      <c r="AT118" s="468"/>
      <c r="AU118" s="143" t="str">
        <f t="shared" si="116"/>
        <v/>
      </c>
      <c r="AV118" s="17"/>
      <c r="AW118" s="136" t="str">
        <f t="shared" si="117"/>
        <v/>
      </c>
      <c r="AX118" s="17"/>
      <c r="AY118" s="27"/>
    </row>
    <row r="119" spans="2:51">
      <c r="B119" s="534"/>
      <c r="C119" s="136"/>
      <c r="D119" s="135" t="str">
        <f t="shared" si="119"/>
        <v/>
      </c>
      <c r="E119" s="135" t="str">
        <f t="shared" si="118"/>
        <v/>
      </c>
      <c r="F119" s="136" t="str">
        <f t="shared" si="112"/>
        <v/>
      </c>
      <c r="G119" s="134" t="str">
        <f t="shared" si="113"/>
        <v/>
      </c>
      <c r="H119" s="134" t="str">
        <f t="shared" si="120"/>
        <v/>
      </c>
      <c r="I119" s="135" t="str">
        <f t="shared" si="121"/>
        <v/>
      </c>
      <c r="J119" s="135" t="str">
        <f t="shared" si="122"/>
        <v/>
      </c>
      <c r="K119" s="136" t="str">
        <f t="shared" si="123"/>
        <v/>
      </c>
      <c r="L119" s="136" t="str">
        <f t="shared" si="124"/>
        <v/>
      </c>
      <c r="M119" s="134" t="str">
        <f t="shared" si="125"/>
        <v/>
      </c>
      <c r="N119" s="134" t="str">
        <f t="shared" si="126"/>
        <v/>
      </c>
      <c r="O119" s="134" t="str">
        <f t="shared" si="127"/>
        <v/>
      </c>
      <c r="P119" s="134" t="str">
        <f t="shared" si="128"/>
        <v/>
      </c>
      <c r="Q119" s="134" t="str">
        <f t="shared" si="129"/>
        <v/>
      </c>
      <c r="R119" s="134" t="str">
        <f t="shared" si="130"/>
        <v/>
      </c>
      <c r="S119" s="134" t="str">
        <f t="shared" si="131"/>
        <v/>
      </c>
      <c r="T119" s="134" t="str">
        <f t="shared" si="132"/>
        <v/>
      </c>
      <c r="U119" s="134" t="str">
        <f t="shared" si="133"/>
        <v/>
      </c>
      <c r="V119" s="134" t="str">
        <f t="shared" si="134"/>
        <v/>
      </c>
      <c r="W119" s="19" t="str">
        <f t="shared" si="135"/>
        <v/>
      </c>
      <c r="X119" s="19" t="str">
        <f t="shared" si="136"/>
        <v/>
      </c>
      <c r="Y119" s="19" t="str">
        <f t="shared" si="137"/>
        <v/>
      </c>
      <c r="Z119" s="19" t="str">
        <f t="shared" si="138"/>
        <v/>
      </c>
      <c r="AA119" s="19" t="str">
        <f t="shared" si="139"/>
        <v/>
      </c>
      <c r="AB119" s="19" t="str">
        <f t="shared" si="140"/>
        <v/>
      </c>
      <c r="AC119" s="19" t="str">
        <f t="shared" si="141"/>
        <v/>
      </c>
      <c r="AD119" s="19" t="str">
        <f t="shared" si="142"/>
        <v/>
      </c>
      <c r="AE119" s="19" t="str">
        <f t="shared" si="143"/>
        <v/>
      </c>
      <c r="AF119" s="19" t="str">
        <f t="shared" si="144"/>
        <v/>
      </c>
      <c r="AG119" s="134" t="str">
        <f t="shared" si="145"/>
        <v/>
      </c>
      <c r="AH119" s="134" t="str">
        <f t="shared" si="146"/>
        <v/>
      </c>
      <c r="AI119" s="134" t="str">
        <f t="shared" si="147"/>
        <v/>
      </c>
      <c r="AJ119" s="134" t="str">
        <f t="shared" si="148"/>
        <v/>
      </c>
      <c r="AK119" s="134" t="str">
        <f t="shared" si="149"/>
        <v/>
      </c>
      <c r="AL119" s="134" t="str">
        <f t="shared" si="150"/>
        <v/>
      </c>
      <c r="AM119" s="134" t="str">
        <f t="shared" si="151"/>
        <v/>
      </c>
      <c r="AN119" s="134" t="str">
        <f t="shared" si="152"/>
        <v/>
      </c>
      <c r="AO119" s="134" t="str">
        <f t="shared" si="153"/>
        <v/>
      </c>
      <c r="AP119" s="134" t="str">
        <f t="shared" si="154"/>
        <v/>
      </c>
      <c r="AQ119" s="142" t="str">
        <f t="shared" si="114"/>
        <v/>
      </c>
      <c r="AR119" s="134" t="str">
        <f t="shared" si="115"/>
        <v/>
      </c>
      <c r="AS119" s="1042"/>
      <c r="AT119" s="468"/>
      <c r="AU119" s="143" t="str">
        <f t="shared" si="116"/>
        <v/>
      </c>
      <c r="AV119" s="17"/>
      <c r="AW119" s="136" t="str">
        <f t="shared" si="117"/>
        <v/>
      </c>
      <c r="AX119" s="17"/>
      <c r="AY119" s="27"/>
    </row>
    <row r="120" spans="2:51">
      <c r="B120" s="534"/>
      <c r="C120" s="136"/>
      <c r="D120" s="135" t="str">
        <f t="shared" si="119"/>
        <v/>
      </c>
      <c r="E120" s="135" t="str">
        <f t="shared" si="118"/>
        <v/>
      </c>
      <c r="F120" s="136" t="str">
        <f t="shared" si="112"/>
        <v/>
      </c>
      <c r="G120" s="134" t="str">
        <f t="shared" si="113"/>
        <v/>
      </c>
      <c r="H120" s="134" t="str">
        <f t="shared" si="120"/>
        <v/>
      </c>
      <c r="I120" s="135" t="str">
        <f t="shared" si="121"/>
        <v/>
      </c>
      <c r="J120" s="135" t="str">
        <f t="shared" si="122"/>
        <v/>
      </c>
      <c r="K120" s="136" t="str">
        <f t="shared" si="123"/>
        <v/>
      </c>
      <c r="L120" s="136" t="str">
        <f t="shared" si="124"/>
        <v/>
      </c>
      <c r="M120" s="134" t="str">
        <f t="shared" si="125"/>
        <v/>
      </c>
      <c r="N120" s="134" t="str">
        <f t="shared" si="126"/>
        <v/>
      </c>
      <c r="O120" s="134" t="str">
        <f t="shared" si="127"/>
        <v/>
      </c>
      <c r="P120" s="134" t="str">
        <f t="shared" si="128"/>
        <v/>
      </c>
      <c r="Q120" s="134" t="str">
        <f t="shared" si="129"/>
        <v/>
      </c>
      <c r="R120" s="134" t="str">
        <f t="shared" si="130"/>
        <v/>
      </c>
      <c r="S120" s="134" t="str">
        <f t="shared" si="131"/>
        <v/>
      </c>
      <c r="T120" s="134" t="str">
        <f t="shared" si="132"/>
        <v/>
      </c>
      <c r="U120" s="134" t="str">
        <f t="shared" si="133"/>
        <v/>
      </c>
      <c r="V120" s="134" t="str">
        <f t="shared" si="134"/>
        <v/>
      </c>
      <c r="W120" s="19" t="str">
        <f t="shared" si="135"/>
        <v/>
      </c>
      <c r="X120" s="19" t="str">
        <f t="shared" si="136"/>
        <v/>
      </c>
      <c r="Y120" s="19" t="str">
        <f t="shared" si="137"/>
        <v/>
      </c>
      <c r="Z120" s="19" t="str">
        <f t="shared" si="138"/>
        <v/>
      </c>
      <c r="AA120" s="19" t="str">
        <f t="shared" si="139"/>
        <v/>
      </c>
      <c r="AB120" s="19" t="str">
        <f t="shared" si="140"/>
        <v/>
      </c>
      <c r="AC120" s="19" t="str">
        <f t="shared" si="141"/>
        <v/>
      </c>
      <c r="AD120" s="19" t="str">
        <f t="shared" si="142"/>
        <v/>
      </c>
      <c r="AE120" s="19" t="str">
        <f t="shared" si="143"/>
        <v/>
      </c>
      <c r="AF120" s="19" t="str">
        <f t="shared" si="144"/>
        <v/>
      </c>
      <c r="AG120" s="134" t="str">
        <f t="shared" si="145"/>
        <v/>
      </c>
      <c r="AH120" s="134" t="str">
        <f t="shared" si="146"/>
        <v/>
      </c>
      <c r="AI120" s="134" t="str">
        <f t="shared" si="147"/>
        <v/>
      </c>
      <c r="AJ120" s="134" t="str">
        <f t="shared" si="148"/>
        <v/>
      </c>
      <c r="AK120" s="134" t="str">
        <f t="shared" si="149"/>
        <v/>
      </c>
      <c r="AL120" s="134" t="str">
        <f t="shared" si="150"/>
        <v/>
      </c>
      <c r="AM120" s="134" t="str">
        <f t="shared" si="151"/>
        <v/>
      </c>
      <c r="AN120" s="134" t="str">
        <f t="shared" si="152"/>
        <v/>
      </c>
      <c r="AO120" s="134" t="str">
        <f t="shared" si="153"/>
        <v/>
      </c>
      <c r="AP120" s="134" t="str">
        <f t="shared" si="154"/>
        <v/>
      </c>
      <c r="AQ120" s="142" t="str">
        <f t="shared" si="114"/>
        <v/>
      </c>
      <c r="AR120" s="134" t="str">
        <f t="shared" si="115"/>
        <v/>
      </c>
      <c r="AS120" s="1042"/>
      <c r="AT120" s="468"/>
      <c r="AU120" s="143" t="str">
        <f t="shared" si="116"/>
        <v/>
      </c>
      <c r="AV120" s="17"/>
      <c r="AW120" s="136" t="str">
        <f t="shared" si="117"/>
        <v/>
      </c>
      <c r="AX120" s="17"/>
      <c r="AY120" s="27"/>
    </row>
    <row r="121" spans="2:51">
      <c r="B121" s="534"/>
      <c r="C121" s="136"/>
      <c r="D121" s="135" t="str">
        <f t="shared" si="119"/>
        <v/>
      </c>
      <c r="E121" s="135" t="str">
        <f t="shared" si="118"/>
        <v/>
      </c>
      <c r="F121" s="136" t="str">
        <f t="shared" si="112"/>
        <v/>
      </c>
      <c r="G121" s="134" t="str">
        <f t="shared" si="113"/>
        <v/>
      </c>
      <c r="H121" s="134" t="str">
        <f t="shared" si="120"/>
        <v/>
      </c>
      <c r="I121" s="135" t="str">
        <f t="shared" si="121"/>
        <v/>
      </c>
      <c r="J121" s="135" t="str">
        <f t="shared" si="122"/>
        <v/>
      </c>
      <c r="K121" s="136" t="str">
        <f t="shared" si="123"/>
        <v/>
      </c>
      <c r="L121" s="136" t="str">
        <f t="shared" si="124"/>
        <v/>
      </c>
      <c r="M121" s="134" t="str">
        <f t="shared" si="125"/>
        <v/>
      </c>
      <c r="N121" s="134" t="str">
        <f t="shared" si="126"/>
        <v/>
      </c>
      <c r="O121" s="134" t="str">
        <f t="shared" si="127"/>
        <v/>
      </c>
      <c r="P121" s="134" t="str">
        <f t="shared" si="128"/>
        <v/>
      </c>
      <c r="Q121" s="134" t="str">
        <f t="shared" si="129"/>
        <v/>
      </c>
      <c r="R121" s="134" t="str">
        <f t="shared" si="130"/>
        <v/>
      </c>
      <c r="S121" s="134" t="str">
        <f t="shared" si="131"/>
        <v/>
      </c>
      <c r="T121" s="134" t="str">
        <f t="shared" si="132"/>
        <v/>
      </c>
      <c r="U121" s="134" t="str">
        <f t="shared" si="133"/>
        <v/>
      </c>
      <c r="V121" s="134" t="str">
        <f t="shared" si="134"/>
        <v/>
      </c>
      <c r="W121" s="19" t="str">
        <f t="shared" si="135"/>
        <v/>
      </c>
      <c r="X121" s="19" t="str">
        <f t="shared" si="136"/>
        <v/>
      </c>
      <c r="Y121" s="19" t="str">
        <f t="shared" si="137"/>
        <v/>
      </c>
      <c r="Z121" s="19" t="str">
        <f t="shared" si="138"/>
        <v/>
      </c>
      <c r="AA121" s="19" t="str">
        <f t="shared" si="139"/>
        <v/>
      </c>
      <c r="AB121" s="19" t="str">
        <f t="shared" si="140"/>
        <v/>
      </c>
      <c r="AC121" s="19" t="str">
        <f t="shared" si="141"/>
        <v/>
      </c>
      <c r="AD121" s="19" t="str">
        <f t="shared" si="142"/>
        <v/>
      </c>
      <c r="AE121" s="19" t="str">
        <f t="shared" si="143"/>
        <v/>
      </c>
      <c r="AF121" s="19" t="str">
        <f t="shared" si="144"/>
        <v/>
      </c>
      <c r="AG121" s="134" t="str">
        <f t="shared" si="145"/>
        <v/>
      </c>
      <c r="AH121" s="134" t="str">
        <f t="shared" si="146"/>
        <v/>
      </c>
      <c r="AI121" s="134" t="str">
        <f t="shared" si="147"/>
        <v/>
      </c>
      <c r="AJ121" s="134" t="str">
        <f t="shared" si="148"/>
        <v/>
      </c>
      <c r="AK121" s="134" t="str">
        <f t="shared" si="149"/>
        <v/>
      </c>
      <c r="AL121" s="134" t="str">
        <f t="shared" si="150"/>
        <v/>
      </c>
      <c r="AM121" s="134" t="str">
        <f t="shared" si="151"/>
        <v/>
      </c>
      <c r="AN121" s="134" t="str">
        <f t="shared" si="152"/>
        <v/>
      </c>
      <c r="AO121" s="134" t="str">
        <f t="shared" si="153"/>
        <v/>
      </c>
      <c r="AP121" s="134" t="str">
        <f t="shared" si="154"/>
        <v/>
      </c>
      <c r="AQ121" s="142" t="str">
        <f t="shared" si="114"/>
        <v/>
      </c>
      <c r="AR121" s="134" t="str">
        <f t="shared" si="115"/>
        <v/>
      </c>
      <c r="AS121" s="1042"/>
      <c r="AT121" s="468"/>
      <c r="AU121" s="143" t="str">
        <f t="shared" si="116"/>
        <v/>
      </c>
      <c r="AV121" s="17"/>
      <c r="AW121" s="136" t="str">
        <f t="shared" si="117"/>
        <v/>
      </c>
      <c r="AX121" s="17"/>
      <c r="AY121" s="27"/>
    </row>
    <row r="122" spans="2:51">
      <c r="B122" s="534"/>
      <c r="C122" s="136"/>
      <c r="D122" s="135" t="str">
        <f t="shared" si="119"/>
        <v/>
      </c>
      <c r="E122" s="135" t="str">
        <f t="shared" si="118"/>
        <v/>
      </c>
      <c r="F122" s="136" t="str">
        <f t="shared" si="112"/>
        <v/>
      </c>
      <c r="G122" s="134" t="str">
        <f t="shared" si="113"/>
        <v/>
      </c>
      <c r="H122" s="134" t="str">
        <f t="shared" si="120"/>
        <v/>
      </c>
      <c r="I122" s="135" t="str">
        <f t="shared" si="121"/>
        <v/>
      </c>
      <c r="J122" s="135" t="str">
        <f t="shared" si="122"/>
        <v/>
      </c>
      <c r="K122" s="136" t="str">
        <f t="shared" si="123"/>
        <v/>
      </c>
      <c r="L122" s="136" t="str">
        <f t="shared" si="124"/>
        <v/>
      </c>
      <c r="M122" s="134" t="str">
        <f t="shared" si="125"/>
        <v/>
      </c>
      <c r="N122" s="134" t="str">
        <f t="shared" si="126"/>
        <v/>
      </c>
      <c r="O122" s="134" t="str">
        <f t="shared" si="127"/>
        <v/>
      </c>
      <c r="P122" s="134" t="str">
        <f t="shared" si="128"/>
        <v/>
      </c>
      <c r="Q122" s="134" t="str">
        <f t="shared" si="129"/>
        <v/>
      </c>
      <c r="R122" s="134" t="str">
        <f t="shared" si="130"/>
        <v/>
      </c>
      <c r="S122" s="134" t="str">
        <f t="shared" si="131"/>
        <v/>
      </c>
      <c r="T122" s="134" t="str">
        <f t="shared" si="132"/>
        <v/>
      </c>
      <c r="U122" s="134" t="str">
        <f t="shared" si="133"/>
        <v/>
      </c>
      <c r="V122" s="134" t="str">
        <f t="shared" si="134"/>
        <v/>
      </c>
      <c r="W122" s="19" t="str">
        <f t="shared" si="135"/>
        <v/>
      </c>
      <c r="X122" s="19" t="str">
        <f t="shared" si="136"/>
        <v/>
      </c>
      <c r="Y122" s="19" t="str">
        <f t="shared" si="137"/>
        <v/>
      </c>
      <c r="Z122" s="19" t="str">
        <f t="shared" si="138"/>
        <v/>
      </c>
      <c r="AA122" s="19" t="str">
        <f t="shared" si="139"/>
        <v/>
      </c>
      <c r="AB122" s="19" t="str">
        <f t="shared" si="140"/>
        <v/>
      </c>
      <c r="AC122" s="19" t="str">
        <f t="shared" si="141"/>
        <v/>
      </c>
      <c r="AD122" s="19" t="str">
        <f t="shared" si="142"/>
        <v/>
      </c>
      <c r="AE122" s="19" t="str">
        <f t="shared" si="143"/>
        <v/>
      </c>
      <c r="AF122" s="19" t="str">
        <f t="shared" si="144"/>
        <v/>
      </c>
      <c r="AG122" s="134" t="str">
        <f t="shared" si="145"/>
        <v/>
      </c>
      <c r="AH122" s="134" t="str">
        <f t="shared" si="146"/>
        <v/>
      </c>
      <c r="AI122" s="134" t="str">
        <f t="shared" si="147"/>
        <v/>
      </c>
      <c r="AJ122" s="134" t="str">
        <f t="shared" si="148"/>
        <v/>
      </c>
      <c r="AK122" s="134" t="str">
        <f t="shared" si="149"/>
        <v/>
      </c>
      <c r="AL122" s="134" t="str">
        <f t="shared" si="150"/>
        <v/>
      </c>
      <c r="AM122" s="134" t="str">
        <f t="shared" si="151"/>
        <v/>
      </c>
      <c r="AN122" s="134" t="str">
        <f t="shared" si="152"/>
        <v/>
      </c>
      <c r="AO122" s="134" t="str">
        <f t="shared" si="153"/>
        <v/>
      </c>
      <c r="AP122" s="134" t="str">
        <f t="shared" si="154"/>
        <v/>
      </c>
      <c r="AQ122" s="142" t="str">
        <f t="shared" si="114"/>
        <v/>
      </c>
      <c r="AR122" s="134" t="str">
        <f t="shared" si="115"/>
        <v/>
      </c>
      <c r="AS122" s="1042"/>
      <c r="AT122" s="468"/>
      <c r="AU122" s="143" t="str">
        <f t="shared" si="116"/>
        <v/>
      </c>
      <c r="AV122" s="17"/>
      <c r="AW122" s="136" t="str">
        <f t="shared" si="117"/>
        <v/>
      </c>
      <c r="AX122" s="17"/>
      <c r="AY122" s="27"/>
    </row>
    <row r="123" spans="2:51">
      <c r="B123" s="534"/>
      <c r="C123" s="136"/>
      <c r="D123" s="135" t="str">
        <f t="shared" si="119"/>
        <v/>
      </c>
      <c r="E123" s="135" t="str">
        <f t="shared" si="118"/>
        <v/>
      </c>
      <c r="F123" s="136" t="str">
        <f t="shared" si="112"/>
        <v/>
      </c>
      <c r="G123" s="134" t="str">
        <f t="shared" si="113"/>
        <v/>
      </c>
      <c r="H123" s="134" t="str">
        <f t="shared" si="120"/>
        <v/>
      </c>
      <c r="I123" s="135" t="str">
        <f t="shared" si="121"/>
        <v/>
      </c>
      <c r="J123" s="135" t="str">
        <f t="shared" si="122"/>
        <v/>
      </c>
      <c r="K123" s="136" t="str">
        <f t="shared" si="123"/>
        <v/>
      </c>
      <c r="L123" s="136" t="str">
        <f t="shared" si="124"/>
        <v/>
      </c>
      <c r="M123" s="134" t="str">
        <f t="shared" si="125"/>
        <v/>
      </c>
      <c r="N123" s="134" t="str">
        <f t="shared" si="126"/>
        <v/>
      </c>
      <c r="O123" s="134" t="str">
        <f t="shared" si="127"/>
        <v/>
      </c>
      <c r="P123" s="134" t="str">
        <f t="shared" si="128"/>
        <v/>
      </c>
      <c r="Q123" s="134" t="str">
        <f t="shared" si="129"/>
        <v/>
      </c>
      <c r="R123" s="134" t="str">
        <f t="shared" si="130"/>
        <v/>
      </c>
      <c r="S123" s="134" t="str">
        <f t="shared" si="131"/>
        <v/>
      </c>
      <c r="T123" s="134" t="str">
        <f t="shared" si="132"/>
        <v/>
      </c>
      <c r="U123" s="134" t="str">
        <f t="shared" si="133"/>
        <v/>
      </c>
      <c r="V123" s="134" t="str">
        <f t="shared" si="134"/>
        <v/>
      </c>
      <c r="W123" s="19" t="str">
        <f t="shared" si="135"/>
        <v/>
      </c>
      <c r="X123" s="19" t="str">
        <f t="shared" si="136"/>
        <v/>
      </c>
      <c r="Y123" s="19" t="str">
        <f t="shared" si="137"/>
        <v/>
      </c>
      <c r="Z123" s="19" t="str">
        <f t="shared" si="138"/>
        <v/>
      </c>
      <c r="AA123" s="19" t="str">
        <f t="shared" si="139"/>
        <v/>
      </c>
      <c r="AB123" s="19" t="str">
        <f t="shared" si="140"/>
        <v/>
      </c>
      <c r="AC123" s="19" t="str">
        <f t="shared" si="141"/>
        <v/>
      </c>
      <c r="AD123" s="19" t="str">
        <f t="shared" si="142"/>
        <v/>
      </c>
      <c r="AE123" s="19" t="str">
        <f t="shared" si="143"/>
        <v/>
      </c>
      <c r="AF123" s="19" t="str">
        <f t="shared" si="144"/>
        <v/>
      </c>
      <c r="AG123" s="134" t="str">
        <f t="shared" si="145"/>
        <v/>
      </c>
      <c r="AH123" s="134" t="str">
        <f t="shared" si="146"/>
        <v/>
      </c>
      <c r="AI123" s="134" t="str">
        <f t="shared" si="147"/>
        <v/>
      </c>
      <c r="AJ123" s="134" t="str">
        <f t="shared" si="148"/>
        <v/>
      </c>
      <c r="AK123" s="134" t="str">
        <f t="shared" si="149"/>
        <v/>
      </c>
      <c r="AL123" s="134" t="str">
        <f t="shared" si="150"/>
        <v/>
      </c>
      <c r="AM123" s="134" t="str">
        <f t="shared" si="151"/>
        <v/>
      </c>
      <c r="AN123" s="134" t="str">
        <f t="shared" si="152"/>
        <v/>
      </c>
      <c r="AO123" s="134" t="str">
        <f t="shared" si="153"/>
        <v/>
      </c>
      <c r="AP123" s="134" t="str">
        <f t="shared" si="154"/>
        <v/>
      </c>
      <c r="AQ123" s="142" t="str">
        <f t="shared" si="114"/>
        <v/>
      </c>
      <c r="AR123" s="134" t="str">
        <f t="shared" si="115"/>
        <v/>
      </c>
      <c r="AS123" s="1042"/>
      <c r="AT123" s="468"/>
      <c r="AU123" s="143" t="str">
        <f t="shared" si="116"/>
        <v/>
      </c>
      <c r="AV123" s="17"/>
      <c r="AW123" s="136" t="str">
        <f t="shared" si="117"/>
        <v/>
      </c>
      <c r="AX123" s="17"/>
      <c r="AY123" s="27"/>
    </row>
    <row r="124" spans="2:51">
      <c r="B124" s="534"/>
      <c r="C124" s="136"/>
      <c r="D124" s="135" t="str">
        <f t="shared" si="119"/>
        <v/>
      </c>
      <c r="E124" s="135" t="str">
        <f t="shared" si="118"/>
        <v/>
      </c>
      <c r="F124" s="136" t="str">
        <f t="shared" si="112"/>
        <v/>
      </c>
      <c r="G124" s="134" t="str">
        <f t="shared" si="113"/>
        <v/>
      </c>
      <c r="H124" s="134" t="str">
        <f t="shared" si="120"/>
        <v/>
      </c>
      <c r="I124" s="135" t="str">
        <f t="shared" si="121"/>
        <v/>
      </c>
      <c r="J124" s="135" t="str">
        <f t="shared" si="122"/>
        <v/>
      </c>
      <c r="K124" s="136" t="str">
        <f t="shared" si="123"/>
        <v/>
      </c>
      <c r="L124" s="136" t="str">
        <f t="shared" si="124"/>
        <v/>
      </c>
      <c r="M124" s="134" t="str">
        <f t="shared" si="125"/>
        <v/>
      </c>
      <c r="N124" s="134" t="str">
        <f t="shared" si="126"/>
        <v/>
      </c>
      <c r="O124" s="134" t="str">
        <f t="shared" si="127"/>
        <v/>
      </c>
      <c r="P124" s="134" t="str">
        <f t="shared" si="128"/>
        <v/>
      </c>
      <c r="Q124" s="134" t="str">
        <f t="shared" si="129"/>
        <v/>
      </c>
      <c r="R124" s="134" t="str">
        <f t="shared" si="130"/>
        <v/>
      </c>
      <c r="S124" s="134" t="str">
        <f t="shared" si="131"/>
        <v/>
      </c>
      <c r="T124" s="134" t="str">
        <f t="shared" si="132"/>
        <v/>
      </c>
      <c r="U124" s="134" t="str">
        <f t="shared" si="133"/>
        <v/>
      </c>
      <c r="V124" s="134" t="str">
        <f t="shared" si="134"/>
        <v/>
      </c>
      <c r="W124" s="19" t="str">
        <f t="shared" si="135"/>
        <v/>
      </c>
      <c r="X124" s="19" t="str">
        <f t="shared" si="136"/>
        <v/>
      </c>
      <c r="Y124" s="19" t="str">
        <f t="shared" si="137"/>
        <v/>
      </c>
      <c r="Z124" s="19" t="str">
        <f t="shared" si="138"/>
        <v/>
      </c>
      <c r="AA124" s="19" t="str">
        <f t="shared" si="139"/>
        <v/>
      </c>
      <c r="AB124" s="19" t="str">
        <f t="shared" si="140"/>
        <v/>
      </c>
      <c r="AC124" s="19" t="str">
        <f t="shared" si="141"/>
        <v/>
      </c>
      <c r="AD124" s="19" t="str">
        <f t="shared" si="142"/>
        <v/>
      </c>
      <c r="AE124" s="19" t="str">
        <f t="shared" si="143"/>
        <v/>
      </c>
      <c r="AF124" s="19" t="str">
        <f t="shared" si="144"/>
        <v/>
      </c>
      <c r="AG124" s="134" t="str">
        <f t="shared" si="145"/>
        <v/>
      </c>
      <c r="AH124" s="134" t="str">
        <f t="shared" si="146"/>
        <v/>
      </c>
      <c r="AI124" s="134" t="str">
        <f t="shared" si="147"/>
        <v/>
      </c>
      <c r="AJ124" s="134" t="str">
        <f t="shared" si="148"/>
        <v/>
      </c>
      <c r="AK124" s="134" t="str">
        <f t="shared" si="149"/>
        <v/>
      </c>
      <c r="AL124" s="134" t="str">
        <f t="shared" si="150"/>
        <v/>
      </c>
      <c r="AM124" s="134" t="str">
        <f t="shared" si="151"/>
        <v/>
      </c>
      <c r="AN124" s="134" t="str">
        <f t="shared" si="152"/>
        <v/>
      </c>
      <c r="AO124" s="134" t="str">
        <f t="shared" si="153"/>
        <v/>
      </c>
      <c r="AP124" s="134" t="str">
        <f t="shared" si="154"/>
        <v/>
      </c>
      <c r="AQ124" s="142" t="str">
        <f t="shared" si="114"/>
        <v/>
      </c>
      <c r="AR124" s="134" t="str">
        <f t="shared" si="115"/>
        <v/>
      </c>
      <c r="AS124" s="1042"/>
      <c r="AT124" s="468"/>
      <c r="AU124" s="143" t="str">
        <f t="shared" si="116"/>
        <v/>
      </c>
      <c r="AV124" s="17"/>
      <c r="AW124" s="136" t="str">
        <f t="shared" si="117"/>
        <v/>
      </c>
      <c r="AX124" s="17"/>
      <c r="AY124" s="27"/>
    </row>
    <row r="125" spans="2:51">
      <c r="B125" s="534"/>
      <c r="C125" s="136"/>
      <c r="D125" s="135" t="str">
        <f t="shared" si="119"/>
        <v/>
      </c>
      <c r="E125" s="135" t="str">
        <f t="shared" si="118"/>
        <v/>
      </c>
      <c r="F125" s="136" t="str">
        <f t="shared" si="112"/>
        <v/>
      </c>
      <c r="G125" s="134" t="str">
        <f t="shared" si="113"/>
        <v/>
      </c>
      <c r="H125" s="134" t="str">
        <f t="shared" si="120"/>
        <v/>
      </c>
      <c r="I125" s="135" t="str">
        <f t="shared" si="121"/>
        <v/>
      </c>
      <c r="J125" s="135" t="str">
        <f t="shared" si="122"/>
        <v/>
      </c>
      <c r="K125" s="136" t="str">
        <f t="shared" si="123"/>
        <v/>
      </c>
      <c r="L125" s="136" t="str">
        <f t="shared" si="124"/>
        <v/>
      </c>
      <c r="M125" s="134" t="str">
        <f t="shared" si="125"/>
        <v/>
      </c>
      <c r="N125" s="134" t="str">
        <f t="shared" si="126"/>
        <v/>
      </c>
      <c r="O125" s="134" t="str">
        <f t="shared" si="127"/>
        <v/>
      </c>
      <c r="P125" s="134" t="str">
        <f t="shared" si="128"/>
        <v/>
      </c>
      <c r="Q125" s="134" t="str">
        <f t="shared" si="129"/>
        <v/>
      </c>
      <c r="R125" s="134" t="str">
        <f t="shared" si="130"/>
        <v/>
      </c>
      <c r="S125" s="134" t="str">
        <f t="shared" si="131"/>
        <v/>
      </c>
      <c r="T125" s="134" t="str">
        <f t="shared" si="132"/>
        <v/>
      </c>
      <c r="U125" s="134" t="str">
        <f t="shared" si="133"/>
        <v/>
      </c>
      <c r="V125" s="134" t="str">
        <f t="shared" si="134"/>
        <v/>
      </c>
      <c r="W125" s="19" t="str">
        <f t="shared" si="135"/>
        <v/>
      </c>
      <c r="X125" s="19" t="str">
        <f t="shared" si="136"/>
        <v/>
      </c>
      <c r="Y125" s="19" t="str">
        <f t="shared" si="137"/>
        <v/>
      </c>
      <c r="Z125" s="19" t="str">
        <f t="shared" si="138"/>
        <v/>
      </c>
      <c r="AA125" s="19" t="str">
        <f t="shared" si="139"/>
        <v/>
      </c>
      <c r="AB125" s="19" t="str">
        <f t="shared" si="140"/>
        <v/>
      </c>
      <c r="AC125" s="19" t="str">
        <f t="shared" si="141"/>
        <v/>
      </c>
      <c r="AD125" s="19" t="str">
        <f t="shared" si="142"/>
        <v/>
      </c>
      <c r="AE125" s="19" t="str">
        <f t="shared" si="143"/>
        <v/>
      </c>
      <c r="AF125" s="19" t="str">
        <f t="shared" si="144"/>
        <v/>
      </c>
      <c r="AG125" s="134" t="str">
        <f t="shared" si="145"/>
        <v/>
      </c>
      <c r="AH125" s="134" t="str">
        <f t="shared" si="146"/>
        <v/>
      </c>
      <c r="AI125" s="134" t="str">
        <f t="shared" si="147"/>
        <v/>
      </c>
      <c r="AJ125" s="134" t="str">
        <f t="shared" si="148"/>
        <v/>
      </c>
      <c r="AK125" s="134" t="str">
        <f t="shared" si="149"/>
        <v/>
      </c>
      <c r="AL125" s="134" t="str">
        <f t="shared" si="150"/>
        <v/>
      </c>
      <c r="AM125" s="134" t="str">
        <f t="shared" si="151"/>
        <v/>
      </c>
      <c r="AN125" s="134" t="str">
        <f t="shared" si="152"/>
        <v/>
      </c>
      <c r="AO125" s="134" t="str">
        <f t="shared" si="153"/>
        <v/>
      </c>
      <c r="AP125" s="134" t="str">
        <f t="shared" si="154"/>
        <v/>
      </c>
      <c r="AQ125" s="142" t="str">
        <f t="shared" si="114"/>
        <v/>
      </c>
      <c r="AR125" s="134" t="str">
        <f t="shared" si="115"/>
        <v/>
      </c>
      <c r="AS125" s="1042"/>
      <c r="AT125" s="468"/>
      <c r="AU125" s="143" t="str">
        <f t="shared" si="116"/>
        <v/>
      </c>
      <c r="AV125" s="17"/>
      <c r="AW125" s="136" t="str">
        <f t="shared" si="117"/>
        <v/>
      </c>
      <c r="AX125" s="17"/>
      <c r="AY125" s="27"/>
    </row>
    <row r="126" spans="2:51">
      <c r="B126" s="534"/>
      <c r="C126" s="136"/>
      <c r="D126" s="135" t="str">
        <f t="shared" si="119"/>
        <v/>
      </c>
      <c r="E126" s="135" t="str">
        <f t="shared" si="118"/>
        <v/>
      </c>
      <c r="F126" s="136" t="str">
        <f t="shared" si="112"/>
        <v/>
      </c>
      <c r="G126" s="134" t="str">
        <f t="shared" si="113"/>
        <v/>
      </c>
      <c r="H126" s="134" t="str">
        <f t="shared" si="120"/>
        <v/>
      </c>
      <c r="I126" s="135" t="str">
        <f t="shared" si="121"/>
        <v/>
      </c>
      <c r="J126" s="135" t="str">
        <f t="shared" si="122"/>
        <v/>
      </c>
      <c r="K126" s="136" t="str">
        <f t="shared" si="123"/>
        <v/>
      </c>
      <c r="L126" s="136" t="str">
        <f t="shared" si="124"/>
        <v/>
      </c>
      <c r="M126" s="134" t="str">
        <f t="shared" si="125"/>
        <v/>
      </c>
      <c r="N126" s="134" t="str">
        <f t="shared" si="126"/>
        <v/>
      </c>
      <c r="O126" s="134" t="str">
        <f t="shared" si="127"/>
        <v/>
      </c>
      <c r="P126" s="134" t="str">
        <f t="shared" si="128"/>
        <v/>
      </c>
      <c r="Q126" s="134" t="str">
        <f t="shared" si="129"/>
        <v/>
      </c>
      <c r="R126" s="134" t="str">
        <f t="shared" si="130"/>
        <v/>
      </c>
      <c r="S126" s="134" t="str">
        <f t="shared" si="131"/>
        <v/>
      </c>
      <c r="T126" s="134" t="str">
        <f t="shared" si="132"/>
        <v/>
      </c>
      <c r="U126" s="134" t="str">
        <f t="shared" si="133"/>
        <v/>
      </c>
      <c r="V126" s="134" t="str">
        <f t="shared" si="134"/>
        <v/>
      </c>
      <c r="W126" s="19" t="str">
        <f t="shared" si="135"/>
        <v/>
      </c>
      <c r="X126" s="19" t="str">
        <f t="shared" si="136"/>
        <v/>
      </c>
      <c r="Y126" s="19" t="str">
        <f t="shared" si="137"/>
        <v/>
      </c>
      <c r="Z126" s="19" t="str">
        <f t="shared" si="138"/>
        <v/>
      </c>
      <c r="AA126" s="19" t="str">
        <f t="shared" si="139"/>
        <v/>
      </c>
      <c r="AB126" s="19" t="str">
        <f t="shared" si="140"/>
        <v/>
      </c>
      <c r="AC126" s="19" t="str">
        <f t="shared" si="141"/>
        <v/>
      </c>
      <c r="AD126" s="19" t="str">
        <f t="shared" si="142"/>
        <v/>
      </c>
      <c r="AE126" s="19" t="str">
        <f t="shared" si="143"/>
        <v/>
      </c>
      <c r="AF126" s="19" t="str">
        <f t="shared" si="144"/>
        <v/>
      </c>
      <c r="AG126" s="134" t="str">
        <f t="shared" si="145"/>
        <v/>
      </c>
      <c r="AH126" s="134" t="str">
        <f t="shared" si="146"/>
        <v/>
      </c>
      <c r="AI126" s="134" t="str">
        <f t="shared" si="147"/>
        <v/>
      </c>
      <c r="AJ126" s="134" t="str">
        <f t="shared" si="148"/>
        <v/>
      </c>
      <c r="AK126" s="134" t="str">
        <f t="shared" si="149"/>
        <v/>
      </c>
      <c r="AL126" s="134" t="str">
        <f t="shared" si="150"/>
        <v/>
      </c>
      <c r="AM126" s="134" t="str">
        <f t="shared" si="151"/>
        <v/>
      </c>
      <c r="AN126" s="134" t="str">
        <f t="shared" si="152"/>
        <v/>
      </c>
      <c r="AO126" s="134" t="str">
        <f t="shared" si="153"/>
        <v/>
      </c>
      <c r="AP126" s="134" t="str">
        <f t="shared" si="154"/>
        <v/>
      </c>
      <c r="AQ126" s="142" t="str">
        <f t="shared" si="114"/>
        <v/>
      </c>
      <c r="AR126" s="134" t="str">
        <f t="shared" si="115"/>
        <v/>
      </c>
      <c r="AS126" s="1042"/>
      <c r="AT126" s="468"/>
      <c r="AU126" s="143" t="str">
        <f t="shared" si="116"/>
        <v/>
      </c>
      <c r="AV126" s="17"/>
      <c r="AW126" s="136" t="str">
        <f t="shared" si="117"/>
        <v/>
      </c>
      <c r="AX126" s="17"/>
      <c r="AY126" s="27"/>
    </row>
    <row r="127" spans="2:51">
      <c r="B127" s="534"/>
      <c r="C127" s="136"/>
      <c r="D127" s="135" t="str">
        <f t="shared" si="119"/>
        <v/>
      </c>
      <c r="E127" s="135" t="str">
        <f t="shared" si="118"/>
        <v/>
      </c>
      <c r="F127" s="136" t="str">
        <f t="shared" si="112"/>
        <v/>
      </c>
      <c r="G127" s="134" t="str">
        <f t="shared" si="113"/>
        <v/>
      </c>
      <c r="H127" s="134" t="str">
        <f t="shared" si="120"/>
        <v/>
      </c>
      <c r="I127" s="135" t="str">
        <f t="shared" si="121"/>
        <v/>
      </c>
      <c r="J127" s="135" t="str">
        <f t="shared" si="122"/>
        <v/>
      </c>
      <c r="K127" s="136" t="str">
        <f t="shared" si="123"/>
        <v/>
      </c>
      <c r="L127" s="136" t="str">
        <f t="shared" si="124"/>
        <v/>
      </c>
      <c r="M127" s="134" t="str">
        <f t="shared" si="125"/>
        <v/>
      </c>
      <c r="N127" s="134" t="str">
        <f t="shared" si="126"/>
        <v/>
      </c>
      <c r="O127" s="134" t="str">
        <f t="shared" si="127"/>
        <v/>
      </c>
      <c r="P127" s="134" t="str">
        <f t="shared" si="128"/>
        <v/>
      </c>
      <c r="Q127" s="134" t="str">
        <f t="shared" si="129"/>
        <v/>
      </c>
      <c r="R127" s="134" t="str">
        <f t="shared" si="130"/>
        <v/>
      </c>
      <c r="S127" s="134" t="str">
        <f t="shared" si="131"/>
        <v/>
      </c>
      <c r="T127" s="134" t="str">
        <f t="shared" si="132"/>
        <v/>
      </c>
      <c r="U127" s="134" t="str">
        <f t="shared" si="133"/>
        <v/>
      </c>
      <c r="V127" s="134" t="str">
        <f t="shared" si="134"/>
        <v/>
      </c>
      <c r="W127" s="19" t="str">
        <f t="shared" si="135"/>
        <v/>
      </c>
      <c r="X127" s="19" t="str">
        <f t="shared" si="136"/>
        <v/>
      </c>
      <c r="Y127" s="19" t="str">
        <f t="shared" si="137"/>
        <v/>
      </c>
      <c r="Z127" s="19" t="str">
        <f t="shared" si="138"/>
        <v/>
      </c>
      <c r="AA127" s="19" t="str">
        <f t="shared" si="139"/>
        <v/>
      </c>
      <c r="AB127" s="19" t="str">
        <f t="shared" si="140"/>
        <v/>
      </c>
      <c r="AC127" s="19" t="str">
        <f t="shared" si="141"/>
        <v/>
      </c>
      <c r="AD127" s="19" t="str">
        <f t="shared" si="142"/>
        <v/>
      </c>
      <c r="AE127" s="19" t="str">
        <f t="shared" si="143"/>
        <v/>
      </c>
      <c r="AF127" s="19" t="str">
        <f t="shared" si="144"/>
        <v/>
      </c>
      <c r="AG127" s="134" t="str">
        <f t="shared" si="145"/>
        <v/>
      </c>
      <c r="AH127" s="134" t="str">
        <f t="shared" si="146"/>
        <v/>
      </c>
      <c r="AI127" s="134" t="str">
        <f t="shared" si="147"/>
        <v/>
      </c>
      <c r="AJ127" s="134" t="str">
        <f t="shared" si="148"/>
        <v/>
      </c>
      <c r="AK127" s="134" t="str">
        <f t="shared" si="149"/>
        <v/>
      </c>
      <c r="AL127" s="134" t="str">
        <f t="shared" si="150"/>
        <v/>
      </c>
      <c r="AM127" s="134" t="str">
        <f t="shared" si="151"/>
        <v/>
      </c>
      <c r="AN127" s="134" t="str">
        <f t="shared" si="152"/>
        <v/>
      </c>
      <c r="AO127" s="134" t="str">
        <f t="shared" si="153"/>
        <v/>
      </c>
      <c r="AP127" s="134" t="str">
        <f t="shared" si="154"/>
        <v/>
      </c>
      <c r="AQ127" s="142" t="str">
        <f t="shared" si="114"/>
        <v/>
      </c>
      <c r="AR127" s="134" t="str">
        <f t="shared" si="115"/>
        <v/>
      </c>
      <c r="AS127" s="1042"/>
      <c r="AT127" s="468"/>
      <c r="AU127" s="143" t="str">
        <f t="shared" si="116"/>
        <v/>
      </c>
      <c r="AV127" s="17"/>
      <c r="AW127" s="136" t="str">
        <f t="shared" si="117"/>
        <v/>
      </c>
      <c r="AX127" s="17"/>
      <c r="AY127" s="27"/>
    </row>
    <row r="128" spans="2:51">
      <c r="B128" s="534"/>
      <c r="C128" s="136"/>
      <c r="D128" s="135" t="str">
        <f t="shared" si="119"/>
        <v/>
      </c>
      <c r="E128" s="135" t="str">
        <f t="shared" si="118"/>
        <v/>
      </c>
      <c r="F128" s="136" t="str">
        <f t="shared" si="112"/>
        <v/>
      </c>
      <c r="G128" s="134" t="str">
        <f t="shared" si="113"/>
        <v/>
      </c>
      <c r="H128" s="134" t="str">
        <f t="shared" si="120"/>
        <v/>
      </c>
      <c r="I128" s="135" t="str">
        <f t="shared" si="121"/>
        <v/>
      </c>
      <c r="J128" s="135" t="str">
        <f t="shared" si="122"/>
        <v/>
      </c>
      <c r="K128" s="136" t="str">
        <f t="shared" si="123"/>
        <v/>
      </c>
      <c r="L128" s="136" t="str">
        <f t="shared" si="124"/>
        <v/>
      </c>
      <c r="M128" s="134" t="str">
        <f t="shared" si="125"/>
        <v/>
      </c>
      <c r="N128" s="134" t="str">
        <f t="shared" si="126"/>
        <v/>
      </c>
      <c r="O128" s="134" t="str">
        <f t="shared" si="127"/>
        <v/>
      </c>
      <c r="P128" s="134" t="str">
        <f t="shared" si="128"/>
        <v/>
      </c>
      <c r="Q128" s="134" t="str">
        <f t="shared" si="129"/>
        <v/>
      </c>
      <c r="R128" s="134" t="str">
        <f t="shared" si="130"/>
        <v/>
      </c>
      <c r="S128" s="134" t="str">
        <f t="shared" si="131"/>
        <v/>
      </c>
      <c r="T128" s="134" t="str">
        <f t="shared" si="132"/>
        <v/>
      </c>
      <c r="U128" s="134" t="str">
        <f t="shared" si="133"/>
        <v/>
      </c>
      <c r="V128" s="134" t="str">
        <f t="shared" si="134"/>
        <v/>
      </c>
      <c r="W128" s="19" t="str">
        <f t="shared" si="135"/>
        <v/>
      </c>
      <c r="X128" s="19" t="str">
        <f t="shared" si="136"/>
        <v/>
      </c>
      <c r="Y128" s="19" t="str">
        <f t="shared" si="137"/>
        <v/>
      </c>
      <c r="Z128" s="19" t="str">
        <f t="shared" si="138"/>
        <v/>
      </c>
      <c r="AA128" s="19" t="str">
        <f t="shared" si="139"/>
        <v/>
      </c>
      <c r="AB128" s="19" t="str">
        <f t="shared" si="140"/>
        <v/>
      </c>
      <c r="AC128" s="19" t="str">
        <f t="shared" si="141"/>
        <v/>
      </c>
      <c r="AD128" s="19" t="str">
        <f t="shared" si="142"/>
        <v/>
      </c>
      <c r="AE128" s="19" t="str">
        <f t="shared" si="143"/>
        <v/>
      </c>
      <c r="AF128" s="19" t="str">
        <f t="shared" si="144"/>
        <v/>
      </c>
      <c r="AG128" s="134" t="str">
        <f t="shared" si="145"/>
        <v/>
      </c>
      <c r="AH128" s="134" t="str">
        <f t="shared" si="146"/>
        <v/>
      </c>
      <c r="AI128" s="134" t="str">
        <f t="shared" si="147"/>
        <v/>
      </c>
      <c r="AJ128" s="134" t="str">
        <f t="shared" si="148"/>
        <v/>
      </c>
      <c r="AK128" s="134" t="str">
        <f t="shared" si="149"/>
        <v/>
      </c>
      <c r="AL128" s="134" t="str">
        <f t="shared" si="150"/>
        <v/>
      </c>
      <c r="AM128" s="134" t="str">
        <f t="shared" si="151"/>
        <v/>
      </c>
      <c r="AN128" s="134" t="str">
        <f t="shared" si="152"/>
        <v/>
      </c>
      <c r="AO128" s="134" t="str">
        <f t="shared" si="153"/>
        <v/>
      </c>
      <c r="AP128" s="134" t="str">
        <f t="shared" si="154"/>
        <v/>
      </c>
      <c r="AQ128" s="142" t="str">
        <f t="shared" si="114"/>
        <v/>
      </c>
      <c r="AR128" s="134" t="str">
        <f t="shared" si="115"/>
        <v/>
      </c>
      <c r="AS128" s="1042"/>
      <c r="AT128" s="468"/>
      <c r="AU128" s="143" t="str">
        <f t="shared" si="116"/>
        <v/>
      </c>
      <c r="AV128" s="17"/>
      <c r="AW128" s="136" t="str">
        <f t="shared" si="117"/>
        <v/>
      </c>
      <c r="AX128" s="17"/>
      <c r="AY128" s="27"/>
    </row>
    <row r="129" spans="2:51">
      <c r="B129" s="534"/>
      <c r="C129" s="136"/>
      <c r="D129" s="135" t="str">
        <f t="shared" si="119"/>
        <v/>
      </c>
      <c r="E129" s="135" t="str">
        <f t="shared" si="118"/>
        <v/>
      </c>
      <c r="F129" s="136" t="str">
        <f t="shared" si="112"/>
        <v/>
      </c>
      <c r="G129" s="134" t="str">
        <f t="shared" si="113"/>
        <v/>
      </c>
      <c r="H129" s="134" t="str">
        <f t="shared" si="120"/>
        <v/>
      </c>
      <c r="I129" s="135" t="str">
        <f t="shared" si="121"/>
        <v/>
      </c>
      <c r="J129" s="135" t="str">
        <f t="shared" si="122"/>
        <v/>
      </c>
      <c r="K129" s="136" t="str">
        <f t="shared" si="123"/>
        <v/>
      </c>
      <c r="L129" s="136" t="str">
        <f t="shared" si="124"/>
        <v/>
      </c>
      <c r="M129" s="134" t="str">
        <f t="shared" si="125"/>
        <v/>
      </c>
      <c r="N129" s="134" t="str">
        <f t="shared" si="126"/>
        <v/>
      </c>
      <c r="O129" s="134" t="str">
        <f t="shared" si="127"/>
        <v/>
      </c>
      <c r="P129" s="134" t="str">
        <f t="shared" si="128"/>
        <v/>
      </c>
      <c r="Q129" s="134" t="str">
        <f t="shared" si="129"/>
        <v/>
      </c>
      <c r="R129" s="134" t="str">
        <f t="shared" si="130"/>
        <v/>
      </c>
      <c r="S129" s="134" t="str">
        <f t="shared" si="131"/>
        <v/>
      </c>
      <c r="T129" s="134" t="str">
        <f t="shared" si="132"/>
        <v/>
      </c>
      <c r="U129" s="134" t="str">
        <f t="shared" si="133"/>
        <v/>
      </c>
      <c r="V129" s="134" t="str">
        <f t="shared" si="134"/>
        <v/>
      </c>
      <c r="W129" s="19" t="str">
        <f t="shared" si="135"/>
        <v/>
      </c>
      <c r="X129" s="19" t="str">
        <f t="shared" si="136"/>
        <v/>
      </c>
      <c r="Y129" s="19" t="str">
        <f t="shared" si="137"/>
        <v/>
      </c>
      <c r="Z129" s="19" t="str">
        <f t="shared" si="138"/>
        <v/>
      </c>
      <c r="AA129" s="19" t="str">
        <f t="shared" si="139"/>
        <v/>
      </c>
      <c r="AB129" s="19" t="str">
        <f t="shared" si="140"/>
        <v/>
      </c>
      <c r="AC129" s="19" t="str">
        <f t="shared" si="141"/>
        <v/>
      </c>
      <c r="AD129" s="19" t="str">
        <f t="shared" si="142"/>
        <v/>
      </c>
      <c r="AE129" s="19" t="str">
        <f t="shared" si="143"/>
        <v/>
      </c>
      <c r="AF129" s="19" t="str">
        <f t="shared" si="144"/>
        <v/>
      </c>
      <c r="AG129" s="134" t="str">
        <f t="shared" si="145"/>
        <v/>
      </c>
      <c r="AH129" s="134" t="str">
        <f t="shared" si="146"/>
        <v/>
      </c>
      <c r="AI129" s="134" t="str">
        <f t="shared" si="147"/>
        <v/>
      </c>
      <c r="AJ129" s="134" t="str">
        <f t="shared" si="148"/>
        <v/>
      </c>
      <c r="AK129" s="134" t="str">
        <f t="shared" si="149"/>
        <v/>
      </c>
      <c r="AL129" s="134" t="str">
        <f t="shared" si="150"/>
        <v/>
      </c>
      <c r="AM129" s="134" t="str">
        <f t="shared" si="151"/>
        <v/>
      </c>
      <c r="AN129" s="134" t="str">
        <f t="shared" si="152"/>
        <v/>
      </c>
      <c r="AO129" s="134" t="str">
        <f t="shared" si="153"/>
        <v/>
      </c>
      <c r="AP129" s="134" t="str">
        <f t="shared" si="154"/>
        <v/>
      </c>
      <c r="AQ129" s="142" t="str">
        <f t="shared" si="114"/>
        <v/>
      </c>
      <c r="AR129" s="134" t="str">
        <f t="shared" si="115"/>
        <v/>
      </c>
      <c r="AS129" s="1042"/>
      <c r="AT129" s="468"/>
      <c r="AU129" s="143" t="str">
        <f t="shared" si="116"/>
        <v/>
      </c>
      <c r="AV129" s="17"/>
      <c r="AW129" s="136" t="str">
        <f t="shared" si="117"/>
        <v/>
      </c>
      <c r="AX129" s="17"/>
      <c r="AY129" s="27"/>
    </row>
    <row r="130" spans="2:51">
      <c r="B130" s="534"/>
      <c r="C130" s="136"/>
      <c r="D130" s="135" t="str">
        <f t="shared" si="119"/>
        <v/>
      </c>
      <c r="E130" s="135" t="str">
        <f t="shared" si="118"/>
        <v/>
      </c>
      <c r="F130" s="136" t="str">
        <f t="shared" si="112"/>
        <v/>
      </c>
      <c r="G130" s="134" t="str">
        <f t="shared" si="113"/>
        <v/>
      </c>
      <c r="H130" s="134" t="str">
        <f t="shared" si="120"/>
        <v/>
      </c>
      <c r="I130" s="135" t="str">
        <f t="shared" si="121"/>
        <v/>
      </c>
      <c r="J130" s="135" t="str">
        <f t="shared" si="122"/>
        <v/>
      </c>
      <c r="K130" s="136" t="str">
        <f t="shared" si="123"/>
        <v/>
      </c>
      <c r="L130" s="136" t="str">
        <f t="shared" si="124"/>
        <v/>
      </c>
      <c r="M130" s="134" t="str">
        <f t="shared" si="125"/>
        <v/>
      </c>
      <c r="N130" s="134" t="str">
        <f t="shared" si="126"/>
        <v/>
      </c>
      <c r="O130" s="134" t="str">
        <f t="shared" si="127"/>
        <v/>
      </c>
      <c r="P130" s="134" t="str">
        <f t="shared" si="128"/>
        <v/>
      </c>
      <c r="Q130" s="134" t="str">
        <f t="shared" si="129"/>
        <v/>
      </c>
      <c r="R130" s="134" t="str">
        <f t="shared" si="130"/>
        <v/>
      </c>
      <c r="S130" s="134" t="str">
        <f t="shared" si="131"/>
        <v/>
      </c>
      <c r="T130" s="134" t="str">
        <f t="shared" si="132"/>
        <v/>
      </c>
      <c r="U130" s="134" t="str">
        <f t="shared" si="133"/>
        <v/>
      </c>
      <c r="V130" s="134" t="str">
        <f t="shared" si="134"/>
        <v/>
      </c>
      <c r="W130" s="19" t="str">
        <f t="shared" si="135"/>
        <v/>
      </c>
      <c r="X130" s="19" t="str">
        <f t="shared" si="136"/>
        <v/>
      </c>
      <c r="Y130" s="19" t="str">
        <f t="shared" si="137"/>
        <v/>
      </c>
      <c r="Z130" s="19" t="str">
        <f t="shared" si="138"/>
        <v/>
      </c>
      <c r="AA130" s="19" t="str">
        <f t="shared" si="139"/>
        <v/>
      </c>
      <c r="AB130" s="19" t="str">
        <f t="shared" si="140"/>
        <v/>
      </c>
      <c r="AC130" s="19" t="str">
        <f t="shared" si="141"/>
        <v/>
      </c>
      <c r="AD130" s="19" t="str">
        <f t="shared" si="142"/>
        <v/>
      </c>
      <c r="AE130" s="19" t="str">
        <f t="shared" si="143"/>
        <v/>
      </c>
      <c r="AF130" s="19" t="str">
        <f t="shared" si="144"/>
        <v/>
      </c>
      <c r="AG130" s="134" t="str">
        <f t="shared" si="145"/>
        <v/>
      </c>
      <c r="AH130" s="134" t="str">
        <f t="shared" si="146"/>
        <v/>
      </c>
      <c r="AI130" s="134" t="str">
        <f t="shared" si="147"/>
        <v/>
      </c>
      <c r="AJ130" s="134" t="str">
        <f t="shared" si="148"/>
        <v/>
      </c>
      <c r="AK130" s="134" t="str">
        <f t="shared" si="149"/>
        <v/>
      </c>
      <c r="AL130" s="134" t="str">
        <f t="shared" si="150"/>
        <v/>
      </c>
      <c r="AM130" s="134" t="str">
        <f t="shared" si="151"/>
        <v/>
      </c>
      <c r="AN130" s="134" t="str">
        <f t="shared" si="152"/>
        <v/>
      </c>
      <c r="AO130" s="134" t="str">
        <f t="shared" si="153"/>
        <v/>
      </c>
      <c r="AP130" s="134" t="str">
        <f t="shared" si="154"/>
        <v/>
      </c>
      <c r="AQ130" s="142" t="str">
        <f t="shared" si="114"/>
        <v/>
      </c>
      <c r="AR130" s="134" t="str">
        <f t="shared" si="115"/>
        <v/>
      </c>
      <c r="AS130" s="1042"/>
      <c r="AT130" s="468"/>
      <c r="AU130" s="143" t="str">
        <f t="shared" si="116"/>
        <v/>
      </c>
      <c r="AV130" s="17"/>
      <c r="AW130" s="136" t="str">
        <f t="shared" si="117"/>
        <v/>
      </c>
      <c r="AX130" s="17"/>
      <c r="AY130" s="27"/>
    </row>
    <row r="131" spans="2:51">
      <c r="B131" s="534"/>
      <c r="C131" s="136"/>
      <c r="D131" s="135" t="str">
        <f t="shared" si="119"/>
        <v/>
      </c>
      <c r="E131" s="135" t="str">
        <f t="shared" si="118"/>
        <v/>
      </c>
      <c r="F131" s="136" t="str">
        <f t="shared" si="112"/>
        <v/>
      </c>
      <c r="G131" s="134" t="str">
        <f t="shared" si="113"/>
        <v/>
      </c>
      <c r="H131" s="134" t="str">
        <f t="shared" si="120"/>
        <v/>
      </c>
      <c r="I131" s="135" t="str">
        <f t="shared" si="121"/>
        <v/>
      </c>
      <c r="J131" s="135" t="str">
        <f t="shared" si="122"/>
        <v/>
      </c>
      <c r="K131" s="136" t="str">
        <f t="shared" si="123"/>
        <v/>
      </c>
      <c r="L131" s="136" t="str">
        <f t="shared" si="124"/>
        <v/>
      </c>
      <c r="M131" s="134" t="str">
        <f t="shared" si="125"/>
        <v/>
      </c>
      <c r="N131" s="134" t="str">
        <f t="shared" si="126"/>
        <v/>
      </c>
      <c r="O131" s="134" t="str">
        <f t="shared" si="127"/>
        <v/>
      </c>
      <c r="P131" s="134" t="str">
        <f t="shared" si="128"/>
        <v/>
      </c>
      <c r="Q131" s="134" t="str">
        <f t="shared" si="129"/>
        <v/>
      </c>
      <c r="R131" s="134" t="str">
        <f t="shared" si="130"/>
        <v/>
      </c>
      <c r="S131" s="134" t="str">
        <f t="shared" si="131"/>
        <v/>
      </c>
      <c r="T131" s="134" t="str">
        <f t="shared" si="132"/>
        <v/>
      </c>
      <c r="U131" s="134" t="str">
        <f t="shared" si="133"/>
        <v/>
      </c>
      <c r="V131" s="134" t="str">
        <f t="shared" si="134"/>
        <v/>
      </c>
      <c r="W131" s="19" t="str">
        <f t="shared" si="135"/>
        <v/>
      </c>
      <c r="X131" s="19" t="str">
        <f t="shared" si="136"/>
        <v/>
      </c>
      <c r="Y131" s="19" t="str">
        <f t="shared" si="137"/>
        <v/>
      </c>
      <c r="Z131" s="19" t="str">
        <f t="shared" si="138"/>
        <v/>
      </c>
      <c r="AA131" s="19" t="str">
        <f t="shared" si="139"/>
        <v/>
      </c>
      <c r="AB131" s="19" t="str">
        <f t="shared" si="140"/>
        <v/>
      </c>
      <c r="AC131" s="19" t="str">
        <f t="shared" si="141"/>
        <v/>
      </c>
      <c r="AD131" s="19" t="str">
        <f t="shared" si="142"/>
        <v/>
      </c>
      <c r="AE131" s="19" t="str">
        <f t="shared" si="143"/>
        <v/>
      </c>
      <c r="AF131" s="19" t="str">
        <f t="shared" si="144"/>
        <v/>
      </c>
      <c r="AG131" s="134" t="str">
        <f t="shared" si="145"/>
        <v/>
      </c>
      <c r="AH131" s="134" t="str">
        <f t="shared" si="146"/>
        <v/>
      </c>
      <c r="AI131" s="134" t="str">
        <f t="shared" si="147"/>
        <v/>
      </c>
      <c r="AJ131" s="134" t="str">
        <f t="shared" si="148"/>
        <v/>
      </c>
      <c r="AK131" s="134" t="str">
        <f t="shared" si="149"/>
        <v/>
      </c>
      <c r="AL131" s="134" t="str">
        <f t="shared" si="150"/>
        <v/>
      </c>
      <c r="AM131" s="134" t="str">
        <f t="shared" si="151"/>
        <v/>
      </c>
      <c r="AN131" s="134" t="str">
        <f t="shared" si="152"/>
        <v/>
      </c>
      <c r="AO131" s="134" t="str">
        <f t="shared" si="153"/>
        <v/>
      </c>
      <c r="AP131" s="134" t="str">
        <f t="shared" si="154"/>
        <v/>
      </c>
      <c r="AQ131" s="142" t="str">
        <f t="shared" si="114"/>
        <v/>
      </c>
      <c r="AR131" s="134" t="str">
        <f t="shared" si="115"/>
        <v/>
      </c>
      <c r="AS131" s="1042"/>
      <c r="AT131" s="468"/>
      <c r="AU131" s="143" t="str">
        <f t="shared" si="116"/>
        <v/>
      </c>
      <c r="AV131" s="17"/>
      <c r="AW131" s="136" t="str">
        <f t="shared" si="117"/>
        <v/>
      </c>
      <c r="AX131" s="17"/>
      <c r="AY131" s="27"/>
    </row>
    <row r="132" spans="2:51">
      <c r="B132" s="534"/>
      <c r="C132" s="136"/>
      <c r="D132" s="135" t="str">
        <f t="shared" si="119"/>
        <v/>
      </c>
      <c r="E132" s="135" t="str">
        <f t="shared" si="118"/>
        <v/>
      </c>
      <c r="F132" s="136" t="str">
        <f t="shared" si="112"/>
        <v/>
      </c>
      <c r="G132" s="134" t="str">
        <f t="shared" si="113"/>
        <v/>
      </c>
      <c r="H132" s="134" t="str">
        <f t="shared" si="120"/>
        <v/>
      </c>
      <c r="I132" s="135" t="str">
        <f t="shared" si="121"/>
        <v/>
      </c>
      <c r="J132" s="135" t="str">
        <f t="shared" si="122"/>
        <v/>
      </c>
      <c r="K132" s="136" t="str">
        <f t="shared" si="123"/>
        <v/>
      </c>
      <c r="L132" s="136" t="str">
        <f t="shared" si="124"/>
        <v/>
      </c>
      <c r="M132" s="134" t="str">
        <f t="shared" si="125"/>
        <v/>
      </c>
      <c r="N132" s="134" t="str">
        <f t="shared" si="126"/>
        <v/>
      </c>
      <c r="O132" s="134" t="str">
        <f t="shared" si="127"/>
        <v/>
      </c>
      <c r="P132" s="134" t="str">
        <f t="shared" si="128"/>
        <v/>
      </c>
      <c r="Q132" s="134" t="str">
        <f t="shared" si="129"/>
        <v/>
      </c>
      <c r="R132" s="134" t="str">
        <f t="shared" si="130"/>
        <v/>
      </c>
      <c r="S132" s="134" t="str">
        <f t="shared" si="131"/>
        <v/>
      </c>
      <c r="T132" s="134" t="str">
        <f t="shared" si="132"/>
        <v/>
      </c>
      <c r="U132" s="134" t="str">
        <f t="shared" si="133"/>
        <v/>
      </c>
      <c r="V132" s="134" t="str">
        <f t="shared" si="134"/>
        <v/>
      </c>
      <c r="W132" s="19" t="str">
        <f t="shared" si="135"/>
        <v/>
      </c>
      <c r="X132" s="19" t="str">
        <f t="shared" si="136"/>
        <v/>
      </c>
      <c r="Y132" s="19" t="str">
        <f t="shared" si="137"/>
        <v/>
      </c>
      <c r="Z132" s="19" t="str">
        <f t="shared" si="138"/>
        <v/>
      </c>
      <c r="AA132" s="19" t="str">
        <f t="shared" si="139"/>
        <v/>
      </c>
      <c r="AB132" s="19" t="str">
        <f t="shared" si="140"/>
        <v/>
      </c>
      <c r="AC132" s="19" t="str">
        <f t="shared" si="141"/>
        <v/>
      </c>
      <c r="AD132" s="19" t="str">
        <f t="shared" si="142"/>
        <v/>
      </c>
      <c r="AE132" s="19" t="str">
        <f t="shared" si="143"/>
        <v/>
      </c>
      <c r="AF132" s="19" t="str">
        <f t="shared" si="144"/>
        <v/>
      </c>
      <c r="AG132" s="134" t="str">
        <f t="shared" si="145"/>
        <v/>
      </c>
      <c r="AH132" s="134" t="str">
        <f t="shared" si="146"/>
        <v/>
      </c>
      <c r="AI132" s="134" t="str">
        <f t="shared" si="147"/>
        <v/>
      </c>
      <c r="AJ132" s="134" t="str">
        <f t="shared" si="148"/>
        <v/>
      </c>
      <c r="AK132" s="134" t="str">
        <f t="shared" si="149"/>
        <v/>
      </c>
      <c r="AL132" s="134" t="str">
        <f t="shared" si="150"/>
        <v/>
      </c>
      <c r="AM132" s="134" t="str">
        <f t="shared" si="151"/>
        <v/>
      </c>
      <c r="AN132" s="134" t="str">
        <f t="shared" si="152"/>
        <v/>
      </c>
      <c r="AO132" s="134" t="str">
        <f t="shared" si="153"/>
        <v/>
      </c>
      <c r="AP132" s="134" t="str">
        <f t="shared" si="154"/>
        <v/>
      </c>
      <c r="AQ132" s="142" t="str">
        <f t="shared" si="114"/>
        <v/>
      </c>
      <c r="AR132" s="134" t="str">
        <f t="shared" si="115"/>
        <v/>
      </c>
      <c r="AS132" s="1042"/>
      <c r="AT132" s="468"/>
      <c r="AU132" s="143" t="str">
        <f t="shared" si="116"/>
        <v/>
      </c>
      <c r="AV132" s="17"/>
      <c r="AW132" s="136" t="str">
        <f t="shared" si="117"/>
        <v/>
      </c>
      <c r="AX132" s="17"/>
      <c r="AY132" s="27"/>
    </row>
    <row r="133" spans="2:51">
      <c r="B133" s="534"/>
      <c r="C133" s="136"/>
      <c r="D133" s="135" t="str">
        <f t="shared" si="119"/>
        <v/>
      </c>
      <c r="E133" s="135" t="str">
        <f t="shared" si="118"/>
        <v/>
      </c>
      <c r="F133" s="136" t="str">
        <f t="shared" si="112"/>
        <v/>
      </c>
      <c r="G133" s="134" t="str">
        <f t="shared" si="113"/>
        <v/>
      </c>
      <c r="H133" s="134" t="str">
        <f t="shared" si="120"/>
        <v/>
      </c>
      <c r="I133" s="135" t="str">
        <f t="shared" si="121"/>
        <v/>
      </c>
      <c r="J133" s="135" t="str">
        <f t="shared" si="122"/>
        <v/>
      </c>
      <c r="K133" s="136" t="str">
        <f t="shared" si="123"/>
        <v/>
      </c>
      <c r="L133" s="136" t="str">
        <f t="shared" si="124"/>
        <v/>
      </c>
      <c r="M133" s="134" t="str">
        <f t="shared" si="125"/>
        <v/>
      </c>
      <c r="N133" s="134" t="str">
        <f t="shared" si="126"/>
        <v/>
      </c>
      <c r="O133" s="134" t="str">
        <f t="shared" si="127"/>
        <v/>
      </c>
      <c r="P133" s="134" t="str">
        <f t="shared" si="128"/>
        <v/>
      </c>
      <c r="Q133" s="134" t="str">
        <f t="shared" si="129"/>
        <v/>
      </c>
      <c r="R133" s="134" t="str">
        <f t="shared" si="130"/>
        <v/>
      </c>
      <c r="S133" s="134" t="str">
        <f t="shared" si="131"/>
        <v/>
      </c>
      <c r="T133" s="134" t="str">
        <f t="shared" si="132"/>
        <v/>
      </c>
      <c r="U133" s="134" t="str">
        <f t="shared" si="133"/>
        <v/>
      </c>
      <c r="V133" s="134" t="str">
        <f t="shared" si="134"/>
        <v/>
      </c>
      <c r="W133" s="19" t="str">
        <f t="shared" si="135"/>
        <v/>
      </c>
      <c r="X133" s="19" t="str">
        <f t="shared" si="136"/>
        <v/>
      </c>
      <c r="Y133" s="19" t="str">
        <f t="shared" si="137"/>
        <v/>
      </c>
      <c r="Z133" s="19" t="str">
        <f t="shared" si="138"/>
        <v/>
      </c>
      <c r="AA133" s="19" t="str">
        <f t="shared" si="139"/>
        <v/>
      </c>
      <c r="AB133" s="19" t="str">
        <f t="shared" si="140"/>
        <v/>
      </c>
      <c r="AC133" s="19" t="str">
        <f t="shared" si="141"/>
        <v/>
      </c>
      <c r="AD133" s="19" t="str">
        <f t="shared" si="142"/>
        <v/>
      </c>
      <c r="AE133" s="19" t="str">
        <f t="shared" si="143"/>
        <v/>
      </c>
      <c r="AF133" s="19" t="str">
        <f t="shared" si="144"/>
        <v/>
      </c>
      <c r="AG133" s="134" t="str">
        <f t="shared" si="145"/>
        <v/>
      </c>
      <c r="AH133" s="134" t="str">
        <f t="shared" si="146"/>
        <v/>
      </c>
      <c r="AI133" s="134" t="str">
        <f t="shared" si="147"/>
        <v/>
      </c>
      <c r="AJ133" s="134" t="str">
        <f t="shared" si="148"/>
        <v/>
      </c>
      <c r="AK133" s="134" t="str">
        <f t="shared" si="149"/>
        <v/>
      </c>
      <c r="AL133" s="134" t="str">
        <f t="shared" si="150"/>
        <v/>
      </c>
      <c r="AM133" s="134" t="str">
        <f t="shared" si="151"/>
        <v/>
      </c>
      <c r="AN133" s="134" t="str">
        <f t="shared" si="152"/>
        <v/>
      </c>
      <c r="AO133" s="134" t="str">
        <f t="shared" si="153"/>
        <v/>
      </c>
      <c r="AP133" s="134" t="str">
        <f t="shared" si="154"/>
        <v/>
      </c>
      <c r="AQ133" s="142" t="str">
        <f t="shared" si="114"/>
        <v/>
      </c>
      <c r="AR133" s="134" t="str">
        <f t="shared" si="115"/>
        <v/>
      </c>
      <c r="AS133" s="1042"/>
      <c r="AT133" s="468"/>
      <c r="AU133" s="143" t="str">
        <f t="shared" si="116"/>
        <v/>
      </c>
      <c r="AV133" s="17"/>
      <c r="AW133" s="136" t="str">
        <f t="shared" si="117"/>
        <v/>
      </c>
      <c r="AX133" s="17"/>
      <c r="AY133" s="27"/>
    </row>
    <row r="134" spans="2:51">
      <c r="B134" s="534"/>
      <c r="C134" s="136"/>
      <c r="D134" s="135" t="str">
        <f t="shared" si="119"/>
        <v/>
      </c>
      <c r="E134" s="135" t="str">
        <f t="shared" si="118"/>
        <v/>
      </c>
      <c r="F134" s="136" t="str">
        <f t="shared" si="112"/>
        <v/>
      </c>
      <c r="G134" s="134" t="str">
        <f t="shared" si="113"/>
        <v/>
      </c>
      <c r="H134" s="134" t="str">
        <f t="shared" si="120"/>
        <v/>
      </c>
      <c r="I134" s="135" t="str">
        <f t="shared" si="121"/>
        <v/>
      </c>
      <c r="J134" s="135" t="str">
        <f t="shared" si="122"/>
        <v/>
      </c>
      <c r="K134" s="136" t="str">
        <f t="shared" si="123"/>
        <v/>
      </c>
      <c r="L134" s="136" t="str">
        <f t="shared" si="124"/>
        <v/>
      </c>
      <c r="M134" s="134" t="str">
        <f t="shared" si="125"/>
        <v/>
      </c>
      <c r="N134" s="134" t="str">
        <f t="shared" si="126"/>
        <v/>
      </c>
      <c r="O134" s="134" t="str">
        <f t="shared" si="127"/>
        <v/>
      </c>
      <c r="P134" s="134" t="str">
        <f t="shared" si="128"/>
        <v/>
      </c>
      <c r="Q134" s="134" t="str">
        <f t="shared" si="129"/>
        <v/>
      </c>
      <c r="R134" s="134" t="str">
        <f t="shared" si="130"/>
        <v/>
      </c>
      <c r="S134" s="134" t="str">
        <f t="shared" si="131"/>
        <v/>
      </c>
      <c r="T134" s="134" t="str">
        <f t="shared" si="132"/>
        <v/>
      </c>
      <c r="U134" s="134" t="str">
        <f t="shared" si="133"/>
        <v/>
      </c>
      <c r="V134" s="134" t="str">
        <f t="shared" si="134"/>
        <v/>
      </c>
      <c r="W134" s="19" t="str">
        <f t="shared" si="135"/>
        <v/>
      </c>
      <c r="X134" s="19" t="str">
        <f t="shared" si="136"/>
        <v/>
      </c>
      <c r="Y134" s="19" t="str">
        <f t="shared" si="137"/>
        <v/>
      </c>
      <c r="Z134" s="19" t="str">
        <f t="shared" si="138"/>
        <v/>
      </c>
      <c r="AA134" s="19" t="str">
        <f t="shared" si="139"/>
        <v/>
      </c>
      <c r="AB134" s="19" t="str">
        <f t="shared" si="140"/>
        <v/>
      </c>
      <c r="AC134" s="19" t="str">
        <f t="shared" si="141"/>
        <v/>
      </c>
      <c r="AD134" s="19" t="str">
        <f t="shared" si="142"/>
        <v/>
      </c>
      <c r="AE134" s="19" t="str">
        <f t="shared" si="143"/>
        <v/>
      </c>
      <c r="AF134" s="19" t="str">
        <f t="shared" si="144"/>
        <v/>
      </c>
      <c r="AG134" s="134" t="str">
        <f t="shared" si="145"/>
        <v/>
      </c>
      <c r="AH134" s="134" t="str">
        <f t="shared" si="146"/>
        <v/>
      </c>
      <c r="AI134" s="134" t="str">
        <f t="shared" si="147"/>
        <v/>
      </c>
      <c r="AJ134" s="134" t="str">
        <f t="shared" si="148"/>
        <v/>
      </c>
      <c r="AK134" s="134" t="str">
        <f t="shared" si="149"/>
        <v/>
      </c>
      <c r="AL134" s="134" t="str">
        <f t="shared" si="150"/>
        <v/>
      </c>
      <c r="AM134" s="134" t="str">
        <f t="shared" si="151"/>
        <v/>
      </c>
      <c r="AN134" s="134" t="str">
        <f t="shared" si="152"/>
        <v/>
      </c>
      <c r="AO134" s="134" t="str">
        <f t="shared" si="153"/>
        <v/>
      </c>
      <c r="AP134" s="134" t="str">
        <f t="shared" si="154"/>
        <v/>
      </c>
      <c r="AQ134" s="142" t="str">
        <f t="shared" si="114"/>
        <v/>
      </c>
      <c r="AR134" s="134" t="str">
        <f t="shared" si="115"/>
        <v/>
      </c>
      <c r="AS134" s="1042"/>
      <c r="AT134" s="468"/>
      <c r="AU134" s="143" t="str">
        <f t="shared" si="116"/>
        <v/>
      </c>
      <c r="AV134" s="17"/>
      <c r="AW134" s="136" t="str">
        <f t="shared" si="117"/>
        <v/>
      </c>
      <c r="AX134" s="17"/>
      <c r="AY134" s="27"/>
    </row>
    <row r="135" spans="2:51">
      <c r="B135" s="534"/>
      <c r="C135" s="136"/>
      <c r="D135" s="135" t="str">
        <f t="shared" si="119"/>
        <v/>
      </c>
      <c r="E135" s="135" t="str">
        <f t="shared" si="118"/>
        <v/>
      </c>
      <c r="F135" s="136" t="str">
        <f t="shared" si="112"/>
        <v/>
      </c>
      <c r="G135" s="134" t="str">
        <f t="shared" si="113"/>
        <v/>
      </c>
      <c r="H135" s="134" t="str">
        <f t="shared" si="120"/>
        <v/>
      </c>
      <c r="I135" s="135" t="str">
        <f t="shared" si="121"/>
        <v/>
      </c>
      <c r="J135" s="135" t="str">
        <f t="shared" si="122"/>
        <v/>
      </c>
      <c r="K135" s="136" t="str">
        <f t="shared" si="123"/>
        <v/>
      </c>
      <c r="L135" s="136" t="str">
        <f t="shared" si="124"/>
        <v/>
      </c>
      <c r="M135" s="134" t="str">
        <f t="shared" si="125"/>
        <v/>
      </c>
      <c r="N135" s="134" t="str">
        <f t="shared" si="126"/>
        <v/>
      </c>
      <c r="O135" s="134" t="str">
        <f t="shared" si="127"/>
        <v/>
      </c>
      <c r="P135" s="134" t="str">
        <f t="shared" si="128"/>
        <v/>
      </c>
      <c r="Q135" s="134" t="str">
        <f t="shared" si="129"/>
        <v/>
      </c>
      <c r="R135" s="134" t="str">
        <f t="shared" si="130"/>
        <v/>
      </c>
      <c r="S135" s="134" t="str">
        <f t="shared" si="131"/>
        <v/>
      </c>
      <c r="T135" s="134" t="str">
        <f t="shared" si="132"/>
        <v/>
      </c>
      <c r="U135" s="134" t="str">
        <f t="shared" si="133"/>
        <v/>
      </c>
      <c r="V135" s="134" t="str">
        <f t="shared" si="134"/>
        <v/>
      </c>
      <c r="W135" s="19" t="str">
        <f t="shared" si="135"/>
        <v/>
      </c>
      <c r="X135" s="19" t="str">
        <f t="shared" si="136"/>
        <v/>
      </c>
      <c r="Y135" s="19" t="str">
        <f t="shared" si="137"/>
        <v/>
      </c>
      <c r="Z135" s="19" t="str">
        <f t="shared" si="138"/>
        <v/>
      </c>
      <c r="AA135" s="19" t="str">
        <f t="shared" si="139"/>
        <v/>
      </c>
      <c r="AB135" s="19" t="str">
        <f t="shared" si="140"/>
        <v/>
      </c>
      <c r="AC135" s="19" t="str">
        <f t="shared" si="141"/>
        <v/>
      </c>
      <c r="AD135" s="19" t="str">
        <f t="shared" si="142"/>
        <v/>
      </c>
      <c r="AE135" s="19" t="str">
        <f t="shared" si="143"/>
        <v/>
      </c>
      <c r="AF135" s="19" t="str">
        <f t="shared" si="144"/>
        <v/>
      </c>
      <c r="AG135" s="134" t="str">
        <f t="shared" si="145"/>
        <v/>
      </c>
      <c r="AH135" s="134" t="str">
        <f t="shared" si="146"/>
        <v/>
      </c>
      <c r="AI135" s="134" t="str">
        <f t="shared" si="147"/>
        <v/>
      </c>
      <c r="AJ135" s="134" t="str">
        <f t="shared" si="148"/>
        <v/>
      </c>
      <c r="AK135" s="134" t="str">
        <f t="shared" si="149"/>
        <v/>
      </c>
      <c r="AL135" s="134" t="str">
        <f t="shared" si="150"/>
        <v/>
      </c>
      <c r="AM135" s="134" t="str">
        <f t="shared" si="151"/>
        <v/>
      </c>
      <c r="AN135" s="134" t="str">
        <f t="shared" si="152"/>
        <v/>
      </c>
      <c r="AO135" s="134" t="str">
        <f t="shared" si="153"/>
        <v/>
      </c>
      <c r="AP135" s="134" t="str">
        <f t="shared" si="154"/>
        <v/>
      </c>
      <c r="AQ135" s="142" t="str">
        <f t="shared" si="114"/>
        <v/>
      </c>
      <c r="AR135" s="134" t="str">
        <f t="shared" si="115"/>
        <v/>
      </c>
      <c r="AS135" s="1042"/>
      <c r="AT135" s="468"/>
      <c r="AU135" s="143" t="str">
        <f t="shared" si="116"/>
        <v/>
      </c>
      <c r="AV135" s="17"/>
      <c r="AW135" s="136" t="str">
        <f t="shared" si="117"/>
        <v/>
      </c>
      <c r="AX135" s="17"/>
      <c r="AY135" s="27"/>
    </row>
    <row r="136" spans="2:51">
      <c r="B136" s="534"/>
      <c r="C136" s="136"/>
      <c r="D136" s="135" t="str">
        <f t="shared" si="119"/>
        <v/>
      </c>
      <c r="E136" s="135" t="str">
        <f t="shared" si="118"/>
        <v/>
      </c>
      <c r="F136" s="136" t="str">
        <f t="shared" si="112"/>
        <v/>
      </c>
      <c r="G136" s="134" t="str">
        <f t="shared" si="113"/>
        <v/>
      </c>
      <c r="H136" s="134" t="str">
        <f t="shared" si="120"/>
        <v/>
      </c>
      <c r="I136" s="135" t="str">
        <f t="shared" si="121"/>
        <v/>
      </c>
      <c r="J136" s="135" t="str">
        <f t="shared" si="122"/>
        <v/>
      </c>
      <c r="K136" s="136" t="str">
        <f t="shared" si="123"/>
        <v/>
      </c>
      <c r="L136" s="136" t="str">
        <f t="shared" si="124"/>
        <v/>
      </c>
      <c r="M136" s="134" t="str">
        <f t="shared" si="125"/>
        <v/>
      </c>
      <c r="N136" s="134" t="str">
        <f t="shared" si="126"/>
        <v/>
      </c>
      <c r="O136" s="134" t="str">
        <f t="shared" si="127"/>
        <v/>
      </c>
      <c r="P136" s="134" t="str">
        <f t="shared" si="128"/>
        <v/>
      </c>
      <c r="Q136" s="134" t="str">
        <f t="shared" si="129"/>
        <v/>
      </c>
      <c r="R136" s="134" t="str">
        <f t="shared" si="130"/>
        <v/>
      </c>
      <c r="S136" s="134" t="str">
        <f t="shared" si="131"/>
        <v/>
      </c>
      <c r="T136" s="134" t="str">
        <f t="shared" si="132"/>
        <v/>
      </c>
      <c r="U136" s="134" t="str">
        <f t="shared" si="133"/>
        <v/>
      </c>
      <c r="V136" s="134" t="str">
        <f t="shared" si="134"/>
        <v/>
      </c>
      <c r="W136" s="19" t="str">
        <f t="shared" si="135"/>
        <v/>
      </c>
      <c r="X136" s="19" t="str">
        <f t="shared" si="136"/>
        <v/>
      </c>
      <c r="Y136" s="19" t="str">
        <f t="shared" si="137"/>
        <v/>
      </c>
      <c r="Z136" s="19" t="str">
        <f t="shared" si="138"/>
        <v/>
      </c>
      <c r="AA136" s="19" t="str">
        <f t="shared" si="139"/>
        <v/>
      </c>
      <c r="AB136" s="19" t="str">
        <f t="shared" si="140"/>
        <v/>
      </c>
      <c r="AC136" s="19" t="str">
        <f t="shared" si="141"/>
        <v/>
      </c>
      <c r="AD136" s="19" t="str">
        <f t="shared" si="142"/>
        <v/>
      </c>
      <c r="AE136" s="19" t="str">
        <f t="shared" si="143"/>
        <v/>
      </c>
      <c r="AF136" s="19" t="str">
        <f t="shared" si="144"/>
        <v/>
      </c>
      <c r="AG136" s="134" t="str">
        <f t="shared" si="145"/>
        <v/>
      </c>
      <c r="AH136" s="134" t="str">
        <f t="shared" si="146"/>
        <v/>
      </c>
      <c r="AI136" s="134" t="str">
        <f t="shared" si="147"/>
        <v/>
      </c>
      <c r="AJ136" s="134" t="str">
        <f t="shared" si="148"/>
        <v/>
      </c>
      <c r="AK136" s="134" t="str">
        <f t="shared" si="149"/>
        <v/>
      </c>
      <c r="AL136" s="134" t="str">
        <f t="shared" si="150"/>
        <v/>
      </c>
      <c r="AM136" s="134" t="str">
        <f t="shared" si="151"/>
        <v/>
      </c>
      <c r="AN136" s="134" t="str">
        <f t="shared" si="152"/>
        <v/>
      </c>
      <c r="AO136" s="134" t="str">
        <f t="shared" si="153"/>
        <v/>
      </c>
      <c r="AP136" s="134" t="str">
        <f t="shared" si="154"/>
        <v/>
      </c>
      <c r="AQ136" s="142" t="str">
        <f t="shared" si="114"/>
        <v/>
      </c>
      <c r="AR136" s="134" t="str">
        <f t="shared" si="115"/>
        <v/>
      </c>
      <c r="AS136" s="1042"/>
      <c r="AT136" s="468"/>
      <c r="AU136" s="143" t="str">
        <f t="shared" si="116"/>
        <v/>
      </c>
      <c r="AV136" s="17"/>
      <c r="AW136" s="136" t="str">
        <f t="shared" si="117"/>
        <v/>
      </c>
      <c r="AX136" s="17"/>
      <c r="AY136" s="27"/>
    </row>
    <row r="137" spans="2:51">
      <c r="B137" s="534"/>
      <c r="C137" s="136"/>
      <c r="D137" s="135" t="str">
        <f t="shared" si="119"/>
        <v/>
      </c>
      <c r="E137" s="135" t="str">
        <f t="shared" si="118"/>
        <v/>
      </c>
      <c r="F137" s="136" t="str">
        <f t="shared" si="112"/>
        <v/>
      </c>
      <c r="G137" s="134" t="str">
        <f t="shared" si="113"/>
        <v/>
      </c>
      <c r="H137" s="134" t="str">
        <f t="shared" si="120"/>
        <v/>
      </c>
      <c r="I137" s="135" t="str">
        <f t="shared" si="121"/>
        <v/>
      </c>
      <c r="J137" s="135" t="str">
        <f t="shared" si="122"/>
        <v/>
      </c>
      <c r="K137" s="136" t="str">
        <f t="shared" si="123"/>
        <v/>
      </c>
      <c r="L137" s="136" t="str">
        <f t="shared" si="124"/>
        <v/>
      </c>
      <c r="M137" s="134" t="str">
        <f t="shared" si="125"/>
        <v/>
      </c>
      <c r="N137" s="134" t="str">
        <f t="shared" si="126"/>
        <v/>
      </c>
      <c r="O137" s="134" t="str">
        <f t="shared" si="127"/>
        <v/>
      </c>
      <c r="P137" s="134" t="str">
        <f t="shared" si="128"/>
        <v/>
      </c>
      <c r="Q137" s="134" t="str">
        <f t="shared" si="129"/>
        <v/>
      </c>
      <c r="R137" s="134" t="str">
        <f t="shared" si="130"/>
        <v/>
      </c>
      <c r="S137" s="134" t="str">
        <f t="shared" si="131"/>
        <v/>
      </c>
      <c r="T137" s="134" t="str">
        <f t="shared" si="132"/>
        <v/>
      </c>
      <c r="U137" s="134" t="str">
        <f t="shared" si="133"/>
        <v/>
      </c>
      <c r="V137" s="134" t="str">
        <f t="shared" si="134"/>
        <v/>
      </c>
      <c r="W137" s="19" t="str">
        <f t="shared" si="135"/>
        <v/>
      </c>
      <c r="X137" s="19" t="str">
        <f t="shared" si="136"/>
        <v/>
      </c>
      <c r="Y137" s="19" t="str">
        <f t="shared" si="137"/>
        <v/>
      </c>
      <c r="Z137" s="19" t="str">
        <f t="shared" si="138"/>
        <v/>
      </c>
      <c r="AA137" s="19" t="str">
        <f t="shared" si="139"/>
        <v/>
      </c>
      <c r="AB137" s="19" t="str">
        <f t="shared" si="140"/>
        <v/>
      </c>
      <c r="AC137" s="19" t="str">
        <f t="shared" si="141"/>
        <v/>
      </c>
      <c r="AD137" s="19" t="str">
        <f t="shared" si="142"/>
        <v/>
      </c>
      <c r="AE137" s="19" t="str">
        <f t="shared" si="143"/>
        <v/>
      </c>
      <c r="AF137" s="19" t="str">
        <f t="shared" si="144"/>
        <v/>
      </c>
      <c r="AG137" s="134" t="str">
        <f t="shared" si="145"/>
        <v/>
      </c>
      <c r="AH137" s="134" t="str">
        <f t="shared" si="146"/>
        <v/>
      </c>
      <c r="AI137" s="134" t="str">
        <f t="shared" si="147"/>
        <v/>
      </c>
      <c r="AJ137" s="134" t="str">
        <f t="shared" si="148"/>
        <v/>
      </c>
      <c r="AK137" s="134" t="str">
        <f t="shared" si="149"/>
        <v/>
      </c>
      <c r="AL137" s="134" t="str">
        <f t="shared" si="150"/>
        <v/>
      </c>
      <c r="AM137" s="134" t="str">
        <f t="shared" si="151"/>
        <v/>
      </c>
      <c r="AN137" s="134" t="str">
        <f t="shared" si="152"/>
        <v/>
      </c>
      <c r="AO137" s="134" t="str">
        <f t="shared" si="153"/>
        <v/>
      </c>
      <c r="AP137" s="134" t="str">
        <f t="shared" si="154"/>
        <v/>
      </c>
      <c r="AQ137" s="142" t="str">
        <f t="shared" si="114"/>
        <v/>
      </c>
      <c r="AR137" s="134" t="str">
        <f t="shared" si="115"/>
        <v/>
      </c>
      <c r="AS137" s="1042"/>
      <c r="AT137" s="468"/>
      <c r="AU137" s="143" t="str">
        <f t="shared" si="116"/>
        <v/>
      </c>
      <c r="AV137" s="17"/>
      <c r="AW137" s="136" t="str">
        <f t="shared" si="117"/>
        <v/>
      </c>
      <c r="AX137" s="17"/>
      <c r="AY137" s="27"/>
    </row>
    <row r="138" spans="2:51">
      <c r="B138" s="534"/>
      <c r="C138" s="136"/>
      <c r="D138" s="135" t="str">
        <f t="shared" si="119"/>
        <v/>
      </c>
      <c r="E138" s="135" t="str">
        <f t="shared" si="118"/>
        <v/>
      </c>
      <c r="F138" s="136" t="str">
        <f t="shared" si="112"/>
        <v/>
      </c>
      <c r="G138" s="134" t="str">
        <f t="shared" si="113"/>
        <v/>
      </c>
      <c r="H138" s="134" t="str">
        <f t="shared" si="120"/>
        <v/>
      </c>
      <c r="I138" s="135" t="str">
        <f t="shared" si="121"/>
        <v/>
      </c>
      <c r="J138" s="135" t="str">
        <f t="shared" si="122"/>
        <v/>
      </c>
      <c r="K138" s="136" t="str">
        <f t="shared" si="123"/>
        <v/>
      </c>
      <c r="L138" s="136" t="str">
        <f t="shared" si="124"/>
        <v/>
      </c>
      <c r="M138" s="134" t="str">
        <f t="shared" si="125"/>
        <v/>
      </c>
      <c r="N138" s="134" t="str">
        <f t="shared" si="126"/>
        <v/>
      </c>
      <c r="O138" s="134" t="str">
        <f t="shared" si="127"/>
        <v/>
      </c>
      <c r="P138" s="134" t="str">
        <f t="shared" si="128"/>
        <v/>
      </c>
      <c r="Q138" s="134" t="str">
        <f t="shared" si="129"/>
        <v/>
      </c>
      <c r="R138" s="134" t="str">
        <f t="shared" si="130"/>
        <v/>
      </c>
      <c r="S138" s="134" t="str">
        <f t="shared" si="131"/>
        <v/>
      </c>
      <c r="T138" s="134" t="str">
        <f t="shared" si="132"/>
        <v/>
      </c>
      <c r="U138" s="134" t="str">
        <f t="shared" si="133"/>
        <v/>
      </c>
      <c r="V138" s="134" t="str">
        <f t="shared" si="134"/>
        <v/>
      </c>
      <c r="W138" s="19" t="str">
        <f t="shared" si="135"/>
        <v/>
      </c>
      <c r="X138" s="19" t="str">
        <f t="shared" si="136"/>
        <v/>
      </c>
      <c r="Y138" s="19" t="str">
        <f t="shared" si="137"/>
        <v/>
      </c>
      <c r="Z138" s="19" t="str">
        <f t="shared" si="138"/>
        <v/>
      </c>
      <c r="AA138" s="19" t="str">
        <f t="shared" si="139"/>
        <v/>
      </c>
      <c r="AB138" s="19" t="str">
        <f t="shared" si="140"/>
        <v/>
      </c>
      <c r="AC138" s="19" t="str">
        <f t="shared" si="141"/>
        <v/>
      </c>
      <c r="AD138" s="19" t="str">
        <f t="shared" si="142"/>
        <v/>
      </c>
      <c r="AE138" s="19" t="str">
        <f t="shared" si="143"/>
        <v/>
      </c>
      <c r="AF138" s="19" t="str">
        <f t="shared" si="144"/>
        <v/>
      </c>
      <c r="AG138" s="134" t="str">
        <f t="shared" si="145"/>
        <v/>
      </c>
      <c r="AH138" s="134" t="str">
        <f t="shared" si="146"/>
        <v/>
      </c>
      <c r="AI138" s="134" t="str">
        <f t="shared" si="147"/>
        <v/>
      </c>
      <c r="AJ138" s="134" t="str">
        <f t="shared" si="148"/>
        <v/>
      </c>
      <c r="AK138" s="134" t="str">
        <f t="shared" si="149"/>
        <v/>
      </c>
      <c r="AL138" s="134" t="str">
        <f t="shared" si="150"/>
        <v/>
      </c>
      <c r="AM138" s="134" t="str">
        <f t="shared" si="151"/>
        <v/>
      </c>
      <c r="AN138" s="134" t="str">
        <f t="shared" si="152"/>
        <v/>
      </c>
      <c r="AO138" s="134" t="str">
        <f t="shared" si="153"/>
        <v/>
      </c>
      <c r="AP138" s="134" t="str">
        <f t="shared" si="154"/>
        <v/>
      </c>
      <c r="AQ138" s="142" t="str">
        <f t="shared" si="114"/>
        <v/>
      </c>
      <c r="AR138" s="134" t="str">
        <f t="shared" si="115"/>
        <v/>
      </c>
      <c r="AS138" s="1042"/>
      <c r="AT138" s="468"/>
      <c r="AU138" s="143" t="str">
        <f t="shared" si="116"/>
        <v/>
      </c>
      <c r="AV138" s="17"/>
      <c r="AW138" s="136" t="str">
        <f t="shared" si="117"/>
        <v/>
      </c>
      <c r="AX138" s="17"/>
      <c r="AY138" s="27"/>
    </row>
    <row r="139" spans="2:51">
      <c r="B139" s="534"/>
      <c r="C139" s="136"/>
      <c r="D139" s="135" t="str">
        <f t="shared" si="119"/>
        <v/>
      </c>
      <c r="E139" s="135" t="str">
        <f t="shared" si="118"/>
        <v/>
      </c>
      <c r="F139" s="136" t="str">
        <f t="shared" si="112"/>
        <v/>
      </c>
      <c r="G139" s="134" t="str">
        <f t="shared" si="113"/>
        <v/>
      </c>
      <c r="H139" s="134" t="str">
        <f t="shared" si="120"/>
        <v/>
      </c>
      <c r="I139" s="135" t="str">
        <f t="shared" si="121"/>
        <v/>
      </c>
      <c r="J139" s="135" t="str">
        <f t="shared" si="122"/>
        <v/>
      </c>
      <c r="K139" s="136" t="str">
        <f t="shared" si="123"/>
        <v/>
      </c>
      <c r="L139" s="136" t="str">
        <f t="shared" si="124"/>
        <v/>
      </c>
      <c r="M139" s="134" t="str">
        <f t="shared" si="125"/>
        <v/>
      </c>
      <c r="N139" s="134" t="str">
        <f t="shared" si="126"/>
        <v/>
      </c>
      <c r="O139" s="134" t="str">
        <f t="shared" si="127"/>
        <v/>
      </c>
      <c r="P139" s="134" t="str">
        <f t="shared" si="128"/>
        <v/>
      </c>
      <c r="Q139" s="134" t="str">
        <f t="shared" si="129"/>
        <v/>
      </c>
      <c r="R139" s="134" t="str">
        <f t="shared" si="130"/>
        <v/>
      </c>
      <c r="S139" s="134" t="str">
        <f t="shared" si="131"/>
        <v/>
      </c>
      <c r="T139" s="134" t="str">
        <f t="shared" si="132"/>
        <v/>
      </c>
      <c r="U139" s="134" t="str">
        <f t="shared" si="133"/>
        <v/>
      </c>
      <c r="V139" s="134" t="str">
        <f t="shared" si="134"/>
        <v/>
      </c>
      <c r="W139" s="19" t="str">
        <f t="shared" si="135"/>
        <v/>
      </c>
      <c r="X139" s="19" t="str">
        <f t="shared" si="136"/>
        <v/>
      </c>
      <c r="Y139" s="19" t="str">
        <f t="shared" si="137"/>
        <v/>
      </c>
      <c r="Z139" s="19" t="str">
        <f t="shared" si="138"/>
        <v/>
      </c>
      <c r="AA139" s="19" t="str">
        <f t="shared" si="139"/>
        <v/>
      </c>
      <c r="AB139" s="19" t="str">
        <f t="shared" si="140"/>
        <v/>
      </c>
      <c r="AC139" s="19" t="str">
        <f t="shared" si="141"/>
        <v/>
      </c>
      <c r="AD139" s="19" t="str">
        <f t="shared" si="142"/>
        <v/>
      </c>
      <c r="AE139" s="19" t="str">
        <f t="shared" si="143"/>
        <v/>
      </c>
      <c r="AF139" s="19" t="str">
        <f t="shared" si="144"/>
        <v/>
      </c>
      <c r="AG139" s="134" t="str">
        <f t="shared" si="145"/>
        <v/>
      </c>
      <c r="AH139" s="134" t="str">
        <f t="shared" si="146"/>
        <v/>
      </c>
      <c r="AI139" s="134" t="str">
        <f t="shared" si="147"/>
        <v/>
      </c>
      <c r="AJ139" s="134" t="str">
        <f t="shared" si="148"/>
        <v/>
      </c>
      <c r="AK139" s="134" t="str">
        <f t="shared" si="149"/>
        <v/>
      </c>
      <c r="AL139" s="134" t="str">
        <f t="shared" si="150"/>
        <v/>
      </c>
      <c r="AM139" s="134" t="str">
        <f t="shared" si="151"/>
        <v/>
      </c>
      <c r="AN139" s="134" t="str">
        <f t="shared" si="152"/>
        <v/>
      </c>
      <c r="AO139" s="134" t="str">
        <f t="shared" si="153"/>
        <v/>
      </c>
      <c r="AP139" s="134" t="str">
        <f t="shared" si="154"/>
        <v/>
      </c>
      <c r="AQ139" s="142" t="str">
        <f t="shared" si="114"/>
        <v/>
      </c>
      <c r="AR139" s="134" t="str">
        <f t="shared" si="115"/>
        <v/>
      </c>
      <c r="AS139" s="1042"/>
      <c r="AT139" s="468"/>
      <c r="AU139" s="143" t="str">
        <f t="shared" si="116"/>
        <v/>
      </c>
      <c r="AV139" s="17"/>
      <c r="AW139" s="136" t="str">
        <f t="shared" si="117"/>
        <v/>
      </c>
      <c r="AX139" s="17"/>
      <c r="AY139" s="27"/>
    </row>
    <row r="140" spans="2:51">
      <c r="B140" s="534"/>
      <c r="C140" s="136"/>
      <c r="D140" s="135" t="str">
        <f t="shared" si="119"/>
        <v/>
      </c>
      <c r="E140" s="135" t="str">
        <f t="shared" si="118"/>
        <v/>
      </c>
      <c r="F140" s="136" t="str">
        <f t="shared" si="112"/>
        <v/>
      </c>
      <c r="G140" s="134" t="str">
        <f t="shared" si="113"/>
        <v/>
      </c>
      <c r="H140" s="134" t="str">
        <f t="shared" si="120"/>
        <v/>
      </c>
      <c r="I140" s="135" t="str">
        <f t="shared" si="121"/>
        <v/>
      </c>
      <c r="J140" s="135" t="str">
        <f t="shared" si="122"/>
        <v/>
      </c>
      <c r="K140" s="136" t="str">
        <f t="shared" si="123"/>
        <v/>
      </c>
      <c r="L140" s="136" t="str">
        <f t="shared" si="124"/>
        <v/>
      </c>
      <c r="M140" s="134" t="str">
        <f t="shared" si="125"/>
        <v/>
      </c>
      <c r="N140" s="134" t="str">
        <f t="shared" si="126"/>
        <v/>
      </c>
      <c r="O140" s="134" t="str">
        <f t="shared" si="127"/>
        <v/>
      </c>
      <c r="P140" s="134" t="str">
        <f t="shared" si="128"/>
        <v/>
      </c>
      <c r="Q140" s="134" t="str">
        <f t="shared" si="129"/>
        <v/>
      </c>
      <c r="R140" s="134" t="str">
        <f t="shared" si="130"/>
        <v/>
      </c>
      <c r="S140" s="134" t="str">
        <f t="shared" si="131"/>
        <v/>
      </c>
      <c r="T140" s="134" t="str">
        <f t="shared" si="132"/>
        <v/>
      </c>
      <c r="U140" s="134" t="str">
        <f t="shared" si="133"/>
        <v/>
      </c>
      <c r="V140" s="134" t="str">
        <f t="shared" si="134"/>
        <v/>
      </c>
      <c r="W140" s="19" t="str">
        <f t="shared" si="135"/>
        <v/>
      </c>
      <c r="X140" s="19" t="str">
        <f t="shared" si="136"/>
        <v/>
      </c>
      <c r="Y140" s="19" t="str">
        <f t="shared" si="137"/>
        <v/>
      </c>
      <c r="Z140" s="19" t="str">
        <f t="shared" si="138"/>
        <v/>
      </c>
      <c r="AA140" s="19" t="str">
        <f t="shared" si="139"/>
        <v/>
      </c>
      <c r="AB140" s="19" t="str">
        <f t="shared" si="140"/>
        <v/>
      </c>
      <c r="AC140" s="19" t="str">
        <f t="shared" si="141"/>
        <v/>
      </c>
      <c r="AD140" s="19" t="str">
        <f t="shared" si="142"/>
        <v/>
      </c>
      <c r="AE140" s="19" t="str">
        <f t="shared" si="143"/>
        <v/>
      </c>
      <c r="AF140" s="19" t="str">
        <f t="shared" si="144"/>
        <v/>
      </c>
      <c r="AG140" s="134" t="str">
        <f t="shared" si="145"/>
        <v/>
      </c>
      <c r="AH140" s="134" t="str">
        <f t="shared" si="146"/>
        <v/>
      </c>
      <c r="AI140" s="134" t="str">
        <f t="shared" si="147"/>
        <v/>
      </c>
      <c r="AJ140" s="134" t="str">
        <f t="shared" si="148"/>
        <v/>
      </c>
      <c r="AK140" s="134" t="str">
        <f t="shared" si="149"/>
        <v/>
      </c>
      <c r="AL140" s="134" t="str">
        <f t="shared" si="150"/>
        <v/>
      </c>
      <c r="AM140" s="134" t="str">
        <f t="shared" si="151"/>
        <v/>
      </c>
      <c r="AN140" s="134" t="str">
        <f t="shared" si="152"/>
        <v/>
      </c>
      <c r="AO140" s="134" t="str">
        <f t="shared" si="153"/>
        <v/>
      </c>
      <c r="AP140" s="134" t="str">
        <f t="shared" si="154"/>
        <v/>
      </c>
      <c r="AQ140" s="142" t="str">
        <f t="shared" si="114"/>
        <v/>
      </c>
      <c r="AR140" s="134" t="str">
        <f t="shared" si="115"/>
        <v/>
      </c>
      <c r="AS140" s="1042"/>
      <c r="AT140" s="468"/>
      <c r="AU140" s="143" t="str">
        <f t="shared" si="116"/>
        <v/>
      </c>
      <c r="AV140" s="17"/>
      <c r="AW140" s="136" t="str">
        <f t="shared" si="117"/>
        <v/>
      </c>
      <c r="AX140" s="17"/>
      <c r="AY140" s="27"/>
    </row>
    <row r="141" spans="2:51">
      <c r="B141" s="534"/>
      <c r="C141" s="136"/>
      <c r="D141" s="135" t="str">
        <f t="shared" si="119"/>
        <v/>
      </c>
      <c r="E141" s="135" t="str">
        <f t="shared" si="118"/>
        <v/>
      </c>
      <c r="F141" s="136" t="str">
        <f t="shared" si="112"/>
        <v/>
      </c>
      <c r="G141" s="134" t="str">
        <f t="shared" si="113"/>
        <v/>
      </c>
      <c r="H141" s="134" t="str">
        <f t="shared" si="120"/>
        <v/>
      </c>
      <c r="I141" s="135" t="str">
        <f t="shared" si="121"/>
        <v/>
      </c>
      <c r="J141" s="135" t="str">
        <f t="shared" si="122"/>
        <v/>
      </c>
      <c r="K141" s="136" t="str">
        <f t="shared" si="123"/>
        <v/>
      </c>
      <c r="L141" s="136" t="str">
        <f t="shared" si="124"/>
        <v/>
      </c>
      <c r="M141" s="134" t="str">
        <f t="shared" si="125"/>
        <v/>
      </c>
      <c r="N141" s="134" t="str">
        <f t="shared" si="126"/>
        <v/>
      </c>
      <c r="O141" s="134" t="str">
        <f t="shared" si="127"/>
        <v/>
      </c>
      <c r="P141" s="134" t="str">
        <f t="shared" si="128"/>
        <v/>
      </c>
      <c r="Q141" s="134" t="str">
        <f t="shared" si="129"/>
        <v/>
      </c>
      <c r="R141" s="134" t="str">
        <f t="shared" si="130"/>
        <v/>
      </c>
      <c r="S141" s="134" t="str">
        <f t="shared" si="131"/>
        <v/>
      </c>
      <c r="T141" s="134" t="str">
        <f t="shared" si="132"/>
        <v/>
      </c>
      <c r="U141" s="134" t="str">
        <f t="shared" si="133"/>
        <v/>
      </c>
      <c r="V141" s="134" t="str">
        <f t="shared" si="134"/>
        <v/>
      </c>
      <c r="W141" s="19" t="str">
        <f t="shared" si="135"/>
        <v/>
      </c>
      <c r="X141" s="19" t="str">
        <f t="shared" si="136"/>
        <v/>
      </c>
      <c r="Y141" s="19" t="str">
        <f t="shared" si="137"/>
        <v/>
      </c>
      <c r="Z141" s="19" t="str">
        <f t="shared" si="138"/>
        <v/>
      </c>
      <c r="AA141" s="19" t="str">
        <f t="shared" si="139"/>
        <v/>
      </c>
      <c r="AB141" s="19" t="str">
        <f t="shared" si="140"/>
        <v/>
      </c>
      <c r="AC141" s="19" t="str">
        <f t="shared" si="141"/>
        <v/>
      </c>
      <c r="AD141" s="19" t="str">
        <f t="shared" si="142"/>
        <v/>
      </c>
      <c r="AE141" s="19" t="str">
        <f t="shared" si="143"/>
        <v/>
      </c>
      <c r="AF141" s="19" t="str">
        <f t="shared" si="144"/>
        <v/>
      </c>
      <c r="AG141" s="134" t="str">
        <f t="shared" si="145"/>
        <v/>
      </c>
      <c r="AH141" s="134" t="str">
        <f t="shared" si="146"/>
        <v/>
      </c>
      <c r="AI141" s="134" t="str">
        <f t="shared" si="147"/>
        <v/>
      </c>
      <c r="AJ141" s="134" t="str">
        <f t="shared" si="148"/>
        <v/>
      </c>
      <c r="AK141" s="134" t="str">
        <f t="shared" si="149"/>
        <v/>
      </c>
      <c r="AL141" s="134" t="str">
        <f t="shared" si="150"/>
        <v/>
      </c>
      <c r="AM141" s="134" t="str">
        <f t="shared" si="151"/>
        <v/>
      </c>
      <c r="AN141" s="134" t="str">
        <f t="shared" si="152"/>
        <v/>
      </c>
      <c r="AO141" s="134" t="str">
        <f t="shared" si="153"/>
        <v/>
      </c>
      <c r="AP141" s="134" t="str">
        <f t="shared" si="154"/>
        <v/>
      </c>
      <c r="AQ141" s="142" t="str">
        <f t="shared" si="114"/>
        <v/>
      </c>
      <c r="AR141" s="134" t="str">
        <f t="shared" si="115"/>
        <v/>
      </c>
      <c r="AS141" s="1042"/>
      <c r="AT141" s="468"/>
      <c r="AU141" s="143" t="str">
        <f t="shared" si="116"/>
        <v/>
      </c>
      <c r="AV141" s="17"/>
      <c r="AW141" s="136" t="str">
        <f t="shared" si="117"/>
        <v/>
      </c>
      <c r="AX141" s="17"/>
      <c r="AY141" s="27"/>
    </row>
    <row r="142" spans="2:51">
      <c r="B142" s="534"/>
      <c r="C142" s="136"/>
      <c r="D142" s="135" t="str">
        <f t="shared" si="119"/>
        <v/>
      </c>
      <c r="E142" s="135" t="str">
        <f t="shared" si="118"/>
        <v/>
      </c>
      <c r="F142" s="136" t="str">
        <f t="shared" si="112"/>
        <v/>
      </c>
      <c r="G142" s="134" t="str">
        <f t="shared" si="113"/>
        <v/>
      </c>
      <c r="H142" s="134" t="str">
        <f t="shared" si="120"/>
        <v/>
      </c>
      <c r="I142" s="135" t="str">
        <f t="shared" si="121"/>
        <v/>
      </c>
      <c r="J142" s="135" t="str">
        <f t="shared" si="122"/>
        <v/>
      </c>
      <c r="K142" s="136" t="str">
        <f t="shared" si="123"/>
        <v/>
      </c>
      <c r="L142" s="136" t="str">
        <f t="shared" si="124"/>
        <v/>
      </c>
      <c r="M142" s="134" t="str">
        <f t="shared" si="125"/>
        <v/>
      </c>
      <c r="N142" s="134" t="str">
        <f t="shared" si="126"/>
        <v/>
      </c>
      <c r="O142" s="134" t="str">
        <f t="shared" si="127"/>
        <v/>
      </c>
      <c r="P142" s="134" t="str">
        <f t="shared" si="128"/>
        <v/>
      </c>
      <c r="Q142" s="134" t="str">
        <f t="shared" si="129"/>
        <v/>
      </c>
      <c r="R142" s="134" t="str">
        <f t="shared" si="130"/>
        <v/>
      </c>
      <c r="S142" s="134" t="str">
        <f t="shared" si="131"/>
        <v/>
      </c>
      <c r="T142" s="134" t="str">
        <f t="shared" si="132"/>
        <v/>
      </c>
      <c r="U142" s="134" t="str">
        <f t="shared" si="133"/>
        <v/>
      </c>
      <c r="V142" s="134" t="str">
        <f t="shared" si="134"/>
        <v/>
      </c>
      <c r="W142" s="19" t="str">
        <f t="shared" si="135"/>
        <v/>
      </c>
      <c r="X142" s="19" t="str">
        <f t="shared" si="136"/>
        <v/>
      </c>
      <c r="Y142" s="19" t="str">
        <f t="shared" si="137"/>
        <v/>
      </c>
      <c r="Z142" s="19" t="str">
        <f t="shared" si="138"/>
        <v/>
      </c>
      <c r="AA142" s="19" t="str">
        <f t="shared" si="139"/>
        <v/>
      </c>
      <c r="AB142" s="19" t="str">
        <f t="shared" si="140"/>
        <v/>
      </c>
      <c r="AC142" s="19" t="str">
        <f t="shared" si="141"/>
        <v/>
      </c>
      <c r="AD142" s="19" t="str">
        <f t="shared" si="142"/>
        <v/>
      </c>
      <c r="AE142" s="19" t="str">
        <f t="shared" si="143"/>
        <v/>
      </c>
      <c r="AF142" s="19" t="str">
        <f t="shared" si="144"/>
        <v/>
      </c>
      <c r="AG142" s="134" t="str">
        <f t="shared" si="145"/>
        <v/>
      </c>
      <c r="AH142" s="134" t="str">
        <f t="shared" si="146"/>
        <v/>
      </c>
      <c r="AI142" s="134" t="str">
        <f t="shared" si="147"/>
        <v/>
      </c>
      <c r="AJ142" s="134" t="str">
        <f t="shared" si="148"/>
        <v/>
      </c>
      <c r="AK142" s="134" t="str">
        <f t="shared" si="149"/>
        <v/>
      </c>
      <c r="AL142" s="134" t="str">
        <f t="shared" si="150"/>
        <v/>
      </c>
      <c r="AM142" s="134" t="str">
        <f t="shared" si="151"/>
        <v/>
      </c>
      <c r="AN142" s="134" t="str">
        <f t="shared" si="152"/>
        <v/>
      </c>
      <c r="AO142" s="134" t="str">
        <f t="shared" si="153"/>
        <v/>
      </c>
      <c r="AP142" s="134" t="str">
        <f t="shared" si="154"/>
        <v/>
      </c>
      <c r="AQ142" s="142" t="str">
        <f t="shared" si="114"/>
        <v/>
      </c>
      <c r="AR142" s="134" t="str">
        <f t="shared" si="115"/>
        <v/>
      </c>
      <c r="AS142" s="1042"/>
      <c r="AT142" s="468"/>
      <c r="AU142" s="143" t="str">
        <f t="shared" si="116"/>
        <v/>
      </c>
      <c r="AV142" s="17"/>
      <c r="AW142" s="136" t="str">
        <f t="shared" si="117"/>
        <v/>
      </c>
      <c r="AX142" s="17"/>
      <c r="AY142" s="27"/>
    </row>
    <row r="143" spans="2:51">
      <c r="B143" s="534"/>
      <c r="C143" s="136"/>
      <c r="D143" s="135" t="str">
        <f t="shared" si="119"/>
        <v/>
      </c>
      <c r="E143" s="135" t="str">
        <f t="shared" si="118"/>
        <v/>
      </c>
      <c r="F143" s="136" t="str">
        <f t="shared" si="112"/>
        <v/>
      </c>
      <c r="G143" s="134" t="str">
        <f t="shared" si="113"/>
        <v/>
      </c>
      <c r="H143" s="134" t="str">
        <f t="shared" si="120"/>
        <v/>
      </c>
      <c r="I143" s="135" t="str">
        <f t="shared" si="121"/>
        <v/>
      </c>
      <c r="J143" s="135" t="str">
        <f t="shared" si="122"/>
        <v/>
      </c>
      <c r="K143" s="136" t="str">
        <f t="shared" si="123"/>
        <v/>
      </c>
      <c r="L143" s="136" t="str">
        <f t="shared" si="124"/>
        <v/>
      </c>
      <c r="M143" s="134" t="str">
        <f t="shared" si="125"/>
        <v/>
      </c>
      <c r="N143" s="134" t="str">
        <f t="shared" si="126"/>
        <v/>
      </c>
      <c r="O143" s="134" t="str">
        <f t="shared" si="127"/>
        <v/>
      </c>
      <c r="P143" s="134" t="str">
        <f t="shared" si="128"/>
        <v/>
      </c>
      <c r="Q143" s="134" t="str">
        <f t="shared" si="129"/>
        <v/>
      </c>
      <c r="R143" s="134" t="str">
        <f t="shared" si="130"/>
        <v/>
      </c>
      <c r="S143" s="134" t="str">
        <f t="shared" si="131"/>
        <v/>
      </c>
      <c r="T143" s="134" t="str">
        <f t="shared" si="132"/>
        <v/>
      </c>
      <c r="U143" s="134" t="str">
        <f t="shared" si="133"/>
        <v/>
      </c>
      <c r="V143" s="134" t="str">
        <f t="shared" si="134"/>
        <v/>
      </c>
      <c r="W143" s="19" t="str">
        <f t="shared" si="135"/>
        <v/>
      </c>
      <c r="X143" s="19" t="str">
        <f t="shared" si="136"/>
        <v/>
      </c>
      <c r="Y143" s="19" t="str">
        <f t="shared" si="137"/>
        <v/>
      </c>
      <c r="Z143" s="19" t="str">
        <f t="shared" si="138"/>
        <v/>
      </c>
      <c r="AA143" s="19" t="str">
        <f t="shared" si="139"/>
        <v/>
      </c>
      <c r="AB143" s="19" t="str">
        <f t="shared" si="140"/>
        <v/>
      </c>
      <c r="AC143" s="19" t="str">
        <f t="shared" si="141"/>
        <v/>
      </c>
      <c r="AD143" s="19" t="str">
        <f t="shared" si="142"/>
        <v/>
      </c>
      <c r="AE143" s="19" t="str">
        <f t="shared" si="143"/>
        <v/>
      </c>
      <c r="AF143" s="19" t="str">
        <f t="shared" si="144"/>
        <v/>
      </c>
      <c r="AG143" s="134" t="str">
        <f t="shared" si="145"/>
        <v/>
      </c>
      <c r="AH143" s="134" t="str">
        <f t="shared" si="146"/>
        <v/>
      </c>
      <c r="AI143" s="134" t="str">
        <f t="shared" si="147"/>
        <v/>
      </c>
      <c r="AJ143" s="134" t="str">
        <f t="shared" si="148"/>
        <v/>
      </c>
      <c r="AK143" s="134" t="str">
        <f t="shared" si="149"/>
        <v/>
      </c>
      <c r="AL143" s="134" t="str">
        <f t="shared" si="150"/>
        <v/>
      </c>
      <c r="AM143" s="134" t="str">
        <f t="shared" si="151"/>
        <v/>
      </c>
      <c r="AN143" s="134" t="str">
        <f t="shared" si="152"/>
        <v/>
      </c>
      <c r="AO143" s="134" t="str">
        <f t="shared" si="153"/>
        <v/>
      </c>
      <c r="AP143" s="134" t="str">
        <f t="shared" si="154"/>
        <v/>
      </c>
      <c r="AQ143" s="142" t="str">
        <f t="shared" si="114"/>
        <v/>
      </c>
      <c r="AR143" s="134" t="str">
        <f t="shared" si="115"/>
        <v/>
      </c>
      <c r="AS143" s="1042"/>
      <c r="AT143" s="468"/>
      <c r="AU143" s="143" t="str">
        <f t="shared" si="116"/>
        <v/>
      </c>
      <c r="AV143" s="17"/>
      <c r="AW143" s="136" t="str">
        <f t="shared" si="117"/>
        <v/>
      </c>
      <c r="AX143" s="17"/>
      <c r="AY143" s="27"/>
    </row>
    <row r="144" spans="2:51">
      <c r="B144" s="534"/>
      <c r="C144" s="136"/>
      <c r="D144" s="135" t="str">
        <f t="shared" si="119"/>
        <v/>
      </c>
      <c r="E144" s="135" t="str">
        <f t="shared" si="118"/>
        <v/>
      </c>
      <c r="F144" s="136" t="str">
        <f t="shared" si="112"/>
        <v/>
      </c>
      <c r="G144" s="134" t="str">
        <f t="shared" si="113"/>
        <v/>
      </c>
      <c r="H144" s="134" t="str">
        <f t="shared" si="120"/>
        <v/>
      </c>
      <c r="I144" s="135" t="str">
        <f t="shared" si="121"/>
        <v/>
      </c>
      <c r="J144" s="135" t="str">
        <f t="shared" si="122"/>
        <v/>
      </c>
      <c r="K144" s="136" t="str">
        <f t="shared" si="123"/>
        <v/>
      </c>
      <c r="L144" s="136" t="str">
        <f t="shared" si="124"/>
        <v/>
      </c>
      <c r="M144" s="134" t="str">
        <f t="shared" si="125"/>
        <v/>
      </c>
      <c r="N144" s="134" t="str">
        <f t="shared" si="126"/>
        <v/>
      </c>
      <c r="O144" s="134" t="str">
        <f t="shared" si="127"/>
        <v/>
      </c>
      <c r="P144" s="134" t="str">
        <f t="shared" si="128"/>
        <v/>
      </c>
      <c r="Q144" s="134" t="str">
        <f t="shared" si="129"/>
        <v/>
      </c>
      <c r="R144" s="134" t="str">
        <f t="shared" si="130"/>
        <v/>
      </c>
      <c r="S144" s="134" t="str">
        <f t="shared" si="131"/>
        <v/>
      </c>
      <c r="T144" s="134" t="str">
        <f t="shared" si="132"/>
        <v/>
      </c>
      <c r="U144" s="134" t="str">
        <f t="shared" si="133"/>
        <v/>
      </c>
      <c r="V144" s="134" t="str">
        <f t="shared" si="134"/>
        <v/>
      </c>
      <c r="W144" s="19" t="str">
        <f t="shared" si="135"/>
        <v/>
      </c>
      <c r="X144" s="19" t="str">
        <f t="shared" si="136"/>
        <v/>
      </c>
      <c r="Y144" s="19" t="str">
        <f t="shared" si="137"/>
        <v/>
      </c>
      <c r="Z144" s="19" t="str">
        <f t="shared" si="138"/>
        <v/>
      </c>
      <c r="AA144" s="19" t="str">
        <f t="shared" si="139"/>
        <v/>
      </c>
      <c r="AB144" s="19" t="str">
        <f t="shared" si="140"/>
        <v/>
      </c>
      <c r="AC144" s="19" t="str">
        <f t="shared" si="141"/>
        <v/>
      </c>
      <c r="AD144" s="19" t="str">
        <f t="shared" si="142"/>
        <v/>
      </c>
      <c r="AE144" s="19" t="str">
        <f t="shared" si="143"/>
        <v/>
      </c>
      <c r="AF144" s="19" t="str">
        <f t="shared" si="144"/>
        <v/>
      </c>
      <c r="AG144" s="134" t="str">
        <f t="shared" si="145"/>
        <v/>
      </c>
      <c r="AH144" s="134" t="str">
        <f t="shared" si="146"/>
        <v/>
      </c>
      <c r="AI144" s="134" t="str">
        <f t="shared" si="147"/>
        <v/>
      </c>
      <c r="AJ144" s="134" t="str">
        <f t="shared" si="148"/>
        <v/>
      </c>
      <c r="AK144" s="134" t="str">
        <f t="shared" si="149"/>
        <v/>
      </c>
      <c r="AL144" s="134" t="str">
        <f t="shared" si="150"/>
        <v/>
      </c>
      <c r="AM144" s="134" t="str">
        <f t="shared" si="151"/>
        <v/>
      </c>
      <c r="AN144" s="134" t="str">
        <f t="shared" si="152"/>
        <v/>
      </c>
      <c r="AO144" s="134" t="str">
        <f t="shared" si="153"/>
        <v/>
      </c>
      <c r="AP144" s="134" t="str">
        <f t="shared" si="154"/>
        <v/>
      </c>
      <c r="AQ144" s="142" t="str">
        <f t="shared" si="114"/>
        <v/>
      </c>
      <c r="AR144" s="134" t="str">
        <f t="shared" si="115"/>
        <v/>
      </c>
      <c r="AS144" s="1042"/>
      <c r="AT144" s="468"/>
      <c r="AU144" s="143" t="str">
        <f t="shared" si="116"/>
        <v/>
      </c>
      <c r="AV144" s="17"/>
      <c r="AW144" s="136" t="str">
        <f t="shared" si="117"/>
        <v/>
      </c>
      <c r="AX144" s="17"/>
      <c r="AY144" s="27"/>
    </row>
    <row r="145" spans="2:51">
      <c r="B145" s="534"/>
      <c r="C145" s="136"/>
      <c r="D145" s="135" t="str">
        <f t="shared" si="119"/>
        <v/>
      </c>
      <c r="E145" s="135" t="str">
        <f t="shared" si="118"/>
        <v/>
      </c>
      <c r="F145" s="136" t="str">
        <f t="shared" si="112"/>
        <v/>
      </c>
      <c r="G145" s="134" t="str">
        <f t="shared" si="113"/>
        <v/>
      </c>
      <c r="H145" s="134" t="str">
        <f t="shared" si="120"/>
        <v/>
      </c>
      <c r="I145" s="135" t="str">
        <f t="shared" si="121"/>
        <v/>
      </c>
      <c r="J145" s="135" t="str">
        <f t="shared" si="122"/>
        <v/>
      </c>
      <c r="K145" s="136" t="str">
        <f t="shared" si="123"/>
        <v/>
      </c>
      <c r="L145" s="136" t="str">
        <f t="shared" si="124"/>
        <v/>
      </c>
      <c r="M145" s="134" t="str">
        <f t="shared" si="125"/>
        <v/>
      </c>
      <c r="N145" s="134" t="str">
        <f t="shared" si="126"/>
        <v/>
      </c>
      <c r="O145" s="134" t="str">
        <f t="shared" si="127"/>
        <v/>
      </c>
      <c r="P145" s="134" t="str">
        <f t="shared" si="128"/>
        <v/>
      </c>
      <c r="Q145" s="134" t="str">
        <f t="shared" si="129"/>
        <v/>
      </c>
      <c r="R145" s="134" t="str">
        <f t="shared" si="130"/>
        <v/>
      </c>
      <c r="S145" s="134" t="str">
        <f t="shared" si="131"/>
        <v/>
      </c>
      <c r="T145" s="134" t="str">
        <f t="shared" si="132"/>
        <v/>
      </c>
      <c r="U145" s="134" t="str">
        <f t="shared" si="133"/>
        <v/>
      </c>
      <c r="V145" s="134" t="str">
        <f t="shared" si="134"/>
        <v/>
      </c>
      <c r="W145" s="19" t="str">
        <f t="shared" si="135"/>
        <v/>
      </c>
      <c r="X145" s="19" t="str">
        <f t="shared" si="136"/>
        <v/>
      </c>
      <c r="Y145" s="19" t="str">
        <f t="shared" si="137"/>
        <v/>
      </c>
      <c r="Z145" s="19" t="str">
        <f t="shared" si="138"/>
        <v/>
      </c>
      <c r="AA145" s="19" t="str">
        <f t="shared" si="139"/>
        <v/>
      </c>
      <c r="AB145" s="19" t="str">
        <f t="shared" si="140"/>
        <v/>
      </c>
      <c r="AC145" s="19" t="str">
        <f t="shared" si="141"/>
        <v/>
      </c>
      <c r="AD145" s="19" t="str">
        <f t="shared" si="142"/>
        <v/>
      </c>
      <c r="AE145" s="19" t="str">
        <f t="shared" si="143"/>
        <v/>
      </c>
      <c r="AF145" s="19" t="str">
        <f t="shared" si="144"/>
        <v/>
      </c>
      <c r="AG145" s="134" t="str">
        <f t="shared" si="145"/>
        <v/>
      </c>
      <c r="AH145" s="134" t="str">
        <f t="shared" si="146"/>
        <v/>
      </c>
      <c r="AI145" s="134" t="str">
        <f t="shared" si="147"/>
        <v/>
      </c>
      <c r="AJ145" s="134" t="str">
        <f t="shared" si="148"/>
        <v/>
      </c>
      <c r="AK145" s="134" t="str">
        <f t="shared" si="149"/>
        <v/>
      </c>
      <c r="AL145" s="134" t="str">
        <f t="shared" si="150"/>
        <v/>
      </c>
      <c r="AM145" s="134" t="str">
        <f t="shared" si="151"/>
        <v/>
      </c>
      <c r="AN145" s="134" t="str">
        <f t="shared" si="152"/>
        <v/>
      </c>
      <c r="AO145" s="134" t="str">
        <f t="shared" si="153"/>
        <v/>
      </c>
      <c r="AP145" s="134" t="str">
        <f t="shared" si="154"/>
        <v/>
      </c>
      <c r="AQ145" s="142" t="str">
        <f t="shared" si="114"/>
        <v/>
      </c>
      <c r="AR145" s="134" t="str">
        <f t="shared" si="115"/>
        <v/>
      </c>
      <c r="AS145" s="1042"/>
      <c r="AT145" s="468"/>
      <c r="AU145" s="143" t="str">
        <f t="shared" si="116"/>
        <v/>
      </c>
      <c r="AV145" s="17"/>
      <c r="AW145" s="136" t="str">
        <f t="shared" si="117"/>
        <v/>
      </c>
      <c r="AX145" s="17"/>
      <c r="AY145" s="27"/>
    </row>
    <row r="146" spans="2:51">
      <c r="B146" s="534"/>
      <c r="C146" s="136"/>
      <c r="D146" s="135" t="str">
        <f t="shared" si="119"/>
        <v/>
      </c>
      <c r="E146" s="135" t="str">
        <f t="shared" si="118"/>
        <v/>
      </c>
      <c r="F146" s="136" t="str">
        <f t="shared" si="112"/>
        <v/>
      </c>
      <c r="G146" s="134" t="str">
        <f t="shared" si="113"/>
        <v/>
      </c>
      <c r="H146" s="134" t="str">
        <f t="shared" si="120"/>
        <v/>
      </c>
      <c r="I146" s="135" t="str">
        <f t="shared" si="121"/>
        <v/>
      </c>
      <c r="J146" s="135" t="str">
        <f t="shared" si="122"/>
        <v/>
      </c>
      <c r="K146" s="136" t="str">
        <f t="shared" si="123"/>
        <v/>
      </c>
      <c r="L146" s="136" t="str">
        <f t="shared" si="124"/>
        <v/>
      </c>
      <c r="M146" s="134" t="str">
        <f t="shared" si="125"/>
        <v/>
      </c>
      <c r="N146" s="134" t="str">
        <f t="shared" si="126"/>
        <v/>
      </c>
      <c r="O146" s="134" t="str">
        <f t="shared" si="127"/>
        <v/>
      </c>
      <c r="P146" s="134" t="str">
        <f t="shared" si="128"/>
        <v/>
      </c>
      <c r="Q146" s="134" t="str">
        <f t="shared" si="129"/>
        <v/>
      </c>
      <c r="R146" s="134" t="str">
        <f t="shared" si="130"/>
        <v/>
      </c>
      <c r="S146" s="134" t="str">
        <f t="shared" si="131"/>
        <v/>
      </c>
      <c r="T146" s="134" t="str">
        <f t="shared" si="132"/>
        <v/>
      </c>
      <c r="U146" s="134" t="str">
        <f t="shared" si="133"/>
        <v/>
      </c>
      <c r="V146" s="134" t="str">
        <f t="shared" si="134"/>
        <v/>
      </c>
      <c r="W146" s="19" t="str">
        <f t="shared" si="135"/>
        <v/>
      </c>
      <c r="X146" s="19" t="str">
        <f t="shared" si="136"/>
        <v/>
      </c>
      <c r="Y146" s="19" t="str">
        <f t="shared" si="137"/>
        <v/>
      </c>
      <c r="Z146" s="19" t="str">
        <f t="shared" si="138"/>
        <v/>
      </c>
      <c r="AA146" s="19" t="str">
        <f t="shared" si="139"/>
        <v/>
      </c>
      <c r="AB146" s="19" t="str">
        <f t="shared" si="140"/>
        <v/>
      </c>
      <c r="AC146" s="19" t="str">
        <f t="shared" si="141"/>
        <v/>
      </c>
      <c r="AD146" s="19" t="str">
        <f t="shared" si="142"/>
        <v/>
      </c>
      <c r="AE146" s="19" t="str">
        <f t="shared" si="143"/>
        <v/>
      </c>
      <c r="AF146" s="19" t="str">
        <f t="shared" si="144"/>
        <v/>
      </c>
      <c r="AG146" s="134" t="str">
        <f t="shared" si="145"/>
        <v/>
      </c>
      <c r="AH146" s="134" t="str">
        <f t="shared" si="146"/>
        <v/>
      </c>
      <c r="AI146" s="134" t="str">
        <f t="shared" si="147"/>
        <v/>
      </c>
      <c r="AJ146" s="134" t="str">
        <f t="shared" si="148"/>
        <v/>
      </c>
      <c r="AK146" s="134" t="str">
        <f t="shared" si="149"/>
        <v/>
      </c>
      <c r="AL146" s="134" t="str">
        <f t="shared" si="150"/>
        <v/>
      </c>
      <c r="AM146" s="134" t="str">
        <f t="shared" si="151"/>
        <v/>
      </c>
      <c r="AN146" s="134" t="str">
        <f t="shared" si="152"/>
        <v/>
      </c>
      <c r="AO146" s="134" t="str">
        <f t="shared" si="153"/>
        <v/>
      </c>
      <c r="AP146" s="134" t="str">
        <f t="shared" si="154"/>
        <v/>
      </c>
      <c r="AQ146" s="142" t="str">
        <f t="shared" si="114"/>
        <v/>
      </c>
      <c r="AR146" s="134" t="str">
        <f t="shared" si="115"/>
        <v/>
      </c>
      <c r="AS146" s="1042"/>
      <c r="AT146" s="468"/>
      <c r="AU146" s="143" t="str">
        <f t="shared" si="116"/>
        <v/>
      </c>
      <c r="AV146" s="17"/>
      <c r="AW146" s="136" t="str">
        <f t="shared" si="117"/>
        <v/>
      </c>
      <c r="AX146" s="17"/>
      <c r="AY146" s="27"/>
    </row>
    <row r="147" spans="2:51">
      <c r="B147" s="534"/>
      <c r="C147" s="136"/>
      <c r="D147" s="135" t="str">
        <f t="shared" si="119"/>
        <v/>
      </c>
      <c r="E147" s="135" t="str">
        <f t="shared" si="118"/>
        <v/>
      </c>
      <c r="F147" s="136" t="str">
        <f t="shared" si="112"/>
        <v/>
      </c>
      <c r="G147" s="134" t="str">
        <f t="shared" si="113"/>
        <v/>
      </c>
      <c r="H147" s="134" t="str">
        <f t="shared" si="120"/>
        <v/>
      </c>
      <c r="I147" s="135" t="str">
        <f t="shared" si="121"/>
        <v/>
      </c>
      <c r="J147" s="135" t="str">
        <f t="shared" si="122"/>
        <v/>
      </c>
      <c r="K147" s="136" t="str">
        <f t="shared" si="123"/>
        <v/>
      </c>
      <c r="L147" s="136" t="str">
        <f t="shared" si="124"/>
        <v/>
      </c>
      <c r="M147" s="134" t="str">
        <f t="shared" si="125"/>
        <v/>
      </c>
      <c r="N147" s="134" t="str">
        <f t="shared" si="126"/>
        <v/>
      </c>
      <c r="O147" s="134" t="str">
        <f t="shared" si="127"/>
        <v/>
      </c>
      <c r="P147" s="134" t="str">
        <f t="shared" si="128"/>
        <v/>
      </c>
      <c r="Q147" s="134" t="str">
        <f t="shared" si="129"/>
        <v/>
      </c>
      <c r="R147" s="134" t="str">
        <f t="shared" si="130"/>
        <v/>
      </c>
      <c r="S147" s="134" t="str">
        <f t="shared" si="131"/>
        <v/>
      </c>
      <c r="T147" s="134" t="str">
        <f t="shared" si="132"/>
        <v/>
      </c>
      <c r="U147" s="134" t="str">
        <f t="shared" si="133"/>
        <v/>
      </c>
      <c r="V147" s="134" t="str">
        <f t="shared" si="134"/>
        <v/>
      </c>
      <c r="W147" s="19" t="str">
        <f t="shared" si="135"/>
        <v/>
      </c>
      <c r="X147" s="19" t="str">
        <f t="shared" si="136"/>
        <v/>
      </c>
      <c r="Y147" s="19" t="str">
        <f t="shared" si="137"/>
        <v/>
      </c>
      <c r="Z147" s="19" t="str">
        <f t="shared" si="138"/>
        <v/>
      </c>
      <c r="AA147" s="19" t="str">
        <f t="shared" si="139"/>
        <v/>
      </c>
      <c r="AB147" s="19" t="str">
        <f t="shared" si="140"/>
        <v/>
      </c>
      <c r="AC147" s="19" t="str">
        <f t="shared" si="141"/>
        <v/>
      </c>
      <c r="AD147" s="19" t="str">
        <f t="shared" si="142"/>
        <v/>
      </c>
      <c r="AE147" s="19" t="str">
        <f t="shared" si="143"/>
        <v/>
      </c>
      <c r="AF147" s="19" t="str">
        <f t="shared" si="144"/>
        <v/>
      </c>
      <c r="AG147" s="134" t="str">
        <f t="shared" si="145"/>
        <v/>
      </c>
      <c r="AH147" s="134" t="str">
        <f t="shared" si="146"/>
        <v/>
      </c>
      <c r="AI147" s="134" t="str">
        <f t="shared" si="147"/>
        <v/>
      </c>
      <c r="AJ147" s="134" t="str">
        <f t="shared" si="148"/>
        <v/>
      </c>
      <c r="AK147" s="134" t="str">
        <f t="shared" si="149"/>
        <v/>
      </c>
      <c r="AL147" s="134" t="str">
        <f t="shared" si="150"/>
        <v/>
      </c>
      <c r="AM147" s="134" t="str">
        <f t="shared" si="151"/>
        <v/>
      </c>
      <c r="AN147" s="134" t="str">
        <f t="shared" si="152"/>
        <v/>
      </c>
      <c r="AO147" s="134" t="str">
        <f t="shared" si="153"/>
        <v/>
      </c>
      <c r="AP147" s="134" t="str">
        <f t="shared" si="154"/>
        <v/>
      </c>
      <c r="AQ147" s="142" t="str">
        <f t="shared" si="114"/>
        <v/>
      </c>
      <c r="AR147" s="134" t="str">
        <f t="shared" si="115"/>
        <v/>
      </c>
      <c r="AS147" s="1042"/>
      <c r="AT147" s="468"/>
      <c r="AU147" s="143" t="str">
        <f t="shared" si="116"/>
        <v/>
      </c>
      <c r="AV147" s="17"/>
      <c r="AW147" s="136" t="str">
        <f t="shared" si="117"/>
        <v/>
      </c>
      <c r="AX147" s="17"/>
      <c r="AY147" s="27"/>
    </row>
    <row r="148" spans="2:51">
      <c r="B148" s="534"/>
      <c r="C148" s="136"/>
      <c r="D148" s="135" t="str">
        <f t="shared" si="119"/>
        <v/>
      </c>
      <c r="E148" s="135" t="str">
        <f t="shared" si="118"/>
        <v/>
      </c>
      <c r="F148" s="136" t="str">
        <f t="shared" si="112"/>
        <v/>
      </c>
      <c r="G148" s="134" t="str">
        <f t="shared" si="113"/>
        <v/>
      </c>
      <c r="H148" s="134" t="str">
        <f t="shared" si="120"/>
        <v/>
      </c>
      <c r="I148" s="135" t="str">
        <f t="shared" si="121"/>
        <v/>
      </c>
      <c r="J148" s="135" t="str">
        <f t="shared" si="122"/>
        <v/>
      </c>
      <c r="K148" s="136" t="str">
        <f t="shared" si="123"/>
        <v/>
      </c>
      <c r="L148" s="136" t="str">
        <f t="shared" si="124"/>
        <v/>
      </c>
      <c r="M148" s="134" t="str">
        <f t="shared" si="125"/>
        <v/>
      </c>
      <c r="N148" s="134" t="str">
        <f t="shared" si="126"/>
        <v/>
      </c>
      <c r="O148" s="134" t="str">
        <f t="shared" si="127"/>
        <v/>
      </c>
      <c r="P148" s="134" t="str">
        <f t="shared" si="128"/>
        <v/>
      </c>
      <c r="Q148" s="134" t="str">
        <f t="shared" si="129"/>
        <v/>
      </c>
      <c r="R148" s="134" t="str">
        <f t="shared" si="130"/>
        <v/>
      </c>
      <c r="S148" s="134" t="str">
        <f t="shared" si="131"/>
        <v/>
      </c>
      <c r="T148" s="134" t="str">
        <f t="shared" si="132"/>
        <v/>
      </c>
      <c r="U148" s="134" t="str">
        <f t="shared" si="133"/>
        <v/>
      </c>
      <c r="V148" s="134" t="str">
        <f t="shared" si="134"/>
        <v/>
      </c>
      <c r="W148" s="19" t="str">
        <f t="shared" si="135"/>
        <v/>
      </c>
      <c r="X148" s="19" t="str">
        <f t="shared" si="136"/>
        <v/>
      </c>
      <c r="Y148" s="19" t="str">
        <f t="shared" si="137"/>
        <v/>
      </c>
      <c r="Z148" s="19" t="str">
        <f t="shared" si="138"/>
        <v/>
      </c>
      <c r="AA148" s="19" t="str">
        <f t="shared" si="139"/>
        <v/>
      </c>
      <c r="AB148" s="19" t="str">
        <f t="shared" si="140"/>
        <v/>
      </c>
      <c r="AC148" s="19" t="str">
        <f t="shared" si="141"/>
        <v/>
      </c>
      <c r="AD148" s="19" t="str">
        <f t="shared" si="142"/>
        <v/>
      </c>
      <c r="AE148" s="19" t="str">
        <f t="shared" si="143"/>
        <v/>
      </c>
      <c r="AF148" s="19" t="str">
        <f t="shared" si="144"/>
        <v/>
      </c>
      <c r="AG148" s="134" t="str">
        <f t="shared" si="145"/>
        <v/>
      </c>
      <c r="AH148" s="134" t="str">
        <f t="shared" si="146"/>
        <v/>
      </c>
      <c r="AI148" s="134" t="str">
        <f t="shared" si="147"/>
        <v/>
      </c>
      <c r="AJ148" s="134" t="str">
        <f t="shared" si="148"/>
        <v/>
      </c>
      <c r="AK148" s="134" t="str">
        <f t="shared" si="149"/>
        <v/>
      </c>
      <c r="AL148" s="134" t="str">
        <f t="shared" si="150"/>
        <v/>
      </c>
      <c r="AM148" s="134" t="str">
        <f t="shared" si="151"/>
        <v/>
      </c>
      <c r="AN148" s="134" t="str">
        <f t="shared" si="152"/>
        <v/>
      </c>
      <c r="AO148" s="134" t="str">
        <f t="shared" si="153"/>
        <v/>
      </c>
      <c r="AP148" s="134" t="str">
        <f t="shared" si="154"/>
        <v/>
      </c>
      <c r="AQ148" s="142" t="str">
        <f t="shared" si="114"/>
        <v/>
      </c>
      <c r="AR148" s="134" t="str">
        <f t="shared" si="115"/>
        <v/>
      </c>
      <c r="AS148" s="1042"/>
      <c r="AT148" s="468"/>
      <c r="AU148" s="143" t="str">
        <f t="shared" si="116"/>
        <v/>
      </c>
      <c r="AV148" s="17"/>
      <c r="AW148" s="136" t="str">
        <f t="shared" si="117"/>
        <v/>
      </c>
      <c r="AX148" s="17"/>
      <c r="AY148" s="27"/>
    </row>
    <row r="149" spans="2:51">
      <c r="B149" s="534"/>
      <c r="C149" s="136"/>
      <c r="D149" s="135" t="str">
        <f t="shared" si="119"/>
        <v/>
      </c>
      <c r="E149" s="135" t="str">
        <f t="shared" si="118"/>
        <v/>
      </c>
      <c r="F149" s="136" t="str">
        <f t="shared" si="112"/>
        <v/>
      </c>
      <c r="G149" s="134" t="str">
        <f t="shared" si="113"/>
        <v/>
      </c>
      <c r="H149" s="134" t="str">
        <f t="shared" si="120"/>
        <v/>
      </c>
      <c r="I149" s="135" t="str">
        <f t="shared" si="121"/>
        <v/>
      </c>
      <c r="J149" s="135" t="str">
        <f t="shared" si="122"/>
        <v/>
      </c>
      <c r="K149" s="136" t="str">
        <f t="shared" si="123"/>
        <v/>
      </c>
      <c r="L149" s="136" t="str">
        <f t="shared" si="124"/>
        <v/>
      </c>
      <c r="M149" s="134" t="str">
        <f t="shared" si="125"/>
        <v/>
      </c>
      <c r="N149" s="134" t="str">
        <f t="shared" si="126"/>
        <v/>
      </c>
      <c r="O149" s="134" t="str">
        <f t="shared" si="127"/>
        <v/>
      </c>
      <c r="P149" s="134" t="str">
        <f t="shared" si="128"/>
        <v/>
      </c>
      <c r="Q149" s="134" t="str">
        <f t="shared" si="129"/>
        <v/>
      </c>
      <c r="R149" s="134" t="str">
        <f t="shared" si="130"/>
        <v/>
      </c>
      <c r="S149" s="134" t="str">
        <f t="shared" si="131"/>
        <v/>
      </c>
      <c r="T149" s="134" t="str">
        <f t="shared" si="132"/>
        <v/>
      </c>
      <c r="U149" s="134" t="str">
        <f t="shared" si="133"/>
        <v/>
      </c>
      <c r="V149" s="134" t="str">
        <f t="shared" si="134"/>
        <v/>
      </c>
      <c r="W149" s="19" t="str">
        <f t="shared" si="135"/>
        <v/>
      </c>
      <c r="X149" s="19" t="str">
        <f t="shared" si="136"/>
        <v/>
      </c>
      <c r="Y149" s="19" t="str">
        <f t="shared" si="137"/>
        <v/>
      </c>
      <c r="Z149" s="19" t="str">
        <f t="shared" si="138"/>
        <v/>
      </c>
      <c r="AA149" s="19" t="str">
        <f t="shared" si="139"/>
        <v/>
      </c>
      <c r="AB149" s="19" t="str">
        <f t="shared" si="140"/>
        <v/>
      </c>
      <c r="AC149" s="19" t="str">
        <f t="shared" si="141"/>
        <v/>
      </c>
      <c r="AD149" s="19" t="str">
        <f t="shared" si="142"/>
        <v/>
      </c>
      <c r="AE149" s="19" t="str">
        <f t="shared" si="143"/>
        <v/>
      </c>
      <c r="AF149" s="19" t="str">
        <f t="shared" si="144"/>
        <v/>
      </c>
      <c r="AG149" s="134" t="str">
        <f t="shared" si="145"/>
        <v/>
      </c>
      <c r="AH149" s="134" t="str">
        <f t="shared" si="146"/>
        <v/>
      </c>
      <c r="AI149" s="134" t="str">
        <f t="shared" si="147"/>
        <v/>
      </c>
      <c r="AJ149" s="134" t="str">
        <f t="shared" si="148"/>
        <v/>
      </c>
      <c r="AK149" s="134" t="str">
        <f t="shared" si="149"/>
        <v/>
      </c>
      <c r="AL149" s="134" t="str">
        <f t="shared" si="150"/>
        <v/>
      </c>
      <c r="AM149" s="134" t="str">
        <f t="shared" si="151"/>
        <v/>
      </c>
      <c r="AN149" s="134" t="str">
        <f t="shared" si="152"/>
        <v/>
      </c>
      <c r="AO149" s="134" t="str">
        <f t="shared" si="153"/>
        <v/>
      </c>
      <c r="AP149" s="134" t="str">
        <f t="shared" si="154"/>
        <v/>
      </c>
      <c r="AQ149" s="142" t="str">
        <f t="shared" si="114"/>
        <v/>
      </c>
      <c r="AR149" s="134" t="str">
        <f t="shared" si="115"/>
        <v/>
      </c>
      <c r="AS149" s="1042"/>
      <c r="AT149" s="468"/>
      <c r="AU149" s="143" t="str">
        <f t="shared" si="116"/>
        <v/>
      </c>
      <c r="AV149" s="17"/>
      <c r="AW149" s="136" t="str">
        <f t="shared" si="117"/>
        <v/>
      </c>
      <c r="AX149" s="17"/>
      <c r="AY149" s="27"/>
    </row>
    <row r="150" spans="2:51">
      <c r="B150" s="534"/>
      <c r="C150" s="136"/>
      <c r="D150" s="135" t="str">
        <f t="shared" si="119"/>
        <v/>
      </c>
      <c r="E150" s="135" t="str">
        <f t="shared" si="118"/>
        <v/>
      </c>
      <c r="F150" s="136" t="str">
        <f t="shared" si="112"/>
        <v/>
      </c>
      <c r="G150" s="134" t="str">
        <f t="shared" si="113"/>
        <v/>
      </c>
      <c r="H150" s="134" t="str">
        <f t="shared" si="120"/>
        <v/>
      </c>
      <c r="I150" s="135" t="str">
        <f t="shared" si="121"/>
        <v/>
      </c>
      <c r="J150" s="135" t="str">
        <f t="shared" si="122"/>
        <v/>
      </c>
      <c r="K150" s="136" t="str">
        <f t="shared" si="123"/>
        <v/>
      </c>
      <c r="L150" s="136" t="str">
        <f t="shared" si="124"/>
        <v/>
      </c>
      <c r="M150" s="134" t="str">
        <f t="shared" si="125"/>
        <v/>
      </c>
      <c r="N150" s="134" t="str">
        <f t="shared" si="126"/>
        <v/>
      </c>
      <c r="O150" s="134" t="str">
        <f t="shared" si="127"/>
        <v/>
      </c>
      <c r="P150" s="134" t="str">
        <f t="shared" si="128"/>
        <v/>
      </c>
      <c r="Q150" s="134" t="str">
        <f t="shared" si="129"/>
        <v/>
      </c>
      <c r="R150" s="134" t="str">
        <f t="shared" si="130"/>
        <v/>
      </c>
      <c r="S150" s="134" t="str">
        <f t="shared" si="131"/>
        <v/>
      </c>
      <c r="T150" s="134" t="str">
        <f t="shared" si="132"/>
        <v/>
      </c>
      <c r="U150" s="134" t="str">
        <f t="shared" si="133"/>
        <v/>
      </c>
      <c r="V150" s="134" t="str">
        <f t="shared" si="134"/>
        <v/>
      </c>
      <c r="W150" s="19" t="str">
        <f t="shared" si="135"/>
        <v/>
      </c>
      <c r="X150" s="19" t="str">
        <f t="shared" si="136"/>
        <v/>
      </c>
      <c r="Y150" s="19" t="str">
        <f t="shared" si="137"/>
        <v/>
      </c>
      <c r="Z150" s="19" t="str">
        <f t="shared" si="138"/>
        <v/>
      </c>
      <c r="AA150" s="19" t="str">
        <f t="shared" si="139"/>
        <v/>
      </c>
      <c r="AB150" s="19" t="str">
        <f t="shared" si="140"/>
        <v/>
      </c>
      <c r="AC150" s="19" t="str">
        <f t="shared" si="141"/>
        <v/>
      </c>
      <c r="AD150" s="19" t="str">
        <f t="shared" si="142"/>
        <v/>
      </c>
      <c r="AE150" s="19" t="str">
        <f t="shared" si="143"/>
        <v/>
      </c>
      <c r="AF150" s="19" t="str">
        <f t="shared" si="144"/>
        <v/>
      </c>
      <c r="AG150" s="134" t="str">
        <f t="shared" si="145"/>
        <v/>
      </c>
      <c r="AH150" s="134" t="str">
        <f t="shared" si="146"/>
        <v/>
      </c>
      <c r="AI150" s="134" t="str">
        <f t="shared" si="147"/>
        <v/>
      </c>
      <c r="AJ150" s="134" t="str">
        <f t="shared" si="148"/>
        <v/>
      </c>
      <c r="AK150" s="134" t="str">
        <f t="shared" si="149"/>
        <v/>
      </c>
      <c r="AL150" s="134" t="str">
        <f t="shared" si="150"/>
        <v/>
      </c>
      <c r="AM150" s="134" t="str">
        <f t="shared" si="151"/>
        <v/>
      </c>
      <c r="AN150" s="134" t="str">
        <f t="shared" si="152"/>
        <v/>
      </c>
      <c r="AO150" s="134" t="str">
        <f t="shared" si="153"/>
        <v/>
      </c>
      <c r="AP150" s="134" t="str">
        <f t="shared" si="154"/>
        <v/>
      </c>
      <c r="AQ150" s="142" t="str">
        <f t="shared" si="114"/>
        <v/>
      </c>
      <c r="AR150" s="134" t="str">
        <f t="shared" si="115"/>
        <v/>
      </c>
      <c r="AS150" s="1042"/>
      <c r="AT150" s="468"/>
      <c r="AU150" s="143" t="str">
        <f t="shared" si="116"/>
        <v/>
      </c>
      <c r="AV150" s="17"/>
      <c r="AW150" s="136" t="str">
        <f t="shared" si="117"/>
        <v/>
      </c>
      <c r="AX150" s="17"/>
      <c r="AY150" s="27"/>
    </row>
    <row r="151" spans="2:51">
      <c r="B151" s="534"/>
      <c r="C151" s="136"/>
      <c r="D151" s="135" t="str">
        <f t="shared" si="119"/>
        <v/>
      </c>
      <c r="E151" s="135" t="str">
        <f t="shared" si="118"/>
        <v/>
      </c>
      <c r="F151" s="136" t="str">
        <f t="shared" si="112"/>
        <v/>
      </c>
      <c r="G151" s="134" t="str">
        <f t="shared" si="113"/>
        <v/>
      </c>
      <c r="H151" s="134" t="str">
        <f t="shared" si="120"/>
        <v/>
      </c>
      <c r="I151" s="135" t="str">
        <f t="shared" si="121"/>
        <v/>
      </c>
      <c r="J151" s="135" t="str">
        <f t="shared" si="122"/>
        <v/>
      </c>
      <c r="K151" s="136" t="str">
        <f t="shared" si="123"/>
        <v/>
      </c>
      <c r="L151" s="136" t="str">
        <f t="shared" si="124"/>
        <v/>
      </c>
      <c r="M151" s="134" t="str">
        <f t="shared" si="125"/>
        <v/>
      </c>
      <c r="N151" s="134" t="str">
        <f t="shared" si="126"/>
        <v/>
      </c>
      <c r="O151" s="134" t="str">
        <f t="shared" si="127"/>
        <v/>
      </c>
      <c r="P151" s="134" t="str">
        <f t="shared" si="128"/>
        <v/>
      </c>
      <c r="Q151" s="134" t="str">
        <f t="shared" si="129"/>
        <v/>
      </c>
      <c r="R151" s="134" t="str">
        <f t="shared" si="130"/>
        <v/>
      </c>
      <c r="S151" s="134" t="str">
        <f t="shared" si="131"/>
        <v/>
      </c>
      <c r="T151" s="134" t="str">
        <f t="shared" si="132"/>
        <v/>
      </c>
      <c r="U151" s="134" t="str">
        <f t="shared" si="133"/>
        <v/>
      </c>
      <c r="V151" s="134" t="str">
        <f t="shared" si="134"/>
        <v/>
      </c>
      <c r="W151" s="19" t="str">
        <f t="shared" si="135"/>
        <v/>
      </c>
      <c r="X151" s="19" t="str">
        <f t="shared" si="136"/>
        <v/>
      </c>
      <c r="Y151" s="19" t="str">
        <f t="shared" si="137"/>
        <v/>
      </c>
      <c r="Z151" s="19" t="str">
        <f t="shared" si="138"/>
        <v/>
      </c>
      <c r="AA151" s="19" t="str">
        <f t="shared" si="139"/>
        <v/>
      </c>
      <c r="AB151" s="19" t="str">
        <f t="shared" si="140"/>
        <v/>
      </c>
      <c r="AC151" s="19" t="str">
        <f t="shared" si="141"/>
        <v/>
      </c>
      <c r="AD151" s="19" t="str">
        <f t="shared" si="142"/>
        <v/>
      </c>
      <c r="AE151" s="19" t="str">
        <f t="shared" si="143"/>
        <v/>
      </c>
      <c r="AF151" s="19" t="str">
        <f t="shared" si="144"/>
        <v/>
      </c>
      <c r="AG151" s="134" t="str">
        <f t="shared" si="145"/>
        <v/>
      </c>
      <c r="AH151" s="134" t="str">
        <f t="shared" si="146"/>
        <v/>
      </c>
      <c r="AI151" s="134" t="str">
        <f t="shared" si="147"/>
        <v/>
      </c>
      <c r="AJ151" s="134" t="str">
        <f t="shared" si="148"/>
        <v/>
      </c>
      <c r="AK151" s="134" t="str">
        <f t="shared" si="149"/>
        <v/>
      </c>
      <c r="AL151" s="134" t="str">
        <f t="shared" si="150"/>
        <v/>
      </c>
      <c r="AM151" s="134" t="str">
        <f t="shared" si="151"/>
        <v/>
      </c>
      <c r="AN151" s="134" t="str">
        <f t="shared" si="152"/>
        <v/>
      </c>
      <c r="AO151" s="134" t="str">
        <f t="shared" si="153"/>
        <v/>
      </c>
      <c r="AP151" s="134" t="str">
        <f t="shared" si="154"/>
        <v/>
      </c>
      <c r="AQ151" s="142" t="str">
        <f t="shared" si="114"/>
        <v/>
      </c>
      <c r="AR151" s="134" t="str">
        <f t="shared" si="115"/>
        <v/>
      </c>
      <c r="AS151" s="1042"/>
      <c r="AT151" s="468"/>
      <c r="AU151" s="143" t="str">
        <f t="shared" si="116"/>
        <v/>
      </c>
      <c r="AV151" s="17"/>
      <c r="AW151" s="136" t="str">
        <f t="shared" si="117"/>
        <v/>
      </c>
      <c r="AX151" s="17"/>
      <c r="AY151" s="27"/>
    </row>
    <row r="152" spans="2:51">
      <c r="B152" s="534"/>
      <c r="C152" s="136"/>
      <c r="D152" s="135" t="str">
        <f t="shared" si="119"/>
        <v/>
      </c>
      <c r="E152" s="135" t="str">
        <f t="shared" si="118"/>
        <v/>
      </c>
      <c r="F152" s="136" t="str">
        <f t="shared" si="112"/>
        <v/>
      </c>
      <c r="G152" s="134" t="str">
        <f t="shared" si="113"/>
        <v/>
      </c>
      <c r="H152" s="134" t="str">
        <f t="shared" si="120"/>
        <v/>
      </c>
      <c r="I152" s="135" t="str">
        <f t="shared" si="121"/>
        <v/>
      </c>
      <c r="J152" s="135" t="str">
        <f t="shared" si="122"/>
        <v/>
      </c>
      <c r="K152" s="136" t="str">
        <f t="shared" si="123"/>
        <v/>
      </c>
      <c r="L152" s="136" t="str">
        <f t="shared" si="124"/>
        <v/>
      </c>
      <c r="M152" s="134" t="str">
        <f t="shared" si="125"/>
        <v/>
      </c>
      <c r="N152" s="134" t="str">
        <f t="shared" si="126"/>
        <v/>
      </c>
      <c r="O152" s="134" t="str">
        <f t="shared" si="127"/>
        <v/>
      </c>
      <c r="P152" s="134" t="str">
        <f t="shared" si="128"/>
        <v/>
      </c>
      <c r="Q152" s="134" t="str">
        <f t="shared" si="129"/>
        <v/>
      </c>
      <c r="R152" s="134" t="str">
        <f t="shared" si="130"/>
        <v/>
      </c>
      <c r="S152" s="134" t="str">
        <f t="shared" si="131"/>
        <v/>
      </c>
      <c r="T152" s="134" t="str">
        <f t="shared" si="132"/>
        <v/>
      </c>
      <c r="U152" s="134" t="str">
        <f t="shared" si="133"/>
        <v/>
      </c>
      <c r="V152" s="134" t="str">
        <f t="shared" si="134"/>
        <v/>
      </c>
      <c r="W152" s="19" t="str">
        <f t="shared" si="135"/>
        <v/>
      </c>
      <c r="X152" s="19" t="str">
        <f t="shared" si="136"/>
        <v/>
      </c>
      <c r="Y152" s="19" t="str">
        <f t="shared" si="137"/>
        <v/>
      </c>
      <c r="Z152" s="19" t="str">
        <f t="shared" si="138"/>
        <v/>
      </c>
      <c r="AA152" s="19" t="str">
        <f t="shared" si="139"/>
        <v/>
      </c>
      <c r="AB152" s="19" t="str">
        <f t="shared" si="140"/>
        <v/>
      </c>
      <c r="AC152" s="19" t="str">
        <f t="shared" si="141"/>
        <v/>
      </c>
      <c r="AD152" s="19" t="str">
        <f t="shared" si="142"/>
        <v/>
      </c>
      <c r="AE152" s="19" t="str">
        <f t="shared" si="143"/>
        <v/>
      </c>
      <c r="AF152" s="19" t="str">
        <f t="shared" si="144"/>
        <v/>
      </c>
      <c r="AG152" s="134" t="str">
        <f t="shared" si="145"/>
        <v/>
      </c>
      <c r="AH152" s="134" t="str">
        <f t="shared" si="146"/>
        <v/>
      </c>
      <c r="AI152" s="134" t="str">
        <f t="shared" si="147"/>
        <v/>
      </c>
      <c r="AJ152" s="134" t="str">
        <f t="shared" si="148"/>
        <v/>
      </c>
      <c r="AK152" s="134" t="str">
        <f t="shared" si="149"/>
        <v/>
      </c>
      <c r="AL152" s="134" t="str">
        <f t="shared" si="150"/>
        <v/>
      </c>
      <c r="AM152" s="134" t="str">
        <f t="shared" si="151"/>
        <v/>
      </c>
      <c r="AN152" s="134" t="str">
        <f t="shared" si="152"/>
        <v/>
      </c>
      <c r="AO152" s="134" t="str">
        <f t="shared" si="153"/>
        <v/>
      </c>
      <c r="AP152" s="134" t="str">
        <f t="shared" si="154"/>
        <v/>
      </c>
      <c r="AQ152" s="142" t="str">
        <f t="shared" si="114"/>
        <v/>
      </c>
      <c r="AR152" s="134" t="str">
        <f t="shared" si="115"/>
        <v/>
      </c>
      <c r="AS152" s="1042"/>
      <c r="AT152" s="468"/>
      <c r="AU152" s="143" t="str">
        <f t="shared" si="116"/>
        <v/>
      </c>
      <c r="AV152" s="17"/>
      <c r="AW152" s="136" t="str">
        <f t="shared" si="117"/>
        <v/>
      </c>
      <c r="AX152" s="17"/>
      <c r="AY152" s="27"/>
    </row>
    <row r="153" spans="2:51">
      <c r="B153" s="534"/>
      <c r="C153" s="136"/>
      <c r="D153" s="135" t="str">
        <f t="shared" si="119"/>
        <v/>
      </c>
      <c r="E153" s="135" t="str">
        <f t="shared" si="118"/>
        <v/>
      </c>
      <c r="F153" s="136" t="str">
        <f t="shared" si="112"/>
        <v/>
      </c>
      <c r="G153" s="134" t="str">
        <f t="shared" si="113"/>
        <v/>
      </c>
      <c r="H153" s="134" t="str">
        <f t="shared" si="120"/>
        <v/>
      </c>
      <c r="I153" s="135" t="str">
        <f t="shared" si="121"/>
        <v/>
      </c>
      <c r="J153" s="135" t="str">
        <f t="shared" si="122"/>
        <v/>
      </c>
      <c r="K153" s="136" t="str">
        <f t="shared" si="123"/>
        <v/>
      </c>
      <c r="L153" s="136" t="str">
        <f t="shared" si="124"/>
        <v/>
      </c>
      <c r="M153" s="134" t="str">
        <f t="shared" si="125"/>
        <v/>
      </c>
      <c r="N153" s="134" t="str">
        <f t="shared" si="126"/>
        <v/>
      </c>
      <c r="O153" s="134" t="str">
        <f t="shared" si="127"/>
        <v/>
      </c>
      <c r="P153" s="134" t="str">
        <f t="shared" si="128"/>
        <v/>
      </c>
      <c r="Q153" s="134" t="str">
        <f t="shared" si="129"/>
        <v/>
      </c>
      <c r="R153" s="134" t="str">
        <f t="shared" si="130"/>
        <v/>
      </c>
      <c r="S153" s="134" t="str">
        <f t="shared" si="131"/>
        <v/>
      </c>
      <c r="T153" s="134" t="str">
        <f t="shared" si="132"/>
        <v/>
      </c>
      <c r="U153" s="134" t="str">
        <f t="shared" si="133"/>
        <v/>
      </c>
      <c r="V153" s="134" t="str">
        <f t="shared" si="134"/>
        <v/>
      </c>
      <c r="W153" s="19" t="str">
        <f t="shared" si="135"/>
        <v/>
      </c>
      <c r="X153" s="19" t="str">
        <f t="shared" si="136"/>
        <v/>
      </c>
      <c r="Y153" s="19" t="str">
        <f t="shared" si="137"/>
        <v/>
      </c>
      <c r="Z153" s="19" t="str">
        <f t="shared" si="138"/>
        <v/>
      </c>
      <c r="AA153" s="19" t="str">
        <f t="shared" si="139"/>
        <v/>
      </c>
      <c r="AB153" s="19" t="str">
        <f t="shared" si="140"/>
        <v/>
      </c>
      <c r="AC153" s="19" t="str">
        <f t="shared" si="141"/>
        <v/>
      </c>
      <c r="AD153" s="19" t="str">
        <f t="shared" si="142"/>
        <v/>
      </c>
      <c r="AE153" s="19" t="str">
        <f t="shared" si="143"/>
        <v/>
      </c>
      <c r="AF153" s="19" t="str">
        <f t="shared" si="144"/>
        <v/>
      </c>
      <c r="AG153" s="134" t="str">
        <f t="shared" si="145"/>
        <v/>
      </c>
      <c r="AH153" s="134" t="str">
        <f t="shared" si="146"/>
        <v/>
      </c>
      <c r="AI153" s="134" t="str">
        <f t="shared" si="147"/>
        <v/>
      </c>
      <c r="AJ153" s="134" t="str">
        <f t="shared" si="148"/>
        <v/>
      </c>
      <c r="AK153" s="134" t="str">
        <f t="shared" si="149"/>
        <v/>
      </c>
      <c r="AL153" s="134" t="str">
        <f t="shared" si="150"/>
        <v/>
      </c>
      <c r="AM153" s="134" t="str">
        <f t="shared" si="151"/>
        <v/>
      </c>
      <c r="AN153" s="134" t="str">
        <f t="shared" si="152"/>
        <v/>
      </c>
      <c r="AO153" s="134" t="str">
        <f t="shared" si="153"/>
        <v/>
      </c>
      <c r="AP153" s="134" t="str">
        <f t="shared" si="154"/>
        <v/>
      </c>
      <c r="AQ153" s="142" t="str">
        <f t="shared" si="114"/>
        <v/>
      </c>
      <c r="AR153" s="134" t="str">
        <f t="shared" si="115"/>
        <v/>
      </c>
      <c r="AS153" s="1042"/>
      <c r="AT153" s="468"/>
      <c r="AU153" s="143" t="str">
        <f t="shared" si="116"/>
        <v/>
      </c>
      <c r="AV153" s="17"/>
      <c r="AW153" s="136" t="str">
        <f t="shared" si="117"/>
        <v/>
      </c>
      <c r="AX153" s="17"/>
      <c r="AY153" s="27"/>
    </row>
    <row r="154" spans="2:51">
      <c r="B154" s="534"/>
      <c r="C154" s="136"/>
      <c r="D154" s="135" t="str">
        <f t="shared" si="119"/>
        <v/>
      </c>
      <c r="E154" s="135" t="str">
        <f t="shared" si="118"/>
        <v/>
      </c>
      <c r="F154" s="136" t="str">
        <f t="shared" si="112"/>
        <v/>
      </c>
      <c r="G154" s="134" t="str">
        <f t="shared" si="113"/>
        <v/>
      </c>
      <c r="H154" s="134" t="str">
        <f t="shared" si="120"/>
        <v/>
      </c>
      <c r="I154" s="135" t="str">
        <f t="shared" si="121"/>
        <v/>
      </c>
      <c r="J154" s="135" t="str">
        <f t="shared" si="122"/>
        <v/>
      </c>
      <c r="K154" s="136" t="str">
        <f t="shared" si="123"/>
        <v/>
      </c>
      <c r="L154" s="136" t="str">
        <f t="shared" si="124"/>
        <v/>
      </c>
      <c r="M154" s="134" t="str">
        <f t="shared" si="125"/>
        <v/>
      </c>
      <c r="N154" s="134" t="str">
        <f t="shared" si="126"/>
        <v/>
      </c>
      <c r="O154" s="134" t="str">
        <f t="shared" si="127"/>
        <v/>
      </c>
      <c r="P154" s="134" t="str">
        <f t="shared" si="128"/>
        <v/>
      </c>
      <c r="Q154" s="134" t="str">
        <f t="shared" si="129"/>
        <v/>
      </c>
      <c r="R154" s="134" t="str">
        <f t="shared" si="130"/>
        <v/>
      </c>
      <c r="S154" s="134" t="str">
        <f t="shared" si="131"/>
        <v/>
      </c>
      <c r="T154" s="134" t="str">
        <f t="shared" si="132"/>
        <v/>
      </c>
      <c r="U154" s="134" t="str">
        <f t="shared" si="133"/>
        <v/>
      </c>
      <c r="V154" s="134" t="str">
        <f t="shared" si="134"/>
        <v/>
      </c>
      <c r="W154" s="19" t="str">
        <f t="shared" si="135"/>
        <v/>
      </c>
      <c r="X154" s="19" t="str">
        <f t="shared" si="136"/>
        <v/>
      </c>
      <c r="Y154" s="19" t="str">
        <f t="shared" si="137"/>
        <v/>
      </c>
      <c r="Z154" s="19" t="str">
        <f t="shared" si="138"/>
        <v/>
      </c>
      <c r="AA154" s="19" t="str">
        <f t="shared" si="139"/>
        <v/>
      </c>
      <c r="AB154" s="19" t="str">
        <f t="shared" si="140"/>
        <v/>
      </c>
      <c r="AC154" s="19" t="str">
        <f t="shared" si="141"/>
        <v/>
      </c>
      <c r="AD154" s="19" t="str">
        <f t="shared" si="142"/>
        <v/>
      </c>
      <c r="AE154" s="19" t="str">
        <f t="shared" si="143"/>
        <v/>
      </c>
      <c r="AF154" s="19" t="str">
        <f t="shared" si="144"/>
        <v/>
      </c>
      <c r="AG154" s="134" t="str">
        <f t="shared" si="145"/>
        <v/>
      </c>
      <c r="AH154" s="134" t="str">
        <f t="shared" si="146"/>
        <v/>
      </c>
      <c r="AI154" s="134" t="str">
        <f t="shared" si="147"/>
        <v/>
      </c>
      <c r="AJ154" s="134" t="str">
        <f t="shared" si="148"/>
        <v/>
      </c>
      <c r="AK154" s="134" t="str">
        <f t="shared" si="149"/>
        <v/>
      </c>
      <c r="AL154" s="134" t="str">
        <f t="shared" si="150"/>
        <v/>
      </c>
      <c r="AM154" s="134" t="str">
        <f t="shared" si="151"/>
        <v/>
      </c>
      <c r="AN154" s="134" t="str">
        <f t="shared" si="152"/>
        <v/>
      </c>
      <c r="AO154" s="134" t="str">
        <f t="shared" si="153"/>
        <v/>
      </c>
      <c r="AP154" s="134" t="str">
        <f t="shared" si="154"/>
        <v/>
      </c>
      <c r="AQ154" s="142" t="str">
        <f t="shared" si="114"/>
        <v/>
      </c>
      <c r="AR154" s="134" t="str">
        <f t="shared" si="115"/>
        <v/>
      </c>
      <c r="AS154" s="1042"/>
      <c r="AT154" s="468"/>
      <c r="AU154" s="143" t="str">
        <f t="shared" si="116"/>
        <v/>
      </c>
      <c r="AV154" s="17"/>
      <c r="AW154" s="136" t="str">
        <f t="shared" si="117"/>
        <v/>
      </c>
      <c r="AX154" s="17"/>
      <c r="AY154" s="27"/>
    </row>
    <row r="155" spans="2:51">
      <c r="B155" s="534"/>
      <c r="C155" s="136"/>
      <c r="D155" s="135" t="str">
        <f t="shared" si="119"/>
        <v/>
      </c>
      <c r="E155" s="135" t="str">
        <f t="shared" si="118"/>
        <v/>
      </c>
      <c r="F155" s="136" t="str">
        <f t="shared" si="112"/>
        <v/>
      </c>
      <c r="G155" s="134" t="str">
        <f t="shared" si="113"/>
        <v/>
      </c>
      <c r="H155" s="134" t="str">
        <f t="shared" si="120"/>
        <v/>
      </c>
      <c r="I155" s="135" t="str">
        <f t="shared" si="121"/>
        <v/>
      </c>
      <c r="J155" s="135" t="str">
        <f t="shared" si="122"/>
        <v/>
      </c>
      <c r="K155" s="136" t="str">
        <f t="shared" si="123"/>
        <v/>
      </c>
      <c r="L155" s="136" t="str">
        <f t="shared" si="124"/>
        <v/>
      </c>
      <c r="M155" s="134" t="str">
        <f t="shared" si="125"/>
        <v/>
      </c>
      <c r="N155" s="134" t="str">
        <f t="shared" si="126"/>
        <v/>
      </c>
      <c r="O155" s="134" t="str">
        <f t="shared" si="127"/>
        <v/>
      </c>
      <c r="P155" s="134" t="str">
        <f t="shared" si="128"/>
        <v/>
      </c>
      <c r="Q155" s="134" t="str">
        <f t="shared" si="129"/>
        <v/>
      </c>
      <c r="R155" s="134" t="str">
        <f t="shared" si="130"/>
        <v/>
      </c>
      <c r="S155" s="134" t="str">
        <f t="shared" si="131"/>
        <v/>
      </c>
      <c r="T155" s="134" t="str">
        <f t="shared" si="132"/>
        <v/>
      </c>
      <c r="U155" s="134" t="str">
        <f t="shared" si="133"/>
        <v/>
      </c>
      <c r="V155" s="134" t="str">
        <f t="shared" si="134"/>
        <v/>
      </c>
      <c r="W155" s="19" t="str">
        <f t="shared" si="135"/>
        <v/>
      </c>
      <c r="X155" s="19" t="str">
        <f t="shared" si="136"/>
        <v/>
      </c>
      <c r="Y155" s="19" t="str">
        <f t="shared" si="137"/>
        <v/>
      </c>
      <c r="Z155" s="19" t="str">
        <f t="shared" si="138"/>
        <v/>
      </c>
      <c r="AA155" s="19" t="str">
        <f t="shared" si="139"/>
        <v/>
      </c>
      <c r="AB155" s="19" t="str">
        <f t="shared" si="140"/>
        <v/>
      </c>
      <c r="AC155" s="19" t="str">
        <f t="shared" si="141"/>
        <v/>
      </c>
      <c r="AD155" s="19" t="str">
        <f t="shared" si="142"/>
        <v/>
      </c>
      <c r="AE155" s="19" t="str">
        <f t="shared" si="143"/>
        <v/>
      </c>
      <c r="AF155" s="19" t="str">
        <f t="shared" si="144"/>
        <v/>
      </c>
      <c r="AG155" s="134" t="str">
        <f t="shared" si="145"/>
        <v/>
      </c>
      <c r="AH155" s="134" t="str">
        <f t="shared" si="146"/>
        <v/>
      </c>
      <c r="AI155" s="134" t="str">
        <f t="shared" si="147"/>
        <v/>
      </c>
      <c r="AJ155" s="134" t="str">
        <f t="shared" si="148"/>
        <v/>
      </c>
      <c r="AK155" s="134" t="str">
        <f t="shared" si="149"/>
        <v/>
      </c>
      <c r="AL155" s="134" t="str">
        <f t="shared" si="150"/>
        <v/>
      </c>
      <c r="AM155" s="134" t="str">
        <f t="shared" si="151"/>
        <v/>
      </c>
      <c r="AN155" s="134" t="str">
        <f t="shared" si="152"/>
        <v/>
      </c>
      <c r="AO155" s="134" t="str">
        <f t="shared" si="153"/>
        <v/>
      </c>
      <c r="AP155" s="134" t="str">
        <f t="shared" si="154"/>
        <v/>
      </c>
      <c r="AQ155" s="142" t="str">
        <f t="shared" si="114"/>
        <v/>
      </c>
      <c r="AR155" s="134" t="str">
        <f t="shared" si="115"/>
        <v/>
      </c>
      <c r="AS155" s="1042"/>
      <c r="AT155" s="468"/>
      <c r="AU155" s="143" t="str">
        <f t="shared" si="116"/>
        <v/>
      </c>
      <c r="AV155" s="17"/>
      <c r="AW155" s="136" t="str">
        <f t="shared" si="117"/>
        <v/>
      </c>
      <c r="AX155" s="17"/>
      <c r="AY155" s="27"/>
    </row>
    <row r="156" spans="2:51">
      <c r="B156" s="534"/>
      <c r="C156" s="136"/>
      <c r="D156" s="135" t="str">
        <f t="shared" si="119"/>
        <v/>
      </c>
      <c r="E156" s="135" t="str">
        <f t="shared" si="118"/>
        <v/>
      </c>
      <c r="F156" s="136" t="str">
        <f t="shared" si="112"/>
        <v/>
      </c>
      <c r="G156" s="134" t="str">
        <f t="shared" si="113"/>
        <v/>
      </c>
      <c r="H156" s="134" t="str">
        <f t="shared" si="120"/>
        <v/>
      </c>
      <c r="I156" s="135" t="str">
        <f t="shared" si="121"/>
        <v/>
      </c>
      <c r="J156" s="135" t="str">
        <f t="shared" si="122"/>
        <v/>
      </c>
      <c r="K156" s="136" t="str">
        <f t="shared" si="123"/>
        <v/>
      </c>
      <c r="L156" s="136" t="str">
        <f t="shared" si="124"/>
        <v/>
      </c>
      <c r="M156" s="134" t="str">
        <f t="shared" si="125"/>
        <v/>
      </c>
      <c r="N156" s="134" t="str">
        <f t="shared" si="126"/>
        <v/>
      </c>
      <c r="O156" s="134" t="str">
        <f t="shared" si="127"/>
        <v/>
      </c>
      <c r="P156" s="134" t="str">
        <f t="shared" si="128"/>
        <v/>
      </c>
      <c r="Q156" s="134" t="str">
        <f t="shared" si="129"/>
        <v/>
      </c>
      <c r="R156" s="134" t="str">
        <f t="shared" si="130"/>
        <v/>
      </c>
      <c r="S156" s="134" t="str">
        <f t="shared" si="131"/>
        <v/>
      </c>
      <c r="T156" s="134" t="str">
        <f t="shared" si="132"/>
        <v/>
      </c>
      <c r="U156" s="134" t="str">
        <f t="shared" si="133"/>
        <v/>
      </c>
      <c r="V156" s="134" t="str">
        <f t="shared" si="134"/>
        <v/>
      </c>
      <c r="W156" s="19" t="str">
        <f t="shared" si="135"/>
        <v/>
      </c>
      <c r="X156" s="19" t="str">
        <f t="shared" si="136"/>
        <v/>
      </c>
      <c r="Y156" s="19" t="str">
        <f t="shared" si="137"/>
        <v/>
      </c>
      <c r="Z156" s="19" t="str">
        <f t="shared" si="138"/>
        <v/>
      </c>
      <c r="AA156" s="19" t="str">
        <f t="shared" si="139"/>
        <v/>
      </c>
      <c r="AB156" s="19" t="str">
        <f t="shared" si="140"/>
        <v/>
      </c>
      <c r="AC156" s="19" t="str">
        <f t="shared" si="141"/>
        <v/>
      </c>
      <c r="AD156" s="19" t="str">
        <f t="shared" si="142"/>
        <v/>
      </c>
      <c r="AE156" s="19" t="str">
        <f t="shared" si="143"/>
        <v/>
      </c>
      <c r="AF156" s="19" t="str">
        <f t="shared" si="144"/>
        <v/>
      </c>
      <c r="AG156" s="134" t="str">
        <f t="shared" si="145"/>
        <v/>
      </c>
      <c r="AH156" s="134" t="str">
        <f t="shared" si="146"/>
        <v/>
      </c>
      <c r="AI156" s="134" t="str">
        <f t="shared" si="147"/>
        <v/>
      </c>
      <c r="AJ156" s="134" t="str">
        <f t="shared" si="148"/>
        <v/>
      </c>
      <c r="AK156" s="134" t="str">
        <f t="shared" si="149"/>
        <v/>
      </c>
      <c r="AL156" s="134" t="str">
        <f t="shared" si="150"/>
        <v/>
      </c>
      <c r="AM156" s="134" t="str">
        <f t="shared" si="151"/>
        <v/>
      </c>
      <c r="AN156" s="134" t="str">
        <f t="shared" si="152"/>
        <v/>
      </c>
      <c r="AO156" s="134" t="str">
        <f t="shared" si="153"/>
        <v/>
      </c>
      <c r="AP156" s="134" t="str">
        <f t="shared" si="154"/>
        <v/>
      </c>
      <c r="AQ156" s="142" t="str">
        <f t="shared" si="114"/>
        <v/>
      </c>
      <c r="AR156" s="134" t="str">
        <f t="shared" si="115"/>
        <v/>
      </c>
      <c r="AS156" s="1042"/>
      <c r="AT156" s="468"/>
      <c r="AU156" s="143" t="str">
        <f t="shared" si="116"/>
        <v/>
      </c>
      <c r="AV156" s="17"/>
      <c r="AW156" s="136" t="str">
        <f t="shared" si="117"/>
        <v/>
      </c>
      <c r="AX156" s="17"/>
      <c r="AY156" s="27"/>
    </row>
    <row r="157" spans="2:51">
      <c r="B157" s="534"/>
      <c r="C157" s="136"/>
      <c r="D157" s="135" t="str">
        <f t="shared" si="119"/>
        <v/>
      </c>
      <c r="E157" s="135" t="str">
        <f t="shared" si="118"/>
        <v/>
      </c>
      <c r="F157" s="136" t="str">
        <f t="shared" si="112"/>
        <v/>
      </c>
      <c r="G157" s="134" t="str">
        <f t="shared" si="113"/>
        <v/>
      </c>
      <c r="H157" s="134" t="str">
        <f t="shared" si="120"/>
        <v/>
      </c>
      <c r="I157" s="135" t="str">
        <f t="shared" si="121"/>
        <v/>
      </c>
      <c r="J157" s="135" t="str">
        <f t="shared" si="122"/>
        <v/>
      </c>
      <c r="K157" s="136" t="str">
        <f t="shared" si="123"/>
        <v/>
      </c>
      <c r="L157" s="136" t="str">
        <f t="shared" si="124"/>
        <v/>
      </c>
      <c r="M157" s="134" t="str">
        <f t="shared" si="125"/>
        <v/>
      </c>
      <c r="N157" s="134" t="str">
        <f t="shared" si="126"/>
        <v/>
      </c>
      <c r="O157" s="134" t="str">
        <f t="shared" si="127"/>
        <v/>
      </c>
      <c r="P157" s="134" t="str">
        <f t="shared" si="128"/>
        <v/>
      </c>
      <c r="Q157" s="134" t="str">
        <f t="shared" si="129"/>
        <v/>
      </c>
      <c r="R157" s="134" t="str">
        <f t="shared" si="130"/>
        <v/>
      </c>
      <c r="S157" s="134" t="str">
        <f t="shared" si="131"/>
        <v/>
      </c>
      <c r="T157" s="134" t="str">
        <f t="shared" si="132"/>
        <v/>
      </c>
      <c r="U157" s="134" t="str">
        <f t="shared" si="133"/>
        <v/>
      </c>
      <c r="V157" s="134" t="str">
        <f t="shared" si="134"/>
        <v/>
      </c>
      <c r="W157" s="19" t="str">
        <f t="shared" si="135"/>
        <v/>
      </c>
      <c r="X157" s="19" t="str">
        <f t="shared" si="136"/>
        <v/>
      </c>
      <c r="Y157" s="19" t="str">
        <f t="shared" si="137"/>
        <v/>
      </c>
      <c r="Z157" s="19" t="str">
        <f t="shared" si="138"/>
        <v/>
      </c>
      <c r="AA157" s="19" t="str">
        <f t="shared" si="139"/>
        <v/>
      </c>
      <c r="AB157" s="19" t="str">
        <f t="shared" si="140"/>
        <v/>
      </c>
      <c r="AC157" s="19" t="str">
        <f t="shared" si="141"/>
        <v/>
      </c>
      <c r="AD157" s="19" t="str">
        <f t="shared" si="142"/>
        <v/>
      </c>
      <c r="AE157" s="19" t="str">
        <f t="shared" si="143"/>
        <v/>
      </c>
      <c r="AF157" s="19" t="str">
        <f t="shared" si="144"/>
        <v/>
      </c>
      <c r="AG157" s="134" t="str">
        <f t="shared" si="145"/>
        <v/>
      </c>
      <c r="AH157" s="134" t="str">
        <f t="shared" si="146"/>
        <v/>
      </c>
      <c r="AI157" s="134" t="str">
        <f t="shared" si="147"/>
        <v/>
      </c>
      <c r="AJ157" s="134" t="str">
        <f t="shared" si="148"/>
        <v/>
      </c>
      <c r="AK157" s="134" t="str">
        <f t="shared" si="149"/>
        <v/>
      </c>
      <c r="AL157" s="134" t="str">
        <f t="shared" si="150"/>
        <v/>
      </c>
      <c r="AM157" s="134" t="str">
        <f t="shared" si="151"/>
        <v/>
      </c>
      <c r="AN157" s="134" t="str">
        <f t="shared" si="152"/>
        <v/>
      </c>
      <c r="AO157" s="134" t="str">
        <f t="shared" si="153"/>
        <v/>
      </c>
      <c r="AP157" s="134" t="str">
        <f t="shared" si="154"/>
        <v/>
      </c>
      <c r="AQ157" s="142" t="str">
        <f t="shared" si="114"/>
        <v/>
      </c>
      <c r="AR157" s="134" t="str">
        <f t="shared" si="115"/>
        <v/>
      </c>
      <c r="AS157" s="1042"/>
      <c r="AT157" s="468"/>
      <c r="AU157" s="143" t="str">
        <f t="shared" si="116"/>
        <v/>
      </c>
      <c r="AV157" s="17"/>
      <c r="AW157" s="136" t="str">
        <f t="shared" si="117"/>
        <v/>
      </c>
      <c r="AX157" s="17"/>
      <c r="AY157" s="27"/>
    </row>
    <row r="158" spans="2:51">
      <c r="B158" s="534"/>
      <c r="C158" s="136"/>
      <c r="D158" s="135" t="str">
        <f t="shared" si="119"/>
        <v/>
      </c>
      <c r="E158" s="135" t="str">
        <f t="shared" si="118"/>
        <v/>
      </c>
      <c r="F158" s="136" t="str">
        <f t="shared" si="112"/>
        <v/>
      </c>
      <c r="G158" s="134" t="str">
        <f t="shared" si="113"/>
        <v/>
      </c>
      <c r="H158" s="134" t="str">
        <f t="shared" si="120"/>
        <v/>
      </c>
      <c r="I158" s="135" t="str">
        <f t="shared" si="121"/>
        <v/>
      </c>
      <c r="J158" s="135" t="str">
        <f t="shared" si="122"/>
        <v/>
      </c>
      <c r="K158" s="136" t="str">
        <f t="shared" si="123"/>
        <v/>
      </c>
      <c r="L158" s="136" t="str">
        <f t="shared" si="124"/>
        <v/>
      </c>
      <c r="M158" s="134" t="str">
        <f t="shared" si="125"/>
        <v/>
      </c>
      <c r="N158" s="134" t="str">
        <f t="shared" si="126"/>
        <v/>
      </c>
      <c r="O158" s="134" t="str">
        <f t="shared" si="127"/>
        <v/>
      </c>
      <c r="P158" s="134" t="str">
        <f t="shared" si="128"/>
        <v/>
      </c>
      <c r="Q158" s="134" t="str">
        <f t="shared" si="129"/>
        <v/>
      </c>
      <c r="R158" s="134" t="str">
        <f t="shared" si="130"/>
        <v/>
      </c>
      <c r="S158" s="134" t="str">
        <f t="shared" si="131"/>
        <v/>
      </c>
      <c r="T158" s="134" t="str">
        <f t="shared" si="132"/>
        <v/>
      </c>
      <c r="U158" s="134" t="str">
        <f t="shared" si="133"/>
        <v/>
      </c>
      <c r="V158" s="134" t="str">
        <f t="shared" si="134"/>
        <v/>
      </c>
      <c r="W158" s="19" t="str">
        <f t="shared" si="135"/>
        <v/>
      </c>
      <c r="X158" s="19" t="str">
        <f t="shared" si="136"/>
        <v/>
      </c>
      <c r="Y158" s="19" t="str">
        <f t="shared" si="137"/>
        <v/>
      </c>
      <c r="Z158" s="19" t="str">
        <f t="shared" si="138"/>
        <v/>
      </c>
      <c r="AA158" s="19" t="str">
        <f t="shared" si="139"/>
        <v/>
      </c>
      <c r="AB158" s="19" t="str">
        <f t="shared" si="140"/>
        <v/>
      </c>
      <c r="AC158" s="19" t="str">
        <f t="shared" si="141"/>
        <v/>
      </c>
      <c r="AD158" s="19" t="str">
        <f t="shared" si="142"/>
        <v/>
      </c>
      <c r="AE158" s="19" t="str">
        <f t="shared" si="143"/>
        <v/>
      </c>
      <c r="AF158" s="19" t="str">
        <f t="shared" si="144"/>
        <v/>
      </c>
      <c r="AG158" s="134" t="str">
        <f t="shared" si="145"/>
        <v/>
      </c>
      <c r="AH158" s="134" t="str">
        <f t="shared" si="146"/>
        <v/>
      </c>
      <c r="AI158" s="134" t="str">
        <f t="shared" si="147"/>
        <v/>
      </c>
      <c r="AJ158" s="134" t="str">
        <f t="shared" si="148"/>
        <v/>
      </c>
      <c r="AK158" s="134" t="str">
        <f t="shared" si="149"/>
        <v/>
      </c>
      <c r="AL158" s="134" t="str">
        <f t="shared" si="150"/>
        <v/>
      </c>
      <c r="AM158" s="134" t="str">
        <f t="shared" si="151"/>
        <v/>
      </c>
      <c r="AN158" s="134" t="str">
        <f t="shared" si="152"/>
        <v/>
      </c>
      <c r="AO158" s="134" t="str">
        <f t="shared" si="153"/>
        <v/>
      </c>
      <c r="AP158" s="134" t="str">
        <f t="shared" si="154"/>
        <v/>
      </c>
      <c r="AQ158" s="142" t="str">
        <f t="shared" si="114"/>
        <v/>
      </c>
      <c r="AR158" s="134" t="str">
        <f t="shared" si="115"/>
        <v/>
      </c>
      <c r="AS158" s="1042"/>
      <c r="AT158" s="468"/>
      <c r="AU158" s="143" t="str">
        <f t="shared" si="116"/>
        <v/>
      </c>
      <c r="AV158" s="17"/>
      <c r="AW158" s="136" t="str">
        <f t="shared" si="117"/>
        <v/>
      </c>
      <c r="AX158" s="17"/>
      <c r="AY158" s="27"/>
    </row>
    <row r="159" spans="2:51">
      <c r="B159" s="534"/>
      <c r="C159" s="136"/>
      <c r="D159" s="135" t="str">
        <f t="shared" si="119"/>
        <v/>
      </c>
      <c r="E159" s="135" t="str">
        <f t="shared" si="118"/>
        <v/>
      </c>
      <c r="F159" s="136" t="str">
        <f t="shared" si="112"/>
        <v/>
      </c>
      <c r="G159" s="134" t="str">
        <f t="shared" si="113"/>
        <v/>
      </c>
      <c r="H159" s="134" t="str">
        <f t="shared" si="120"/>
        <v/>
      </c>
      <c r="I159" s="135" t="str">
        <f t="shared" si="121"/>
        <v/>
      </c>
      <c r="J159" s="135" t="str">
        <f t="shared" si="122"/>
        <v/>
      </c>
      <c r="K159" s="136" t="str">
        <f t="shared" si="123"/>
        <v/>
      </c>
      <c r="L159" s="136" t="str">
        <f t="shared" si="124"/>
        <v/>
      </c>
      <c r="M159" s="134" t="str">
        <f t="shared" si="125"/>
        <v/>
      </c>
      <c r="N159" s="134" t="str">
        <f t="shared" si="126"/>
        <v/>
      </c>
      <c r="O159" s="134" t="str">
        <f t="shared" si="127"/>
        <v/>
      </c>
      <c r="P159" s="134" t="str">
        <f t="shared" si="128"/>
        <v/>
      </c>
      <c r="Q159" s="134" t="str">
        <f t="shared" si="129"/>
        <v/>
      </c>
      <c r="R159" s="134" t="str">
        <f t="shared" si="130"/>
        <v/>
      </c>
      <c r="S159" s="134" t="str">
        <f t="shared" si="131"/>
        <v/>
      </c>
      <c r="T159" s="134" t="str">
        <f t="shared" si="132"/>
        <v/>
      </c>
      <c r="U159" s="134" t="str">
        <f t="shared" si="133"/>
        <v/>
      </c>
      <c r="V159" s="134" t="str">
        <f t="shared" si="134"/>
        <v/>
      </c>
      <c r="W159" s="19" t="str">
        <f t="shared" si="135"/>
        <v/>
      </c>
      <c r="X159" s="19" t="str">
        <f t="shared" si="136"/>
        <v/>
      </c>
      <c r="Y159" s="19" t="str">
        <f t="shared" si="137"/>
        <v/>
      </c>
      <c r="Z159" s="19" t="str">
        <f t="shared" si="138"/>
        <v/>
      </c>
      <c r="AA159" s="19" t="str">
        <f t="shared" si="139"/>
        <v/>
      </c>
      <c r="AB159" s="19" t="str">
        <f t="shared" si="140"/>
        <v/>
      </c>
      <c r="AC159" s="19" t="str">
        <f t="shared" si="141"/>
        <v/>
      </c>
      <c r="AD159" s="19" t="str">
        <f t="shared" si="142"/>
        <v/>
      </c>
      <c r="AE159" s="19" t="str">
        <f t="shared" si="143"/>
        <v/>
      </c>
      <c r="AF159" s="19" t="str">
        <f t="shared" si="144"/>
        <v/>
      </c>
      <c r="AG159" s="134" t="str">
        <f t="shared" si="145"/>
        <v/>
      </c>
      <c r="AH159" s="134" t="str">
        <f t="shared" si="146"/>
        <v/>
      </c>
      <c r="AI159" s="134" t="str">
        <f t="shared" si="147"/>
        <v/>
      </c>
      <c r="AJ159" s="134" t="str">
        <f t="shared" si="148"/>
        <v/>
      </c>
      <c r="AK159" s="134" t="str">
        <f t="shared" si="149"/>
        <v/>
      </c>
      <c r="AL159" s="134" t="str">
        <f t="shared" si="150"/>
        <v/>
      </c>
      <c r="AM159" s="134" t="str">
        <f t="shared" si="151"/>
        <v/>
      </c>
      <c r="AN159" s="134" t="str">
        <f t="shared" si="152"/>
        <v/>
      </c>
      <c r="AO159" s="134" t="str">
        <f t="shared" si="153"/>
        <v/>
      </c>
      <c r="AP159" s="134" t="str">
        <f t="shared" si="154"/>
        <v/>
      </c>
      <c r="AQ159" s="142" t="str">
        <f t="shared" si="114"/>
        <v/>
      </c>
      <c r="AR159" s="134" t="str">
        <f t="shared" si="115"/>
        <v/>
      </c>
      <c r="AS159" s="1042"/>
      <c r="AT159" s="468"/>
      <c r="AU159" s="143" t="str">
        <f t="shared" si="116"/>
        <v/>
      </c>
      <c r="AV159" s="17"/>
      <c r="AW159" s="136" t="str">
        <f t="shared" si="117"/>
        <v/>
      </c>
      <c r="AX159" s="17"/>
      <c r="AY159" s="27"/>
    </row>
    <row r="160" spans="2:51">
      <c r="B160" s="534"/>
      <c r="C160" s="136"/>
      <c r="D160" s="135" t="str">
        <f t="shared" si="119"/>
        <v/>
      </c>
      <c r="E160" s="135" t="str">
        <f t="shared" si="118"/>
        <v/>
      </c>
      <c r="F160" s="136" t="str">
        <f t="shared" si="112"/>
        <v/>
      </c>
      <c r="G160" s="134" t="str">
        <f t="shared" si="113"/>
        <v/>
      </c>
      <c r="H160" s="134" t="str">
        <f t="shared" si="120"/>
        <v/>
      </c>
      <c r="I160" s="135" t="str">
        <f t="shared" si="121"/>
        <v/>
      </c>
      <c r="J160" s="135" t="str">
        <f t="shared" si="122"/>
        <v/>
      </c>
      <c r="K160" s="136" t="str">
        <f t="shared" si="123"/>
        <v/>
      </c>
      <c r="L160" s="136" t="str">
        <f t="shared" si="124"/>
        <v/>
      </c>
      <c r="M160" s="134" t="str">
        <f t="shared" si="125"/>
        <v/>
      </c>
      <c r="N160" s="134" t="str">
        <f t="shared" si="126"/>
        <v/>
      </c>
      <c r="O160" s="134" t="str">
        <f t="shared" si="127"/>
        <v/>
      </c>
      <c r="P160" s="134" t="str">
        <f t="shared" si="128"/>
        <v/>
      </c>
      <c r="Q160" s="134" t="str">
        <f t="shared" si="129"/>
        <v/>
      </c>
      <c r="R160" s="134" t="str">
        <f t="shared" si="130"/>
        <v/>
      </c>
      <c r="S160" s="134" t="str">
        <f t="shared" si="131"/>
        <v/>
      </c>
      <c r="T160" s="134" t="str">
        <f t="shared" si="132"/>
        <v/>
      </c>
      <c r="U160" s="134" t="str">
        <f t="shared" si="133"/>
        <v/>
      </c>
      <c r="V160" s="134" t="str">
        <f t="shared" si="134"/>
        <v/>
      </c>
      <c r="W160" s="19" t="str">
        <f t="shared" si="135"/>
        <v/>
      </c>
      <c r="X160" s="19" t="str">
        <f t="shared" si="136"/>
        <v/>
      </c>
      <c r="Y160" s="19" t="str">
        <f t="shared" si="137"/>
        <v/>
      </c>
      <c r="Z160" s="19" t="str">
        <f t="shared" si="138"/>
        <v/>
      </c>
      <c r="AA160" s="19" t="str">
        <f t="shared" si="139"/>
        <v/>
      </c>
      <c r="AB160" s="19" t="str">
        <f t="shared" si="140"/>
        <v/>
      </c>
      <c r="AC160" s="19" t="str">
        <f t="shared" si="141"/>
        <v/>
      </c>
      <c r="AD160" s="19" t="str">
        <f t="shared" si="142"/>
        <v/>
      </c>
      <c r="AE160" s="19" t="str">
        <f t="shared" si="143"/>
        <v/>
      </c>
      <c r="AF160" s="19" t="str">
        <f t="shared" si="144"/>
        <v/>
      </c>
      <c r="AG160" s="134" t="str">
        <f t="shared" si="145"/>
        <v/>
      </c>
      <c r="AH160" s="134" t="str">
        <f t="shared" si="146"/>
        <v/>
      </c>
      <c r="AI160" s="134" t="str">
        <f t="shared" si="147"/>
        <v/>
      </c>
      <c r="AJ160" s="134" t="str">
        <f t="shared" si="148"/>
        <v/>
      </c>
      <c r="AK160" s="134" t="str">
        <f t="shared" si="149"/>
        <v/>
      </c>
      <c r="AL160" s="134" t="str">
        <f t="shared" si="150"/>
        <v/>
      </c>
      <c r="AM160" s="134" t="str">
        <f t="shared" si="151"/>
        <v/>
      </c>
      <c r="AN160" s="134" t="str">
        <f t="shared" si="152"/>
        <v/>
      </c>
      <c r="AO160" s="134" t="str">
        <f t="shared" si="153"/>
        <v/>
      </c>
      <c r="AP160" s="134" t="str">
        <f t="shared" si="154"/>
        <v/>
      </c>
      <c r="AQ160" s="142" t="str">
        <f t="shared" si="114"/>
        <v/>
      </c>
      <c r="AR160" s="134" t="str">
        <f t="shared" si="115"/>
        <v/>
      </c>
      <c r="AS160" s="1042"/>
      <c r="AT160" s="468"/>
      <c r="AU160" s="143" t="str">
        <f t="shared" si="116"/>
        <v/>
      </c>
      <c r="AV160" s="17"/>
      <c r="AW160" s="136" t="str">
        <f t="shared" si="117"/>
        <v/>
      </c>
      <c r="AX160" s="17"/>
      <c r="AY160" s="27"/>
    </row>
    <row r="161" spans="2:51">
      <c r="B161" s="534"/>
      <c r="C161" s="136"/>
      <c r="D161" s="135" t="str">
        <f t="shared" si="119"/>
        <v/>
      </c>
      <c r="E161" s="135" t="str">
        <f t="shared" si="118"/>
        <v/>
      </c>
      <c r="F161" s="136" t="str">
        <f t="shared" si="112"/>
        <v/>
      </c>
      <c r="G161" s="134" t="str">
        <f t="shared" si="113"/>
        <v/>
      </c>
      <c r="H161" s="134" t="str">
        <f t="shared" si="120"/>
        <v/>
      </c>
      <c r="I161" s="135" t="str">
        <f t="shared" si="121"/>
        <v/>
      </c>
      <c r="J161" s="135" t="str">
        <f t="shared" si="122"/>
        <v/>
      </c>
      <c r="K161" s="136" t="str">
        <f t="shared" si="123"/>
        <v/>
      </c>
      <c r="L161" s="136" t="str">
        <f t="shared" si="124"/>
        <v/>
      </c>
      <c r="M161" s="134" t="str">
        <f t="shared" si="125"/>
        <v/>
      </c>
      <c r="N161" s="134" t="str">
        <f t="shared" si="126"/>
        <v/>
      </c>
      <c r="O161" s="134" t="str">
        <f t="shared" si="127"/>
        <v/>
      </c>
      <c r="P161" s="134" t="str">
        <f t="shared" si="128"/>
        <v/>
      </c>
      <c r="Q161" s="134" t="str">
        <f t="shared" si="129"/>
        <v/>
      </c>
      <c r="R161" s="134" t="str">
        <f t="shared" si="130"/>
        <v/>
      </c>
      <c r="S161" s="134" t="str">
        <f t="shared" si="131"/>
        <v/>
      </c>
      <c r="T161" s="134" t="str">
        <f t="shared" si="132"/>
        <v/>
      </c>
      <c r="U161" s="134" t="str">
        <f t="shared" si="133"/>
        <v/>
      </c>
      <c r="V161" s="134" t="str">
        <f t="shared" si="134"/>
        <v/>
      </c>
      <c r="W161" s="19" t="str">
        <f t="shared" si="135"/>
        <v/>
      </c>
      <c r="X161" s="19" t="str">
        <f t="shared" si="136"/>
        <v/>
      </c>
      <c r="Y161" s="19" t="str">
        <f t="shared" si="137"/>
        <v/>
      </c>
      <c r="Z161" s="19" t="str">
        <f t="shared" si="138"/>
        <v/>
      </c>
      <c r="AA161" s="19" t="str">
        <f t="shared" si="139"/>
        <v/>
      </c>
      <c r="AB161" s="19" t="str">
        <f t="shared" si="140"/>
        <v/>
      </c>
      <c r="AC161" s="19" t="str">
        <f t="shared" si="141"/>
        <v/>
      </c>
      <c r="AD161" s="19" t="str">
        <f t="shared" si="142"/>
        <v/>
      </c>
      <c r="AE161" s="19" t="str">
        <f t="shared" si="143"/>
        <v/>
      </c>
      <c r="AF161" s="19" t="str">
        <f t="shared" si="144"/>
        <v/>
      </c>
      <c r="AG161" s="134" t="str">
        <f t="shared" si="145"/>
        <v/>
      </c>
      <c r="AH161" s="134" t="str">
        <f t="shared" si="146"/>
        <v/>
      </c>
      <c r="AI161" s="134" t="str">
        <f t="shared" si="147"/>
        <v/>
      </c>
      <c r="AJ161" s="134" t="str">
        <f t="shared" si="148"/>
        <v/>
      </c>
      <c r="AK161" s="134" t="str">
        <f t="shared" si="149"/>
        <v/>
      </c>
      <c r="AL161" s="134" t="str">
        <f t="shared" si="150"/>
        <v/>
      </c>
      <c r="AM161" s="134" t="str">
        <f t="shared" si="151"/>
        <v/>
      </c>
      <c r="AN161" s="134" t="str">
        <f t="shared" si="152"/>
        <v/>
      </c>
      <c r="AO161" s="134" t="str">
        <f t="shared" si="153"/>
        <v/>
      </c>
      <c r="AP161" s="134" t="str">
        <f t="shared" si="154"/>
        <v/>
      </c>
      <c r="AQ161" s="142" t="str">
        <f t="shared" si="114"/>
        <v/>
      </c>
      <c r="AR161" s="134" t="str">
        <f t="shared" si="115"/>
        <v/>
      </c>
      <c r="AS161" s="1042"/>
      <c r="AT161" s="468"/>
      <c r="AU161" s="143" t="str">
        <f t="shared" si="116"/>
        <v/>
      </c>
      <c r="AV161" s="17"/>
      <c r="AW161" s="136" t="str">
        <f t="shared" si="117"/>
        <v/>
      </c>
      <c r="AX161" s="17"/>
      <c r="AY161" s="27"/>
    </row>
    <row r="162" spans="2:51">
      <c r="B162" s="534"/>
      <c r="C162" s="136"/>
      <c r="D162" s="135" t="str">
        <f t="shared" ref="D162" si="155">IF(A162="","",10^-((((B162-P$12)/P$13)+7))/$AU162)</f>
        <v/>
      </c>
      <c r="E162" s="135" t="str">
        <f t="shared" si="118"/>
        <v/>
      </c>
      <c r="F162" s="136" t="str">
        <f t="shared" si="112"/>
        <v/>
      </c>
      <c r="G162" s="134" t="str">
        <f t="shared" si="113"/>
        <v/>
      </c>
      <c r="H162" s="134" t="str">
        <f t="shared" ref="H162" si="156">IF(A162="","",I162-J162)</f>
        <v/>
      </c>
      <c r="I162" s="135" t="str">
        <f t="shared" ref="I162" si="157">IF(A162="","",L162*I$18+K162*E$19)</f>
        <v/>
      </c>
      <c r="J162" s="135" t="str">
        <f t="shared" ref="J162" si="158">IF(A162="","",D162 -$AC$9/AU162^2/D162+L162*(W162*$B$11+X162*$C$11+Y162*$D$11+Z162*$E$11+AA162*$F$11+AB162*$G$11+AC162*$H$11)+K162*(AD162*$B$18+AE162*$C$18+AF162*$D$18))</f>
        <v/>
      </c>
      <c r="K162" s="136" t="str">
        <f t="shared" ref="K162" si="159">IF(A162="","",A162/(A162+$G$16))</f>
        <v/>
      </c>
      <c r="L162" s="136" t="str">
        <f t="shared" ref="L162" si="160">IF(A162="","",$E$16/(A162+$G$16))</f>
        <v/>
      </c>
      <c r="M162" s="134" t="str">
        <f t="shared" ref="M162" si="161">IF($A162="","",(1+(V$5*$AU162^(-2*V$4))*$D162+(V$6*$AU162^(-4*V$4-2))*$D162^2+(V$7*$AU162^(-6*V$4-6))*$D162^3+(V$8*$AU162^(-8*V$4-12))*$D162^4+(V$9*$AU162^(-10*V$4-20))*$D162^5+(V$10*$AU162^(-12*V$4-30))*$D162^6))</f>
        <v/>
      </c>
      <c r="N162" s="134" t="str">
        <f t="shared" ref="N162" si="162">IF($A162="","",(1+(W$5*$AU162^(-2*W$4))*$D162+(W$6*$AU162^(-4*W$4-2))*$D162^2+(W$7*$AU162^(-6*W$4-6))*$D162^3+(W$8*$AU162^(-8*W$4-12))*$D162^4+(W$9*$AU162^(-10*W$4-20))*$D162^5+(W$10*$AU162^(-12*W$4-30))*$D162^6))</f>
        <v/>
      </c>
      <c r="O162" s="134" t="str">
        <f t="shared" ref="O162" si="163">IF($A162="","",(1+(X$5*$AU162^(-2*X$4))*$D162+(X$6*$AU162^(-4*X$4-2))*$D162^2+(X$7*$AU162^(-6*X$4-6))*$D162^3+(X$8*$AU162^(-8*X$4-12))*$D162^4+(X$9*$AU162^(-10*X$4-20))*$D162^5+(X$10*$AU162^(-12*X$4-30))*$D162^6))</f>
        <v/>
      </c>
      <c r="P162" s="134" t="str">
        <f t="shared" ref="P162" si="164">IF($A162="","",(1+(Y$5*$AU162^(-2*Y$4))*$D162+(Y$6*$AU162^(-4*Y$4-2))*$D162^2+(Y$7*$AU162^(-6*Y$4-6))*$D162^3+(Y$8*$AU162^(-8*Y$4-12))*$D162^4+(Y$9*$AU162^(-10*Y$4-20))*$D162^5+(Y$10*$AU162^(-12*Y$4-30))*$D162^6))</f>
        <v/>
      </c>
      <c r="Q162" s="134" t="str">
        <f t="shared" ref="Q162" si="165">IF($A162="","",(1+(Z$5*$AU162^(-2*Z$4))*$D162+(Z$6*$AU162^(-4*Z$4-2))*$D162^2+(Z$7*$AU162^(-6*Z$4-6))*$D162^3+(Z$8*$AU162^(-8*Z$4-12))*$D162^4+(Z$9*$AU162^(-10*Z$4-20))*$D162^5+(Z$10*$AU162^(-12*Z$4-30))*$D162^6))</f>
        <v/>
      </c>
      <c r="R162" s="134" t="str">
        <f t="shared" ref="R162" si="166">IF($A162="","",(1+(AA$5*$AU162^(-2*AA$4))*$D162+(AA$6*$AU162^(-4*AA$4-2))*$D162^2+(AA$7*$AU162^(-6*AA$4-6))*$D162^3+(AA$8*$AU162^(-8*AA$4-12))*$D162^4+(AA$9*$AU162^(-10*AA$4-20))*$D162^5+(AA$10*$AU162^(-12*AA$4-30))*$D162^6))</f>
        <v/>
      </c>
      <c r="S162" s="134" t="str">
        <f t="shared" ref="S162" si="167">IF($A162="","",(1+(AB$5*$AU162^(-2*AB$4))*$D162+(AB$6*$AU162^(-4*AB$4-2))*$D162^2+(AB$7*$AU162^(-6*AB$4-6))*$D162^3+(AB$8*$AU162^(-8*AB$4-12))*$D162^4+(AB$9*$AU162^(-10*AB$4-20))*$D162^5+(AB$10*$AU162^(-12*AB$4-30))*$D162^6))</f>
        <v/>
      </c>
      <c r="T162" s="134" t="str">
        <f t="shared" ref="T162" si="168">IF($A162="","",(1+(AC$5*$AU162^(-2*AC$4))*$D162+(AC$6*$AU162^(-4*AC$4-2))*$D162^2))</f>
        <v/>
      </c>
      <c r="U162" s="134" t="str">
        <f t="shared" ref="U162" si="169">IF($A162="","",(1+(AD$5*$AU162^(-2*AD$4))*$D162+(AD$6*$AU162^(-4*AD$4-2))*$D162^2))</f>
        <v/>
      </c>
      <c r="V162" s="134" t="str">
        <f t="shared" ref="V162" si="170">IF($A162="","",(1+(AE$5*$AU162^(-2*AE$4))*$D162+(AE$6*$AU162^(-4*AE$4-2))*$D162^2))</f>
        <v/>
      </c>
      <c r="W162" s="19" t="str">
        <f t="shared" ref="W162" si="171">IF($A162="","",((V$5*$AU162^(-2*V$4))*$D162+2*(V$6*$AU162^(-4*V$4-2))*$D162^2+3*(V$7*$AU162^(-6*V$4-6))*$D162^3+4*(V$8*$AU162^(-8*V$4-12))*$D162^4+5*(V$9*$AU162^(-10*V$4-20))*$D162^5+6*(V$10*$AU162^(-12*V$4-30))*$D162^6)/M162)</f>
        <v/>
      </c>
      <c r="X162" s="19" t="str">
        <f t="shared" ref="X162" si="172">IF($A162="","",((W$5*$AU162^(-2*W$4))*$D162+2*(W$6*$AU162^(-4*W$4-2))*$D162^2+3*(W$7*$AU162^(-6*W$4-6))*$D162^3+4*(W$8*$AU162^(-8*W$4-12))*$D162^4+5*(W$9*$AU162^(-10*W$4-20))*$D162^5+6*(W$10*$AU162^(-12*W$4-30))*$D162^6)/N162)</f>
        <v/>
      </c>
      <c r="Y162" s="19" t="str">
        <f t="shared" ref="Y162" si="173">IF($A162="","",((X$5*$AU162^(-2*X$4))*$D162+2*(X$6*$AU162^(-4*X$4-2))*$D162^2+3*(X$7*$AU162^(-6*X$4-6))*$D162^3+4*(X$8*$AU162^(-8*X$4-12))*$D162^4+5*(X$9*$AU162^(-10*X$4-20))*$D162^5+6*(X$10*$AU162^(-12*X$4-30))*$D162^6)/O162)</f>
        <v/>
      </c>
      <c r="Z162" s="19" t="str">
        <f t="shared" ref="Z162" si="174">IF($A162="","",((Y$5*$AU162^(-2*Y$4))*$D162+2*(Y$6*$AU162^(-4*Y$4-2))*$D162^2+3*(Y$7*$AU162^(-6*Y$4-6))*$D162^3+4*(Y$8*$AU162^(-8*Y$4-12))*$D162^4+5*(Y$9*$AU162^(-10*Y$4-20))*$D162^5+6*(Y$10*$AU162^(-12*Y$4-30))*$D162^6)/P162)</f>
        <v/>
      </c>
      <c r="AA162" s="19" t="str">
        <f t="shared" ref="AA162" si="175">IF($A162="","",((Z$5*$AU162^(-2*Z$4))*$D162+2*(Z$6*$AU162^(-4*Z$4-2))*$D162^2+3*(Z$7*$AU162^(-6*Z$4-6))*$D162^3+4*(Z$8*$AU162^(-8*Z$4-12))*$D162^4+5*(Z$9*$AU162^(-10*Z$4-20))*$D162^5+6*(Z$10*$AU162^(-12*Z$4-30))*$D162^6)/Q162)</f>
        <v/>
      </c>
      <c r="AB162" s="19" t="str">
        <f t="shared" ref="AB162" si="176">IF($A162="","",((AA$5*$AU162^(-2*AA$4))*$D162+2*(AA$6*$AU162^(-4*AA$4-2))*$D162^2+3*(AA$7*$AU162^(-6*AA$4-6))*$D162^3+4*(AA$8*$AU162^(-8*AA$4-12))*$D162^4+5*(AA$9*$AU162^(-10*AA$4-20))*$D162^5+6*(AA$10*$AU162^(-12*AA$4-30))*$D162^6)/R162)</f>
        <v/>
      </c>
      <c r="AC162" s="19" t="str">
        <f t="shared" ref="AC162" si="177">IF($A162="","",((AB$5*$AU162^(-2*AB$4))*$D162+2*(AB$6*$AU162^(-4*AB$4-2))*$D162^2+3*(AB$7*$AU162^(-6*AB$4-6))*$D162^3+4*(AB$8*$AU162^(-8*AB$4-12))*$D162^4+5*(AB$9*$AU162^(-10*AB$4-20))*$D162^5+6*(AB$10*$AU162^(-12*AB$4-30))*$D162^6)/S162)</f>
        <v/>
      </c>
      <c r="AD162" s="19" t="str">
        <f t="shared" ref="AD162" si="178">IF($A162="","",((AC$5*$AU162^(-2*AC$4))*$D162+2*(AC$6*$AU162^(-4*AC$4-2))*$D162^2)/T162)</f>
        <v/>
      </c>
      <c r="AE162" s="19" t="str">
        <f t="shared" ref="AE162" si="179">IF($A162="","",((AD$5*$AU162^(-2*AD$4))*$D162+2*(AD$6*$AU162^(-4*AD$4-2))*$D162^2)/U162)</f>
        <v/>
      </c>
      <c r="AF162" s="19" t="str">
        <f t="shared" ref="AF162" si="180">IF($A162="","",((AE$5*$AU162^(-2*AE$4))*$D162+2*(AE$6*$AU162^(-4*AE$4-2))*$D162^2)/V162)</f>
        <v/>
      </c>
      <c r="AG162" s="134" t="str">
        <f t="shared" ref="AG162" si="181">IF(B$11=0,"",IF($A162="","",0.5*B$11*$L162*(1*V$4^2+(V$5*$AU162^(-2*V$4))*$D162*(V$4+1)^2+(V$6*$AU162^(-4*V$4-2))*$D162^2*(V$4+2)^2+(V$7*$AU162^(-6*V$4-6))*$D162^3*(V$4+3)^2+(V$8*$AU162^(-8*V$4-12))*$D162^4*(V$4+4)^2+(V$9*$AU162^(-10*V$4-20))*$D162^5*(V$4+5)^2+(V$10*$AU162^(-12*V$4-30))*$D162^6*(V$4+6)^2)/M162))</f>
        <v/>
      </c>
      <c r="AH162" s="134" t="str">
        <f t="shared" ref="AH162" si="182">IF(C$11=0,"",IF($A162="","",0.5*C$11*$L162*(1*W$4^2+(W$5*$AU162^(-2*W$4))*$D162*(W$4+1)^2+(W$6*$AU162^(-4*W$4-2))*$D162^2*(W$4+2)^2+(W$7*$AU162^(-6*W$4-6))*$D162^3*(W$4+3)^2+(W$8*$AU162^(-8*W$4-12))*$D162^4*(W$4+4)^2+(W$9*$AU162^(-10*W$4-20))*$D162^5*(W$4+5)^2+(W$10*$AU162^(-12*W$4-30))*$D162^6*(W$4+6)^2)/N162))</f>
        <v/>
      </c>
      <c r="AI162" s="134" t="str">
        <f t="shared" ref="AI162" si="183">IF(D$11=0,"",IF($A162="","",0.5*D$11*$L162*(1*X$4^2+(X$5*$AU162^(-2*X$4))*$D162*(X$4+1)^2+(X$6*$AU162^(-4*X$4-2))*$D162^2*(X$4+2)^2+(X$7*$AU162^(-6*X$4-6))*$D162^3*(X$4+3)^2+(X$8*$AU162^(-8*X$4-12))*$D162^4*(X$4+4)^2+(X$9*$AU162^(-10*X$4-20))*$D162^5*(X$4+5)^2+(X$10*$AU162^(-12*X$4-30))*$D162^6*(X$4+6)^2)/O162))</f>
        <v/>
      </c>
      <c r="AJ162" s="134" t="str">
        <f t="shared" ref="AJ162" si="184">IF(E$11=0,"",IF($A162="","",0.5*E$11*$L162*(1*Y$4^2+(Y$5*$AU162^(-2*Y$4))*$D162*(Y$4+1)^2+(Y$6*$AU162^(-4*Y$4-2))*$D162^2*(Y$4+2)^2+(Y$7*$AU162^(-6*Y$4-6))*$D162^3*(Y$4+3)^2+(Y$8*$AU162^(-8*Y$4-12))*$D162^4*(Y$4+4)^2+(Y$9*$AU162^(-10*Y$4-20))*$D162^5*(Y$4+5)^2+(Y$10*$AU162^(-12*Y$4-30))*$D162^6*(Y$4+6)^2)/P162))</f>
        <v/>
      </c>
      <c r="AK162" s="134" t="str">
        <f t="shared" ref="AK162" si="185">IF(F$11=0,"",IF($A162="","",0.5*F$11*$L162*(1*Z$4^2+(Z$5*$AU162^(-2*Z$4))*$D162*(Z$4+1)^2+(Z$6*$AU162^(-4*Z$4-2))*$D162^2*(Z$4+2)^2+(Z$7*$AU162^(-6*Z$4-6))*$D162^3*(Z$4+3)^2+(Z$8*$AU162^(-8*Z$4-12))*$D162^4*(Z$4+4)^2+(Z$9*$AU162^(-10*Z$4-20))*$D162^5*(Z$4+5)^2+(Z$10*$AU162^(-12*Z$4-30))*$D162^6*(Z$4+6)^2)/Q162))</f>
        <v/>
      </c>
      <c r="AL162" s="134" t="str">
        <f t="shared" ref="AL162" si="186">IF(G$11=0,"",IF($A162="","",0.5*G$11*$L162*(1*AA$4^2+(AA$5*$AU162^(-2*AA$4))*$D162*(AA$4+1)^2+(AA$6*$AU162^(-4*AA$4-2))*$D162^2*(AA$4+2)^2+(AA$7*$AU162^(-6*AA$4-6))*$D162^3*(AA$4+3)^2+(AA$8*$AU162^(-8*AA$4-12))*$D162^4*(AA$4+4)^2+(AA$9*$AU162^(-10*AA$4-20))*$D162^5*(AA$4+5)^2+(AA$10*$AU162^(-12*AA$4-30))*$D162^6*(AA$4+6)^2)/R162))</f>
        <v/>
      </c>
      <c r="AM162" s="134" t="str">
        <f t="shared" ref="AM162" si="187">IF(H$11=0,"",IF($A162="","",0.5*H$11*$L162*(1*AB$4^2+(AB$5*$AU162^(-2*AB$4))*$D162*(AB$4+1)^2+(AB$6*$AU162^(-4*AB$4-2))*$D162^2*(AB$4+2)^2+(AB$7*$AU162^(-6*AB$4-6))*$D162^3*(AB$4+3)^2+(AB$8*$AU162^(-8*AB$4-12))*$D162^4*(AB$4+4)^2+(AB$9*$AU162^(-10*AB$4-20))*$D162^5*(AB$4+5)^2+(AB$10*$AU162^(-12*AB$4-30))*$D162^6*(AB$4+6)^2)/S162))</f>
        <v/>
      </c>
      <c r="AN162" s="134" t="str">
        <f t="shared" ref="AN162" si="188">IF(B$18=0,"",IF($A162="","",0.5*B$18*$K162*(1*AC$4^2+(AC$5*$AU162^(-2*AC$4))*$D162*(AC$4+1)^2+(AC$6*$AU162^(-4*AC$4-2))*$D162^2*(AC$4+2)^2)/T162))</f>
        <v/>
      </c>
      <c r="AO162" s="134" t="str">
        <f t="shared" ref="AO162" si="189">IF(C$18=0,"",IF($A162="","",0.5*C$18*$K162*(1*AD$4^2+(AD$5*$AU162^(-2*AD$4))*$D162*(AD$4+1)^2+(AD$6*$AU162^(-4*AD$4-2))*$D162^2*(AD$4+2)^2)/U162))</f>
        <v/>
      </c>
      <c r="AP162" s="134" t="str">
        <f t="shared" ref="AP162" si="190">IF(D$18=0,"",IF($A162="","",0.5*D$18*$K162*(1*AE$4^2+(AE$5*$AU162^(-2*AE$4))*$D162*(AE$4+1)^2+(AE$6*$AU162^(-4*AE$4-2))*$D162^2*(AE$4+2)^2)/V162))</f>
        <v/>
      </c>
      <c r="AQ162" s="142" t="str">
        <f t="shared" si="114"/>
        <v/>
      </c>
      <c r="AR162" s="134" t="str">
        <f t="shared" si="115"/>
        <v/>
      </c>
      <c r="AS162" s="1042"/>
      <c r="AT162" s="468"/>
      <c r="AU162" s="143" t="str">
        <f t="shared" si="116"/>
        <v/>
      </c>
      <c r="AV162" s="17"/>
      <c r="AW162" s="136" t="str">
        <f t="shared" si="117"/>
        <v/>
      </c>
      <c r="AX162" s="17"/>
      <c r="AY162" s="27"/>
    </row>
  </sheetData>
  <protectedRanges>
    <protectedRange sqref="Y11" name="Intervalo4_3"/>
  </protectedRanges>
  <phoneticPr fontId="0" type="noConversion"/>
  <pageMargins left="0.78740157499999996" right="0.78740157499999996" top="0.984251969" bottom="0.984251969" header="0.49212598499999999" footer="0.49212598499999999"/>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179" r:id="rId4" name="Button 1747">
              <controlPr defaultSize="0" print="0" autoFill="0" autoPict="0" macro="[0]!Regression_Plot_Fitted_pH">
                <anchor moveWithCells="1" sizeWithCells="1">
                  <from>
                    <xdr:col>3</xdr:col>
                    <xdr:colOff>180975</xdr:colOff>
                    <xdr:row>20</xdr:row>
                    <xdr:rowOff>133350</xdr:rowOff>
                  </from>
                  <to>
                    <xdr:col>5</xdr:col>
                    <xdr:colOff>276225</xdr:colOff>
                    <xdr:row>21</xdr:row>
                    <xdr:rowOff>133350</xdr:rowOff>
                  </to>
                </anchor>
              </controlPr>
            </control>
          </mc:Choice>
        </mc:AlternateContent>
        <mc:AlternateContent xmlns:mc="http://schemas.openxmlformats.org/markup-compatibility/2006">
          <mc:Choice Requires="x14">
            <control shapeId="891826" r:id="rId5" name="Button 2994">
              <controlPr defaultSize="0" print="0" autoFill="0" autoPict="0" macro="[0]!Regression_I_zero">
                <anchor moveWithCells="1" sizeWithCells="1">
                  <from>
                    <xdr:col>0</xdr:col>
                    <xdr:colOff>66675</xdr:colOff>
                    <xdr:row>20</xdr:row>
                    <xdr:rowOff>142875</xdr:rowOff>
                  </from>
                  <to>
                    <xdr:col>1</xdr:col>
                    <xdr:colOff>466725</xdr:colOff>
                    <xdr:row>21</xdr:row>
                    <xdr:rowOff>142875</xdr:rowOff>
                  </to>
                </anchor>
              </controlPr>
            </control>
          </mc:Choice>
        </mc:AlternateContent>
        <mc:AlternateContent xmlns:mc="http://schemas.openxmlformats.org/markup-compatibility/2006">
          <mc:Choice Requires="x14">
            <control shapeId="5127777" r:id="rId6" name="Button 6753">
              <controlPr defaultSize="0" print="0" autoFill="0" autoPict="0" macro="[0]!Regression_Data_Eval">
                <anchor moveWithCells="1" sizeWithCells="1">
                  <from>
                    <xdr:col>5</xdr:col>
                    <xdr:colOff>714375</xdr:colOff>
                    <xdr:row>19</xdr:row>
                    <xdr:rowOff>95250</xdr:rowOff>
                  </from>
                  <to>
                    <xdr:col>6</xdr:col>
                    <xdr:colOff>914400</xdr:colOff>
                    <xdr:row>20</xdr:row>
                    <xdr:rowOff>76200</xdr:rowOff>
                  </to>
                </anchor>
              </controlPr>
            </control>
          </mc:Choice>
        </mc:AlternateContent>
        <mc:AlternateContent xmlns:mc="http://schemas.openxmlformats.org/markup-compatibility/2006">
          <mc:Choice Requires="x14">
            <control shapeId="20180" r:id="rId7" name="Button 1748">
              <controlPr defaultSize="0" print="0" autoFill="0" autoPict="0" macro="[0]!Regression_Remove_fitted_pH">
                <anchor moveWithCells="1" sizeWithCells="1">
                  <from>
                    <xdr:col>5</xdr:col>
                    <xdr:colOff>381000</xdr:colOff>
                    <xdr:row>20</xdr:row>
                    <xdr:rowOff>133350</xdr:rowOff>
                  </from>
                  <to>
                    <xdr:col>6</xdr:col>
                    <xdr:colOff>923925</xdr:colOff>
                    <xdr:row>21</xdr:row>
                    <xdr:rowOff>133350</xdr:rowOff>
                  </to>
                </anchor>
              </controlPr>
            </control>
          </mc:Choice>
        </mc:AlternateContent>
        <mc:AlternateContent xmlns:mc="http://schemas.openxmlformats.org/markup-compatibility/2006">
          <mc:Choice Requires="x14">
            <control shapeId="20184" r:id="rId8" name="Button 1752">
              <controlPr defaultSize="0" print="0" autoFill="0" autoPict="0" macro="[0]!Regression_Data_Sim">
                <anchor moveWithCells="1" sizeWithCells="1">
                  <from>
                    <xdr:col>2</xdr:col>
                    <xdr:colOff>428625</xdr:colOff>
                    <xdr:row>19</xdr:row>
                    <xdr:rowOff>104775</xdr:rowOff>
                  </from>
                  <to>
                    <xdr:col>3</xdr:col>
                    <xdr:colOff>542925</xdr:colOff>
                    <xdr:row>20</xdr:row>
                    <xdr:rowOff>76200</xdr:rowOff>
                  </to>
                </anchor>
              </controlPr>
            </control>
          </mc:Choice>
        </mc:AlternateContent>
        <mc:AlternateContent xmlns:mc="http://schemas.openxmlformats.org/markup-compatibility/2006">
          <mc:Choice Requires="x14">
            <control shapeId="20185" r:id="rId9" name="Button 1753">
              <controlPr defaultSize="0" print="0" autoFill="0" autoPict="0" macro="[0]!Regression_Clear_Data">
                <anchor moveWithCells="1" sizeWithCells="1">
                  <from>
                    <xdr:col>0</xdr:col>
                    <xdr:colOff>47625</xdr:colOff>
                    <xdr:row>19</xdr:row>
                    <xdr:rowOff>85725</xdr:rowOff>
                  </from>
                  <to>
                    <xdr:col>1</xdr:col>
                    <xdr:colOff>66675</xdr:colOff>
                    <xdr:row>20</xdr:row>
                    <xdr:rowOff>66675</xdr:rowOff>
                  </to>
                </anchor>
              </controlPr>
            </control>
          </mc:Choice>
        </mc:AlternateContent>
        <mc:AlternateContent xmlns:mc="http://schemas.openxmlformats.org/markup-compatibility/2006">
          <mc:Choice Requires="x14">
            <control shapeId="20186" r:id="rId10" name="Button 1754">
              <controlPr defaultSize="0" print="0" autoFill="0" autoPict="0" macro="[0]!Regression_Data_Sim_Disp">
                <anchor moveWithCells="1" sizeWithCells="1">
                  <from>
                    <xdr:col>3</xdr:col>
                    <xdr:colOff>609600</xdr:colOff>
                    <xdr:row>19</xdr:row>
                    <xdr:rowOff>95250</xdr:rowOff>
                  </from>
                  <to>
                    <xdr:col>5</xdr:col>
                    <xdr:colOff>638175</xdr:colOff>
                    <xdr:row>20</xdr:row>
                    <xdr:rowOff>76200</xdr:rowOff>
                  </to>
                </anchor>
              </controlPr>
            </control>
          </mc:Choice>
        </mc:AlternateContent>
        <mc:AlternateContent xmlns:mc="http://schemas.openxmlformats.org/markup-compatibility/2006">
          <mc:Choice Requires="x14">
            <control shapeId="891360" r:id="rId11" name="Button 2528">
              <controlPr defaultSize="0" print="0" autoFill="0" autoPict="0" macro="[0]!Regression_Copy_pKas">
                <anchor moveWithCells="1" sizeWithCells="1">
                  <from>
                    <xdr:col>9</xdr:col>
                    <xdr:colOff>38100</xdr:colOff>
                    <xdr:row>0</xdr:row>
                    <xdr:rowOff>47625</xdr:rowOff>
                  </from>
                  <to>
                    <xdr:col>9</xdr:col>
                    <xdr:colOff>1009650</xdr:colOff>
                    <xdr:row>2</xdr:row>
                    <xdr:rowOff>66675</xdr:rowOff>
                  </to>
                </anchor>
              </controlPr>
            </control>
          </mc:Choice>
        </mc:AlternateContent>
        <mc:AlternateContent xmlns:mc="http://schemas.openxmlformats.org/markup-compatibility/2006">
          <mc:Choice Requires="x14">
            <control shapeId="891624" r:id="rId12" name="Drop Down 2792">
              <controlPr defaultSize="0" autoLine="0" autoPict="0">
                <anchor moveWithCells="1">
                  <from>
                    <xdr:col>10</xdr:col>
                    <xdr:colOff>0</xdr:colOff>
                    <xdr:row>1</xdr:row>
                    <xdr:rowOff>0</xdr:rowOff>
                  </from>
                  <to>
                    <xdr:col>11</xdr:col>
                    <xdr:colOff>628650</xdr:colOff>
                    <xdr:row>2</xdr:row>
                    <xdr:rowOff>0</xdr:rowOff>
                  </to>
                </anchor>
              </controlPr>
            </control>
          </mc:Choice>
        </mc:AlternateContent>
        <mc:AlternateContent xmlns:mc="http://schemas.openxmlformats.org/markup-compatibility/2006">
          <mc:Choice Requires="x14">
            <control shapeId="891625" r:id="rId13" name="Drop Down 2793">
              <controlPr defaultSize="0" autoLine="0" autoPict="0">
                <anchor moveWithCells="1">
                  <from>
                    <xdr:col>11</xdr:col>
                    <xdr:colOff>0</xdr:colOff>
                    <xdr:row>1</xdr:row>
                    <xdr:rowOff>0</xdr:rowOff>
                  </from>
                  <to>
                    <xdr:col>12</xdr:col>
                    <xdr:colOff>838200</xdr:colOff>
                    <xdr:row>2</xdr:row>
                    <xdr:rowOff>0</xdr:rowOff>
                  </to>
                </anchor>
              </controlPr>
            </control>
          </mc:Choice>
        </mc:AlternateContent>
        <mc:AlternateContent xmlns:mc="http://schemas.openxmlformats.org/markup-compatibility/2006">
          <mc:Choice Requires="x14">
            <control shapeId="891626" r:id="rId14" name="Drop Down 2794">
              <controlPr defaultSize="0" autoLine="0" autoPict="0">
                <anchor moveWithCells="1">
                  <from>
                    <xdr:col>12</xdr:col>
                    <xdr:colOff>0</xdr:colOff>
                    <xdr:row>1</xdr:row>
                    <xdr:rowOff>0</xdr:rowOff>
                  </from>
                  <to>
                    <xdr:col>13</xdr:col>
                    <xdr:colOff>809625</xdr:colOff>
                    <xdr:row>2</xdr:row>
                    <xdr:rowOff>0</xdr:rowOff>
                  </to>
                </anchor>
              </controlPr>
            </control>
          </mc:Choice>
        </mc:AlternateContent>
        <mc:AlternateContent xmlns:mc="http://schemas.openxmlformats.org/markup-compatibility/2006">
          <mc:Choice Requires="x14">
            <control shapeId="891627" r:id="rId15" name="Drop Down 2795">
              <controlPr defaultSize="0" autoLine="0" autoPict="0">
                <anchor moveWithCells="1">
                  <from>
                    <xdr:col>13</xdr:col>
                    <xdr:colOff>0</xdr:colOff>
                    <xdr:row>1</xdr:row>
                    <xdr:rowOff>0</xdr:rowOff>
                  </from>
                  <to>
                    <xdr:col>14</xdr:col>
                    <xdr:colOff>457200</xdr:colOff>
                    <xdr:row>2</xdr:row>
                    <xdr:rowOff>0</xdr:rowOff>
                  </to>
                </anchor>
              </controlPr>
            </control>
          </mc:Choice>
        </mc:AlternateContent>
        <mc:AlternateContent xmlns:mc="http://schemas.openxmlformats.org/markup-compatibility/2006">
          <mc:Choice Requires="x14">
            <control shapeId="891628" r:id="rId16" name="Drop Down 2796">
              <controlPr defaultSize="0" autoLine="0" autoPict="0">
                <anchor moveWithCells="1">
                  <from>
                    <xdr:col>14</xdr:col>
                    <xdr:colOff>0</xdr:colOff>
                    <xdr:row>1</xdr:row>
                    <xdr:rowOff>0</xdr:rowOff>
                  </from>
                  <to>
                    <xdr:col>15</xdr:col>
                    <xdr:colOff>866775</xdr:colOff>
                    <xdr:row>2</xdr:row>
                    <xdr:rowOff>0</xdr:rowOff>
                  </to>
                </anchor>
              </controlPr>
            </control>
          </mc:Choice>
        </mc:AlternateContent>
        <mc:AlternateContent xmlns:mc="http://schemas.openxmlformats.org/markup-compatibility/2006">
          <mc:Choice Requires="x14">
            <control shapeId="891629" r:id="rId17" name="Drop Down 2797">
              <controlPr defaultSize="0" autoLine="0" autoPict="0">
                <anchor moveWithCells="1">
                  <from>
                    <xdr:col>15</xdr:col>
                    <xdr:colOff>0</xdr:colOff>
                    <xdr:row>1</xdr:row>
                    <xdr:rowOff>0</xdr:rowOff>
                  </from>
                  <to>
                    <xdr:col>16</xdr:col>
                    <xdr:colOff>457200</xdr:colOff>
                    <xdr:row>2</xdr:row>
                    <xdr:rowOff>0</xdr:rowOff>
                  </to>
                </anchor>
              </controlPr>
            </control>
          </mc:Choice>
        </mc:AlternateContent>
        <mc:AlternateContent xmlns:mc="http://schemas.openxmlformats.org/markup-compatibility/2006">
          <mc:Choice Requires="x14">
            <control shapeId="891630" r:id="rId18" name="Drop Down 2798">
              <controlPr defaultSize="0" autoLine="0" autoPict="0">
                <anchor moveWithCells="1">
                  <from>
                    <xdr:col>16</xdr:col>
                    <xdr:colOff>0</xdr:colOff>
                    <xdr:row>1</xdr:row>
                    <xdr:rowOff>0</xdr:rowOff>
                  </from>
                  <to>
                    <xdr:col>17</xdr:col>
                    <xdr:colOff>209550</xdr:colOff>
                    <xdr:row>2</xdr:row>
                    <xdr:rowOff>0</xdr:rowOff>
                  </to>
                </anchor>
              </controlPr>
            </control>
          </mc:Choice>
        </mc:AlternateContent>
        <mc:AlternateContent xmlns:mc="http://schemas.openxmlformats.org/markup-compatibility/2006">
          <mc:Choice Requires="x14">
            <control shapeId="891828" r:id="rId19" name="Button 2996">
              <controlPr defaultSize="0" print="0" autoFill="0" autoPict="0" macro="[0]!Regression_I_calc">
                <anchor moveWithCells="1" sizeWithCells="1">
                  <from>
                    <xdr:col>1</xdr:col>
                    <xdr:colOff>571500</xdr:colOff>
                    <xdr:row>20</xdr:row>
                    <xdr:rowOff>142875</xdr:rowOff>
                  </from>
                  <to>
                    <xdr:col>3</xdr:col>
                    <xdr:colOff>95250</xdr:colOff>
                    <xdr:row>21</xdr:row>
                    <xdr:rowOff>142875</xdr:rowOff>
                  </to>
                </anchor>
              </controlPr>
            </control>
          </mc:Choice>
        </mc:AlternateContent>
        <mc:AlternateContent xmlns:mc="http://schemas.openxmlformats.org/markup-compatibility/2006">
          <mc:Choice Requires="x14">
            <control shapeId="3988813" r:id="rId20" name="Button 5453">
              <controlPr defaultSize="0" print="0" autoFill="0" autoPict="0" macro="[0]!Regression_Find_tirant_pH">
                <anchor moveWithCells="1" sizeWithCells="1">
                  <from>
                    <xdr:col>5</xdr:col>
                    <xdr:colOff>885825</xdr:colOff>
                    <xdr:row>16</xdr:row>
                    <xdr:rowOff>104775</xdr:rowOff>
                  </from>
                  <to>
                    <xdr:col>6</xdr:col>
                    <xdr:colOff>847725</xdr:colOff>
                    <xdr:row>17</xdr:row>
                    <xdr:rowOff>152400</xdr:rowOff>
                  </to>
                </anchor>
              </controlPr>
            </control>
          </mc:Choice>
        </mc:AlternateContent>
        <mc:AlternateContent xmlns:mc="http://schemas.openxmlformats.org/markup-compatibility/2006">
          <mc:Choice Requires="x14">
            <control shapeId="5127770" r:id="rId21" name="Button 6746">
              <controlPr defaultSize="0" print="0" autoFill="0" autoPict="0" macro="[0]!Regression_I_zero">
                <anchor moveWithCells="1" sizeWithCells="1">
                  <from>
                    <xdr:col>16</xdr:col>
                    <xdr:colOff>133350</xdr:colOff>
                    <xdr:row>21</xdr:row>
                    <xdr:rowOff>238125</xdr:rowOff>
                  </from>
                  <to>
                    <xdr:col>16</xdr:col>
                    <xdr:colOff>866775</xdr:colOff>
                    <xdr:row>23</xdr:row>
                    <xdr:rowOff>9525</xdr:rowOff>
                  </to>
                </anchor>
              </controlPr>
            </control>
          </mc:Choice>
        </mc:AlternateContent>
        <mc:AlternateContent xmlns:mc="http://schemas.openxmlformats.org/markup-compatibility/2006">
          <mc:Choice Requires="x14">
            <control shapeId="5127771" r:id="rId22" name="Button 6747">
              <controlPr defaultSize="0" print="0" autoFill="0" autoPict="0" macro="[0]!Regression_I_calc">
                <anchor moveWithCells="1" sizeWithCells="1">
                  <from>
                    <xdr:col>16</xdr:col>
                    <xdr:colOff>123825</xdr:colOff>
                    <xdr:row>23</xdr:row>
                    <xdr:rowOff>152400</xdr:rowOff>
                  </from>
                  <to>
                    <xdr:col>16</xdr:col>
                    <xdr:colOff>866775</xdr:colOff>
                    <xdr:row>25</xdr:row>
                    <xdr:rowOff>104775</xdr:rowOff>
                  </to>
                </anchor>
              </controlPr>
            </control>
          </mc:Choice>
        </mc:AlternateContent>
        <mc:AlternateContent xmlns:mc="http://schemas.openxmlformats.org/markup-compatibility/2006">
          <mc:Choice Requires="x14">
            <control shapeId="5127776" r:id="rId23" name="Button 6752">
              <controlPr defaultSize="0" print="0" autoFill="0" autoPict="0" macro="[0]!Regression_Data_Tit">
                <anchor moveWithCells="1" sizeWithCells="1">
                  <from>
                    <xdr:col>1</xdr:col>
                    <xdr:colOff>123825</xdr:colOff>
                    <xdr:row>19</xdr:row>
                    <xdr:rowOff>104775</xdr:rowOff>
                  </from>
                  <to>
                    <xdr:col>2</xdr:col>
                    <xdr:colOff>371475</xdr:colOff>
                    <xdr:row>20</xdr:row>
                    <xdr:rowOff>76200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4"/>
  <dimension ref="A1:AP311"/>
  <sheetViews>
    <sheetView zoomScale="85" zoomScaleNormal="85" workbookViewId="0"/>
  </sheetViews>
  <sheetFormatPr defaultRowHeight="12.75"/>
  <cols>
    <col min="1" max="1" width="11" customWidth="1"/>
    <col min="2" max="2" width="15.28515625" bestFit="1" customWidth="1"/>
    <col min="3" max="3" width="9.7109375" customWidth="1"/>
    <col min="4" max="4" width="13.42578125" customWidth="1"/>
    <col min="5" max="5" width="8" customWidth="1"/>
    <col min="6" max="6" width="15.140625" bestFit="1" customWidth="1"/>
    <col min="7" max="7" width="9.7109375" customWidth="1"/>
    <col min="18" max="19" width="9.42578125" bestFit="1" customWidth="1"/>
    <col min="20" max="21" width="9.28515625" bestFit="1" customWidth="1"/>
  </cols>
  <sheetData>
    <row r="1" spans="1:42" ht="24" customHeight="1">
      <c r="A1" s="386"/>
      <c r="B1" s="386"/>
      <c r="C1" s="386" t="s">
        <v>12</v>
      </c>
      <c r="D1" s="386"/>
      <c r="E1" s="386"/>
      <c r="F1" s="386"/>
      <c r="G1" s="386"/>
      <c r="H1" s="386"/>
      <c r="I1" s="386"/>
      <c r="J1" s="386"/>
      <c r="K1" s="386"/>
      <c r="L1" s="386"/>
      <c r="M1" s="386"/>
      <c r="N1" s="386"/>
      <c r="O1" s="386"/>
      <c r="P1" s="386"/>
      <c r="Q1" s="386"/>
      <c r="R1" s="386"/>
      <c r="S1" s="386"/>
      <c r="T1" s="386"/>
      <c r="U1" s="386"/>
      <c r="V1" s="386"/>
      <c r="W1" s="386"/>
      <c r="X1" s="386"/>
      <c r="Y1" s="386"/>
      <c r="Z1" s="386"/>
      <c r="AA1" s="386"/>
      <c r="AB1" s="386"/>
      <c r="AC1" s="386"/>
      <c r="AD1" s="386"/>
      <c r="AE1" s="386"/>
      <c r="AF1" s="386"/>
      <c r="AG1" s="386"/>
      <c r="AH1" s="386"/>
      <c r="AI1" s="386"/>
      <c r="AJ1" s="386"/>
      <c r="AK1" s="386"/>
      <c r="AL1" s="386"/>
      <c r="AM1" s="386"/>
      <c r="AN1" s="386"/>
      <c r="AO1" s="386"/>
      <c r="AP1" s="386"/>
    </row>
    <row r="2" spans="1:42" ht="18" customHeight="1">
      <c r="A2" s="287" t="s">
        <v>5</v>
      </c>
      <c r="B2" s="288"/>
      <c r="C2" s="288"/>
      <c r="D2" s="288"/>
      <c r="E2" s="289"/>
      <c r="F2" s="288"/>
      <c r="G2" s="288"/>
      <c r="H2" s="168"/>
      <c r="I2" s="168"/>
      <c r="J2" s="168"/>
      <c r="K2" s="168"/>
      <c r="L2" s="168"/>
      <c r="M2" s="168"/>
      <c r="N2" s="168"/>
      <c r="O2" s="168"/>
      <c r="P2" s="180"/>
      <c r="Q2" s="27"/>
      <c r="R2" s="27"/>
      <c r="S2" s="27"/>
      <c r="T2" s="27"/>
      <c r="U2" s="27"/>
      <c r="V2" s="27"/>
      <c r="W2" s="27"/>
      <c r="X2" s="27"/>
      <c r="Y2" s="27"/>
      <c r="Z2" s="27"/>
      <c r="AA2" s="27"/>
      <c r="AB2" s="27"/>
      <c r="AC2" s="27"/>
      <c r="AD2" s="27"/>
      <c r="AE2" s="27"/>
      <c r="AF2" s="27"/>
      <c r="AG2" s="27"/>
      <c r="AH2" s="27"/>
      <c r="AI2" s="27"/>
      <c r="AJ2" s="27"/>
      <c r="AK2" s="27"/>
      <c r="AL2" s="27"/>
      <c r="AM2" s="27"/>
      <c r="AN2" s="27"/>
      <c r="AO2" s="27"/>
      <c r="AP2" s="27"/>
    </row>
    <row r="3" spans="1:42" s="8" customFormat="1" ht="18" customHeight="1">
      <c r="A3" s="181" t="b">
        <v>1</v>
      </c>
      <c r="B3" s="182" t="b">
        <v>0</v>
      </c>
      <c r="C3" s="1161" t="str">
        <f>IF(Simulation!B41="","No Data","")</f>
        <v/>
      </c>
      <c r="D3" s="183" t="b">
        <v>0</v>
      </c>
      <c r="E3" s="183"/>
      <c r="F3" s="183" t="b">
        <v>0</v>
      </c>
      <c r="G3" s="1161" t="str">
        <f>IF(Simulation!D41="","No Data","")</f>
        <v>No Data</v>
      </c>
      <c r="H3" s="168"/>
      <c r="I3" s="184" t="s">
        <v>762</v>
      </c>
      <c r="J3" s="168"/>
      <c r="K3" s="168"/>
      <c r="L3" s="168"/>
      <c r="M3" s="168"/>
      <c r="N3" s="168"/>
      <c r="O3" s="168"/>
      <c r="P3" s="180"/>
      <c r="Q3" s="27"/>
      <c r="R3" s="27"/>
      <c r="S3" s="27"/>
      <c r="T3" s="27"/>
      <c r="U3" s="27"/>
      <c r="V3" s="27"/>
      <c r="W3" s="27"/>
      <c r="X3" s="27"/>
      <c r="Y3" s="27"/>
      <c r="Z3" s="27"/>
      <c r="AA3" s="27"/>
      <c r="AB3" s="27"/>
      <c r="AC3" s="27"/>
      <c r="AD3" s="27"/>
      <c r="AE3" s="27"/>
      <c r="AF3" s="27"/>
      <c r="AG3" s="27"/>
      <c r="AH3" s="27"/>
      <c r="AI3" s="27"/>
      <c r="AJ3" s="27"/>
      <c r="AK3" s="27"/>
      <c r="AL3" s="27"/>
      <c r="AM3" s="27"/>
      <c r="AN3" s="27"/>
      <c r="AO3" s="27"/>
      <c r="AP3" s="27"/>
    </row>
    <row r="4" spans="1:42" s="8" customFormat="1" ht="18" customHeight="1">
      <c r="A4" s="185" t="b">
        <v>1</v>
      </c>
      <c r="B4" s="182" t="b">
        <v>0</v>
      </c>
      <c r="C4" s="1161" t="e">
        <f>IF(#REF!="","No Data","")</f>
        <v>#REF!</v>
      </c>
      <c r="D4" s="183" t="b">
        <v>0</v>
      </c>
      <c r="E4" s="183"/>
      <c r="F4" s="183" t="b">
        <v>1</v>
      </c>
      <c r="G4" s="1161" t="e">
        <f>IF(#REF!="","No Data","")</f>
        <v>#REF!</v>
      </c>
      <c r="H4" s="168"/>
      <c r="I4" s="168" t="s">
        <v>2</v>
      </c>
      <c r="J4" s="168"/>
      <c r="K4" s="168"/>
      <c r="L4" s="168"/>
      <c r="M4" s="168"/>
      <c r="N4" s="168" t="s">
        <v>3</v>
      </c>
      <c r="O4" s="168"/>
      <c r="P4" s="180"/>
      <c r="Q4" s="27"/>
      <c r="R4" s="27"/>
      <c r="S4" s="27"/>
      <c r="T4" s="27"/>
      <c r="U4" s="27"/>
      <c r="V4" s="27"/>
      <c r="W4" s="27"/>
      <c r="X4" s="27"/>
      <c r="Y4" s="27"/>
      <c r="Z4" s="27"/>
      <c r="AA4" s="27"/>
      <c r="AB4" s="27"/>
      <c r="AC4" s="27"/>
      <c r="AD4" s="27"/>
      <c r="AE4" s="27"/>
      <c r="AF4" s="27"/>
      <c r="AG4" s="27"/>
      <c r="AH4" s="27"/>
      <c r="AI4" s="27"/>
      <c r="AJ4" s="27"/>
      <c r="AK4" s="27"/>
      <c r="AL4" s="27"/>
      <c r="AM4" s="27"/>
      <c r="AN4" s="27"/>
      <c r="AO4" s="27"/>
      <c r="AP4" s="27"/>
    </row>
    <row r="5" spans="1:42" s="8" customFormat="1" ht="18" customHeight="1">
      <c r="A5" s="185" t="b">
        <v>1</v>
      </c>
      <c r="B5" s="182" t="b">
        <v>0</v>
      </c>
      <c r="C5" s="1161" t="str">
        <f>IF(Regression!B41="","No Data","")</f>
        <v/>
      </c>
      <c r="D5" s="183" t="b">
        <v>0</v>
      </c>
      <c r="E5" s="183"/>
      <c r="F5" s="183" t="b">
        <v>0</v>
      </c>
      <c r="G5" s="1161" t="str">
        <f>IF(Regression!C41="","No Data","")</f>
        <v/>
      </c>
      <c r="H5" s="168"/>
      <c r="I5" s="168" t="s">
        <v>4</v>
      </c>
      <c r="J5" s="168"/>
      <c r="K5" s="168"/>
      <c r="L5" s="168"/>
      <c r="M5" s="168"/>
      <c r="N5" s="168"/>
      <c r="O5" s="168"/>
      <c r="P5" s="180"/>
      <c r="Q5" s="27"/>
      <c r="R5" s="27"/>
      <c r="S5" s="27"/>
      <c r="T5" s="27"/>
      <c r="U5" s="27"/>
      <c r="V5" s="27"/>
      <c r="W5" s="27"/>
      <c r="X5" s="27"/>
      <c r="Y5" s="27"/>
      <c r="Z5" s="27"/>
      <c r="AA5" s="27"/>
      <c r="AB5" s="27"/>
      <c r="AC5" s="27"/>
      <c r="AD5" s="27"/>
      <c r="AE5" s="27"/>
      <c r="AF5" s="27"/>
      <c r="AG5" s="27"/>
      <c r="AH5" s="27"/>
      <c r="AI5" s="27"/>
      <c r="AJ5" s="27"/>
      <c r="AK5" s="27"/>
      <c r="AL5" s="27"/>
      <c r="AM5" s="27"/>
      <c r="AN5" s="27"/>
      <c r="AO5" s="27"/>
      <c r="AP5" s="27"/>
    </row>
    <row r="6" spans="1:42" s="8" customFormat="1" ht="13.5" customHeight="1" thickBot="1">
      <c r="A6" s="186"/>
      <c r="B6" s="187"/>
      <c r="C6" s="187"/>
      <c r="D6" s="187"/>
      <c r="E6" s="187"/>
      <c r="F6" s="187"/>
      <c r="G6" s="187"/>
      <c r="H6" s="188"/>
      <c r="I6" s="188"/>
      <c r="J6" s="188"/>
      <c r="K6" s="188"/>
      <c r="L6" s="188"/>
      <c r="M6" s="188"/>
      <c r="N6" s="188"/>
      <c r="O6" s="188"/>
      <c r="P6" s="189"/>
      <c r="Q6" s="27"/>
      <c r="R6" s="27"/>
      <c r="S6" s="27"/>
      <c r="T6" s="27"/>
      <c r="U6" s="27"/>
      <c r="V6" s="27"/>
      <c r="W6" s="27"/>
      <c r="X6" s="27"/>
      <c r="Y6" s="27"/>
      <c r="Z6" s="27"/>
      <c r="AA6" s="27"/>
      <c r="AB6" s="27"/>
      <c r="AC6" s="27"/>
      <c r="AD6" s="27"/>
      <c r="AE6" s="27"/>
      <c r="AF6" s="27"/>
      <c r="AG6" s="27"/>
      <c r="AH6" s="27"/>
      <c r="AI6" s="27"/>
      <c r="AJ6" s="27"/>
      <c r="AK6" s="27"/>
      <c r="AL6" s="27"/>
      <c r="AM6" s="27"/>
      <c r="AN6" s="27"/>
      <c r="AO6" s="27"/>
      <c r="AP6" s="27"/>
    </row>
    <row r="7" spans="1:42" s="8" customFormat="1" ht="13.5" thickTop="1">
      <c r="A7" s="27"/>
      <c r="B7" s="27"/>
      <c r="C7" s="27"/>
      <c r="D7" s="27"/>
      <c r="E7" s="27"/>
      <c r="F7" s="27"/>
      <c r="G7" s="27"/>
      <c r="H7" s="168"/>
      <c r="I7" s="27"/>
      <c r="J7" s="27"/>
      <c r="K7" s="27"/>
      <c r="L7" s="27"/>
      <c r="M7" s="27"/>
      <c r="N7" s="27"/>
      <c r="O7" s="27"/>
      <c r="P7" s="27"/>
      <c r="Q7" s="27"/>
      <c r="R7" s="27"/>
      <c r="S7" s="27"/>
      <c r="T7" s="27"/>
      <c r="U7" s="27"/>
      <c r="V7" s="27"/>
      <c r="W7" s="27"/>
      <c r="X7" s="27"/>
      <c r="Y7" s="27"/>
      <c r="Z7" s="27"/>
      <c r="AA7" s="27"/>
      <c r="AB7" s="27"/>
      <c r="AC7" s="27"/>
      <c r="AD7" s="27"/>
      <c r="AE7" s="27"/>
      <c r="AF7" s="27"/>
      <c r="AG7" s="27"/>
      <c r="AH7" s="27"/>
      <c r="AI7" s="27"/>
      <c r="AJ7" s="27"/>
      <c r="AK7" s="27"/>
      <c r="AL7" s="27"/>
      <c r="AM7" s="27"/>
      <c r="AN7" s="27"/>
      <c r="AO7" s="27"/>
      <c r="AP7" s="27"/>
    </row>
    <row r="8" spans="1:42">
      <c r="A8" s="27"/>
      <c r="B8" s="27"/>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row>
    <row r="9" spans="1:42">
      <c r="A9" s="27"/>
      <c r="B9" s="27"/>
      <c r="C9" s="27"/>
      <c r="D9" s="27"/>
      <c r="E9" s="27"/>
      <c r="F9" s="27"/>
      <c r="G9" s="27"/>
      <c r="H9" s="27"/>
      <c r="I9" s="27"/>
      <c r="J9" s="27"/>
      <c r="K9" s="27"/>
      <c r="L9" s="27"/>
      <c r="M9" s="27"/>
      <c r="N9" s="27"/>
      <c r="O9" s="27"/>
      <c r="P9" s="27"/>
      <c r="Q9" s="27"/>
      <c r="R9" s="382"/>
      <c r="S9" s="170" t="s">
        <v>6</v>
      </c>
      <c r="T9" s="170"/>
      <c r="U9" s="170"/>
      <c r="V9" s="170" t="s">
        <v>7</v>
      </c>
      <c r="W9" s="170"/>
      <c r="X9" s="170"/>
      <c r="Y9" s="170"/>
      <c r="Z9" s="170"/>
      <c r="AA9" s="170" t="s">
        <v>8</v>
      </c>
      <c r="AB9" s="170"/>
      <c r="AC9" s="170"/>
      <c r="AD9" s="383" t="s">
        <v>9</v>
      </c>
      <c r="AE9" s="170"/>
      <c r="AF9" s="170"/>
      <c r="AG9" s="170"/>
      <c r="AH9" s="170"/>
      <c r="AI9" s="170" t="s">
        <v>10</v>
      </c>
      <c r="AJ9" s="170"/>
      <c r="AK9" s="170"/>
      <c r="AL9" s="170"/>
      <c r="AM9" s="170" t="s">
        <v>11</v>
      </c>
      <c r="AN9" s="170"/>
      <c r="AO9" s="383"/>
      <c r="AP9" s="27"/>
    </row>
    <row r="10" spans="1:42">
      <c r="A10" s="27"/>
      <c r="B10" s="27"/>
      <c r="C10" s="27"/>
      <c r="D10" s="27"/>
      <c r="E10" s="27"/>
      <c r="F10" s="27"/>
      <c r="G10" s="27"/>
      <c r="H10" s="27"/>
      <c r="I10" s="27"/>
      <c r="J10" s="27"/>
      <c r="K10" s="27"/>
      <c r="L10" s="27"/>
      <c r="M10" s="27"/>
      <c r="N10" s="27"/>
      <c r="O10" s="27"/>
      <c r="P10" s="27"/>
      <c r="Q10" s="27"/>
      <c r="R10" s="384" t="s">
        <v>442</v>
      </c>
      <c r="S10" s="21" t="s">
        <v>334</v>
      </c>
      <c r="T10" s="21" t="s">
        <v>442</v>
      </c>
      <c r="U10" s="21" t="s">
        <v>308</v>
      </c>
      <c r="V10" s="384" t="s">
        <v>442</v>
      </c>
      <c r="W10" s="21" t="s">
        <v>334</v>
      </c>
      <c r="X10" s="21" t="s">
        <v>442</v>
      </c>
      <c r="Y10" s="21" t="s">
        <v>308</v>
      </c>
      <c r="Z10" s="384" t="s">
        <v>442</v>
      </c>
      <c r="AA10" s="21" t="s">
        <v>334</v>
      </c>
      <c r="AB10" s="21" t="s">
        <v>442</v>
      </c>
      <c r="AC10" s="21" t="s">
        <v>308</v>
      </c>
      <c r="AD10" s="384" t="s">
        <v>442</v>
      </c>
      <c r="AE10" s="21" t="s">
        <v>334</v>
      </c>
      <c r="AF10" s="21" t="s">
        <v>442</v>
      </c>
      <c r="AG10" s="21" t="s">
        <v>308</v>
      </c>
      <c r="AH10" s="384" t="s">
        <v>442</v>
      </c>
      <c r="AI10" s="21" t="s">
        <v>334</v>
      </c>
      <c r="AJ10" s="21" t="s">
        <v>442</v>
      </c>
      <c r="AK10" s="21" t="s">
        <v>308</v>
      </c>
      <c r="AL10" s="384" t="s">
        <v>442</v>
      </c>
      <c r="AM10" s="21" t="s">
        <v>334</v>
      </c>
      <c r="AN10" s="21" t="s">
        <v>442</v>
      </c>
      <c r="AO10" s="385" t="s">
        <v>308</v>
      </c>
      <c r="AP10" s="27"/>
    </row>
    <row r="11" spans="1:42">
      <c r="A11" s="27"/>
      <c r="B11" s="27"/>
      <c r="C11" s="27"/>
      <c r="D11" s="27"/>
      <c r="E11" s="27"/>
      <c r="F11" s="27"/>
      <c r="G11" s="27"/>
      <c r="H11" s="27"/>
      <c r="I11" s="27"/>
      <c r="J11" s="27"/>
      <c r="K11" s="27"/>
      <c r="L11" s="27"/>
      <c r="M11" s="27"/>
      <c r="N11" s="27"/>
      <c r="O11" s="27"/>
      <c r="P11" s="27"/>
      <c r="Q11" s="27"/>
      <c r="R11" s="17">
        <v>0</v>
      </c>
      <c r="S11" s="17">
        <v>1.8059327094815671</v>
      </c>
      <c r="T11" s="17"/>
      <c r="U11" s="17"/>
      <c r="V11" s="17"/>
      <c r="W11" s="17"/>
      <c r="X11" s="17"/>
      <c r="Y11" s="17"/>
      <c r="Z11" s="17">
        <v>0</v>
      </c>
      <c r="AA11" s="17">
        <v>2.2653477877937256</v>
      </c>
      <c r="AB11" s="17"/>
      <c r="AC11" s="17"/>
      <c r="AD11" s="17"/>
      <c r="AE11" s="17"/>
      <c r="AF11" s="17"/>
      <c r="AG11" s="17"/>
      <c r="AH11" s="17">
        <v>0</v>
      </c>
      <c r="AI11" s="17">
        <v>2.2808282657451926</v>
      </c>
      <c r="AJ11" s="17"/>
      <c r="AK11" s="17"/>
      <c r="AL11" s="17"/>
      <c r="AM11" s="17"/>
      <c r="AN11" s="17"/>
      <c r="AO11" s="17"/>
      <c r="AP11" s="27"/>
    </row>
    <row r="12" spans="1:42">
      <c r="A12" s="27"/>
      <c r="B12" s="27"/>
      <c r="C12" s="27"/>
      <c r="D12" s="27"/>
      <c r="E12" s="27"/>
      <c r="F12" s="27"/>
      <c r="G12" s="27"/>
      <c r="H12" s="27"/>
      <c r="I12" s="27"/>
      <c r="J12" s="27"/>
      <c r="K12" s="27"/>
      <c r="L12" s="27"/>
      <c r="M12" s="27"/>
      <c r="N12" s="27"/>
      <c r="O12" s="27"/>
      <c r="P12" s="27"/>
      <c r="Q12" s="27"/>
      <c r="R12" s="17">
        <v>2.1570917087956332</v>
      </c>
      <c r="S12" s="17">
        <v>2.0204353218153117</v>
      </c>
      <c r="T12" s="17"/>
      <c r="U12" s="17"/>
      <c r="V12" s="17"/>
      <c r="W12" s="17"/>
      <c r="X12" s="17"/>
      <c r="Y12" s="17"/>
      <c r="Z12" s="17">
        <v>2.498869968985673</v>
      </c>
      <c r="AA12" s="17">
        <v>2.3861369323544204</v>
      </c>
      <c r="AB12" s="17"/>
      <c r="AC12" s="17"/>
      <c r="AD12" s="17"/>
      <c r="AE12" s="17"/>
      <c r="AF12" s="17">
        <v>8.3333333326057371E-2</v>
      </c>
      <c r="AG12" s="17">
        <v>1.7520986416828761E-2</v>
      </c>
      <c r="AH12" s="17">
        <v>0.89688894076971337</v>
      </c>
      <c r="AI12" s="17">
        <v>2.4714166043065489</v>
      </c>
      <c r="AJ12" s="17"/>
      <c r="AK12" s="17"/>
      <c r="AL12" s="17"/>
      <c r="AM12" s="17"/>
      <c r="AN12" s="17"/>
      <c r="AO12" s="17"/>
      <c r="AP12" s="27"/>
    </row>
    <row r="13" spans="1:42">
      <c r="A13" s="27"/>
      <c r="B13" s="27"/>
      <c r="C13" s="27"/>
      <c r="D13" s="27"/>
      <c r="E13" s="27"/>
      <c r="F13" s="27"/>
      <c r="G13" s="27"/>
      <c r="H13" s="27"/>
      <c r="I13" s="27"/>
      <c r="J13" s="27"/>
      <c r="K13" s="27"/>
      <c r="L13" s="27"/>
      <c r="M13" s="27"/>
      <c r="N13" s="27"/>
      <c r="O13" s="27"/>
      <c r="P13" s="27"/>
      <c r="Q13" s="27"/>
      <c r="R13" s="17">
        <v>4.0960384285426699</v>
      </c>
      <c r="S13" s="17">
        <v>2.2349379341490567</v>
      </c>
      <c r="T13" s="17"/>
      <c r="U13" s="17"/>
      <c r="V13" s="17"/>
      <c r="W13" s="17"/>
      <c r="X13" s="17"/>
      <c r="Y13" s="17"/>
      <c r="Z13" s="17">
        <v>4.6176066432963125</v>
      </c>
      <c r="AA13" s="17">
        <v>2.6641118475981056</v>
      </c>
      <c r="AB13" s="17"/>
      <c r="AC13" s="17"/>
      <c r="AD13" s="17"/>
      <c r="AE13" s="17"/>
      <c r="AF13" s="17">
        <v>0.24999999997817213</v>
      </c>
      <c r="AG13" s="17">
        <v>1.8362835528923274E-2</v>
      </c>
      <c r="AH13" s="17">
        <v>1.8641394926817156</v>
      </c>
      <c r="AI13" s="17">
        <v>2.662466105993837</v>
      </c>
      <c r="AJ13" s="17"/>
      <c r="AK13" s="17"/>
      <c r="AL13" s="17"/>
      <c r="AM13" s="17"/>
      <c r="AN13" s="17"/>
      <c r="AO13" s="17"/>
      <c r="AP13" s="27"/>
    </row>
    <row r="14" spans="1:42">
      <c r="A14" s="27"/>
      <c r="B14" s="27"/>
      <c r="C14" s="27"/>
      <c r="D14" s="27"/>
      <c r="E14" s="27"/>
      <c r="F14" s="27"/>
      <c r="G14" s="27"/>
      <c r="H14" s="27"/>
      <c r="I14" s="27"/>
      <c r="J14" s="27"/>
      <c r="K14" s="27"/>
      <c r="L14" s="27"/>
      <c r="M14" s="27"/>
      <c r="N14" s="27"/>
      <c r="O14" s="27"/>
      <c r="P14" s="27"/>
      <c r="Q14" s="27"/>
      <c r="R14" s="17">
        <v>5.7539623652701266</v>
      </c>
      <c r="S14" s="17">
        <v>2.4494405464828013</v>
      </c>
      <c r="T14" s="17"/>
      <c r="U14" s="17"/>
      <c r="V14" s="17"/>
      <c r="W14" s="17"/>
      <c r="X14" s="17"/>
      <c r="Y14" s="17"/>
      <c r="Z14" s="17">
        <v>6.2783207700704224</v>
      </c>
      <c r="AA14" s="17">
        <v>2.7841898506693541</v>
      </c>
      <c r="AB14" s="17"/>
      <c r="AC14" s="17"/>
      <c r="AD14" s="17"/>
      <c r="AE14" s="17"/>
      <c r="AF14" s="17">
        <v>0.41666666663028684</v>
      </c>
      <c r="AG14" s="17">
        <v>2.0046533753117626E-2</v>
      </c>
      <c r="AH14" s="17">
        <v>2.9605798234115355</v>
      </c>
      <c r="AI14" s="17">
        <v>2.8605852687023581</v>
      </c>
      <c r="AJ14" s="17"/>
      <c r="AK14" s="17"/>
      <c r="AL14" s="17"/>
      <c r="AM14" s="17"/>
      <c r="AN14" s="17"/>
      <c r="AO14" s="17"/>
      <c r="AP14" s="27"/>
    </row>
    <row r="15" spans="1:42">
      <c r="A15" s="27"/>
      <c r="B15" s="27"/>
      <c r="C15" s="27"/>
      <c r="D15" s="27"/>
      <c r="E15" s="27"/>
      <c r="F15" s="27"/>
      <c r="G15" s="27"/>
      <c r="H15" s="27"/>
      <c r="I15" s="27"/>
      <c r="J15" s="27"/>
      <c r="K15" s="27"/>
      <c r="L15" s="27"/>
      <c r="M15" s="27"/>
      <c r="N15" s="27"/>
      <c r="O15" s="27"/>
      <c r="P15" s="27"/>
      <c r="Q15" s="27"/>
      <c r="R15" s="17">
        <v>7.0770850390545093</v>
      </c>
      <c r="S15" s="17">
        <v>2.6639431588165463</v>
      </c>
      <c r="T15" s="17"/>
      <c r="U15" s="17"/>
      <c r="V15" s="17"/>
      <c r="W15" s="17"/>
      <c r="X15" s="17"/>
      <c r="Y15" s="17"/>
      <c r="Z15" s="17">
        <v>7.4992138441302814</v>
      </c>
      <c r="AA15" s="17">
        <v>3.0585092287696898</v>
      </c>
      <c r="AB15" s="17"/>
      <c r="AC15" s="17"/>
      <c r="AD15" s="17"/>
      <c r="AE15" s="17"/>
      <c r="AF15" s="17">
        <v>0.58333333328240156</v>
      </c>
      <c r="AG15" s="17">
        <v>2.2572081089406497E-2</v>
      </c>
      <c r="AH15" s="17">
        <v>4.1980953348684125</v>
      </c>
      <c r="AI15" s="17">
        <v>3.0949879734255372</v>
      </c>
      <c r="AJ15" s="17"/>
      <c r="AK15" s="17"/>
      <c r="AL15" s="17"/>
      <c r="AM15" s="17"/>
      <c r="AN15" s="17"/>
      <c r="AO15" s="17"/>
      <c r="AP15" s="27"/>
    </row>
    <row r="16" spans="1:42">
      <c r="A16" s="27"/>
      <c r="B16" s="27"/>
      <c r="C16" s="27"/>
      <c r="D16" s="27"/>
      <c r="E16" s="27"/>
      <c r="F16" s="27"/>
      <c r="G16" s="27"/>
      <c r="H16" s="27"/>
      <c r="I16" s="27"/>
      <c r="J16" s="27"/>
      <c r="K16" s="27"/>
      <c r="L16" s="27"/>
      <c r="M16" s="27"/>
      <c r="N16" s="27"/>
      <c r="O16" s="27"/>
      <c r="P16" s="27"/>
      <c r="Q16" s="27"/>
      <c r="R16" s="17">
        <v>8.060804101114627</v>
      </c>
      <c r="S16" s="17">
        <v>2.8784457711502909</v>
      </c>
      <c r="T16" s="17"/>
      <c r="U16" s="17"/>
      <c r="V16" s="17"/>
      <c r="W16" s="17"/>
      <c r="X16" s="17"/>
      <c r="Y16" s="17"/>
      <c r="Z16" s="17">
        <v>8.3545435321866535</v>
      </c>
      <c r="AA16" s="17">
        <v>3.3024845674820242</v>
      </c>
      <c r="AB16" s="17"/>
      <c r="AC16" s="17"/>
      <c r="AD16" s="17"/>
      <c r="AE16" s="17"/>
      <c r="AF16" s="17">
        <v>0.74999999993451638</v>
      </c>
      <c r="AG16" s="17">
        <v>2.5939477537792542E-2</v>
      </c>
      <c r="AH16" s="17">
        <v>5.5483564428868704</v>
      </c>
      <c r="AI16" s="17">
        <v>3.2735308732353152</v>
      </c>
      <c r="AJ16" s="17"/>
      <c r="AK16" s="17"/>
      <c r="AL16" s="17"/>
      <c r="AM16" s="17"/>
      <c r="AN16" s="17"/>
      <c r="AO16" s="17"/>
      <c r="AP16" s="27"/>
    </row>
    <row r="17" spans="1:42">
      <c r="A17" s="27"/>
      <c r="B17" s="27"/>
      <c r="C17" s="27"/>
      <c r="D17" s="27"/>
      <c r="E17" s="27"/>
      <c r="F17" s="27"/>
      <c r="G17" s="27"/>
      <c r="H17" s="27"/>
      <c r="I17" s="27"/>
      <c r="J17" s="27"/>
      <c r="K17" s="27"/>
      <c r="L17" s="27"/>
      <c r="M17" s="27"/>
      <c r="N17" s="27"/>
      <c r="O17" s="27"/>
      <c r="P17" s="27"/>
      <c r="Q17" s="27"/>
      <c r="R17" s="17">
        <v>8.7492475504404865</v>
      </c>
      <c r="S17" s="17">
        <v>3.0929483834840354</v>
      </c>
      <c r="T17" s="17"/>
      <c r="U17" s="17"/>
      <c r="V17" s="17"/>
      <c r="W17" s="17"/>
      <c r="X17" s="17"/>
      <c r="Y17" s="17"/>
      <c r="Z17" s="17">
        <v>8.933838079974521</v>
      </c>
      <c r="AA17" s="17">
        <v>3.43747849104926</v>
      </c>
      <c r="AB17" s="17"/>
      <c r="AC17" s="17"/>
      <c r="AD17" s="17"/>
      <c r="AE17" s="17"/>
      <c r="AF17" s="17">
        <v>0.9166666665866311</v>
      </c>
      <c r="AG17" s="17">
        <v>3.0148723098275744E-2</v>
      </c>
      <c r="AH17" s="17">
        <v>6.9703873581602238</v>
      </c>
      <c r="AI17" s="17">
        <v>3.4831263395957648</v>
      </c>
      <c r="AJ17" s="17"/>
      <c r="AK17" s="17"/>
      <c r="AL17" s="17"/>
      <c r="AM17" s="17"/>
      <c r="AN17" s="17"/>
      <c r="AO17" s="17"/>
      <c r="AP17" s="27"/>
    </row>
    <row r="18" spans="1:42">
      <c r="A18" s="27"/>
      <c r="B18" s="27"/>
      <c r="C18" s="27"/>
      <c r="D18" s="27"/>
      <c r="E18" s="27"/>
      <c r="F18" s="27"/>
      <c r="G18" s="27"/>
      <c r="H18" s="27"/>
      <c r="I18" s="27"/>
      <c r="J18" s="27"/>
      <c r="K18" s="27"/>
      <c r="L18" s="27"/>
      <c r="M18" s="27"/>
      <c r="N18" s="27"/>
      <c r="O18" s="27"/>
      <c r="P18" s="27"/>
      <c r="Q18" s="27"/>
      <c r="R18" s="17">
        <v>9.2095433516078629</v>
      </c>
      <c r="S18" s="17">
        <v>3.3074509958177805</v>
      </c>
      <c r="T18" s="17"/>
      <c r="U18" s="17"/>
      <c r="V18" s="17"/>
      <c r="W18" s="17"/>
      <c r="X18" s="17"/>
      <c r="Y18" s="17"/>
      <c r="Z18" s="17">
        <v>9.3177054906846024</v>
      </c>
      <c r="AA18" s="17">
        <v>3.552244313005358</v>
      </c>
      <c r="AB18" s="17"/>
      <c r="AC18" s="17"/>
      <c r="AD18" s="17"/>
      <c r="AE18" s="17"/>
      <c r="AF18" s="17">
        <v>1.0833333332387458</v>
      </c>
      <c r="AG18" s="17">
        <v>3.5199817770856186E-2</v>
      </c>
      <c r="AH18" s="17">
        <v>8.4402233464061283</v>
      </c>
      <c r="AI18" s="17">
        <v>3.6744159386791289</v>
      </c>
      <c r="AJ18" s="17"/>
      <c r="AK18" s="17"/>
      <c r="AL18" s="17"/>
      <c r="AM18" s="17"/>
      <c r="AN18" s="17"/>
      <c r="AO18" s="17"/>
      <c r="AP18" s="27"/>
    </row>
    <row r="19" spans="1:42">
      <c r="A19" s="27"/>
      <c r="B19" s="27"/>
      <c r="C19" s="27"/>
      <c r="D19" s="27"/>
      <c r="E19" s="27"/>
      <c r="F19" s="27"/>
      <c r="G19" s="27"/>
      <c r="H19" s="27"/>
      <c r="I19" s="27"/>
      <c r="J19" s="27"/>
      <c r="K19" s="27"/>
      <c r="L19" s="27"/>
      <c r="M19" s="27"/>
      <c r="N19" s="27"/>
      <c r="O19" s="27"/>
      <c r="P19" s="27"/>
      <c r="Q19" s="27"/>
      <c r="R19" s="17">
        <v>9.5078176775132306</v>
      </c>
      <c r="S19" s="17">
        <v>3.5219536081515255</v>
      </c>
      <c r="T19" s="17"/>
      <c r="U19" s="17"/>
      <c r="V19" s="17"/>
      <c r="W19" s="17"/>
      <c r="X19" s="17"/>
      <c r="Y19" s="17"/>
      <c r="Z19" s="17">
        <v>9.5692240152857266</v>
      </c>
      <c r="AA19" s="17">
        <v>3.823462932128459</v>
      </c>
      <c r="AB19" s="17"/>
      <c r="AC19" s="17"/>
      <c r="AD19" s="17"/>
      <c r="AE19" s="17"/>
      <c r="AF19" s="17">
        <v>1.2499999998908606</v>
      </c>
      <c r="AG19" s="17">
        <v>4.1092761555531043E-2</v>
      </c>
      <c r="AH19" s="17">
        <v>9.9575227286550216</v>
      </c>
      <c r="AI19" s="17">
        <v>3.8778446124009789</v>
      </c>
      <c r="AJ19" s="17"/>
      <c r="AK19" s="17"/>
      <c r="AL19" s="17"/>
      <c r="AM19" s="17"/>
      <c r="AN19" s="17"/>
      <c r="AO19" s="17"/>
      <c r="AP19" s="27"/>
    </row>
    <row r="20" spans="1:42">
      <c r="A20" s="27"/>
      <c r="B20" s="27"/>
      <c r="C20" s="27"/>
      <c r="D20" s="27"/>
      <c r="E20" s="27"/>
      <c r="F20" s="27"/>
      <c r="G20" s="27"/>
      <c r="H20" s="27"/>
      <c r="I20" s="27"/>
      <c r="J20" s="27"/>
      <c r="K20" s="27"/>
      <c r="L20" s="27"/>
      <c r="M20" s="27"/>
      <c r="N20" s="27"/>
      <c r="O20" s="27"/>
      <c r="P20" s="27"/>
      <c r="Q20" s="27"/>
      <c r="R20" s="17">
        <v>9.6974923231755383</v>
      </c>
      <c r="S20" s="17">
        <v>3.73645622048527</v>
      </c>
      <c r="T20" s="17"/>
      <c r="U20" s="17"/>
      <c r="V20" s="17"/>
      <c r="W20" s="17"/>
      <c r="X20" s="17"/>
      <c r="Y20" s="17"/>
      <c r="Z20" s="17">
        <v>9.7341329892515205</v>
      </c>
      <c r="AA20" s="17">
        <v>3.8905521011166275</v>
      </c>
      <c r="AB20" s="17"/>
      <c r="AC20" s="17"/>
      <c r="AD20" s="17"/>
      <c r="AE20" s="17"/>
      <c r="AF20" s="17">
        <v>1.4166666665429752</v>
      </c>
      <c r="AG20" s="17">
        <v>4.7827554452303127E-2</v>
      </c>
      <c r="AH20" s="17">
        <v>11.527829080296215</v>
      </c>
      <c r="AI20" s="17">
        <v>4.0878315094076099</v>
      </c>
      <c r="AJ20" s="17"/>
      <c r="AK20" s="17"/>
      <c r="AL20" s="17"/>
      <c r="AM20" s="17"/>
      <c r="AN20" s="17"/>
      <c r="AO20" s="17"/>
      <c r="AP20" s="27"/>
    </row>
    <row r="21" spans="1:42">
      <c r="A21" s="27"/>
      <c r="B21" s="27"/>
      <c r="C21" s="27"/>
      <c r="D21" s="27"/>
      <c r="E21" s="27"/>
      <c r="F21" s="27"/>
      <c r="G21" s="27"/>
      <c r="H21" s="27"/>
      <c r="I21" s="27"/>
      <c r="J21" s="27"/>
      <c r="K21" s="27"/>
      <c r="L21" s="27"/>
      <c r="M21" s="27"/>
      <c r="N21" s="27"/>
      <c r="O21" s="27"/>
      <c r="P21" s="27"/>
      <c r="Q21" s="27"/>
      <c r="R21" s="17">
        <v>9.8172888814588077</v>
      </c>
      <c r="S21" s="17">
        <v>3.9509588328190146</v>
      </c>
      <c r="T21" s="17"/>
      <c r="U21" s="17"/>
      <c r="V21" s="17"/>
      <c r="W21" s="17"/>
      <c r="X21" s="17"/>
      <c r="Y21" s="17"/>
      <c r="Z21" s="17">
        <v>9.8443795563071035</v>
      </c>
      <c r="AA21" s="17">
        <v>4.3014524261839684</v>
      </c>
      <c r="AB21" s="17"/>
      <c r="AC21" s="17"/>
      <c r="AD21" s="17"/>
      <c r="AE21" s="17"/>
      <c r="AF21" s="17">
        <v>1.5833333331950901</v>
      </c>
      <c r="AG21" s="17">
        <v>5.5404196461172457E-2</v>
      </c>
      <c r="AH21" s="17">
        <v>13.142040256934706</v>
      </c>
      <c r="AI21" s="17">
        <v>4.2595044983066614</v>
      </c>
      <c r="AJ21" s="17"/>
      <c r="AK21" s="17"/>
      <c r="AL21" s="17"/>
      <c r="AM21" s="17"/>
      <c r="AN21" s="17"/>
      <c r="AO21" s="17"/>
      <c r="AP21" s="27"/>
    </row>
    <row r="22" spans="1:42">
      <c r="A22" s="27"/>
      <c r="B22" s="27"/>
      <c r="C22" s="27"/>
      <c r="D22" s="27"/>
      <c r="E22" s="27"/>
      <c r="F22" s="27"/>
      <c r="G22" s="27"/>
      <c r="H22" s="27"/>
      <c r="I22" s="27"/>
      <c r="J22" s="27"/>
      <c r="K22" s="27"/>
      <c r="L22" s="27"/>
      <c r="M22" s="27"/>
      <c r="N22" s="27"/>
      <c r="O22" s="27"/>
      <c r="P22" s="27"/>
      <c r="Q22" s="27"/>
      <c r="R22" s="17">
        <v>9.8936794631299563</v>
      </c>
      <c r="S22" s="17">
        <v>4.1654614451527596</v>
      </c>
      <c r="T22" s="17"/>
      <c r="U22" s="17"/>
      <c r="V22" s="17"/>
      <c r="W22" s="17"/>
      <c r="X22" s="17"/>
      <c r="Y22" s="17"/>
      <c r="Z22" s="17">
        <v>9.9221950062201358</v>
      </c>
      <c r="AA22" s="17">
        <v>4.1180299079231917</v>
      </c>
      <c r="AB22" s="17"/>
      <c r="AC22" s="17"/>
      <c r="AD22" s="17"/>
      <c r="AE22" s="17"/>
      <c r="AF22" s="17">
        <v>1.7499999998472049</v>
      </c>
      <c r="AG22" s="17">
        <v>6.3822687582138826E-2</v>
      </c>
      <c r="AH22" s="17">
        <v>14.768722133885603</v>
      </c>
      <c r="AI22" s="17">
        <v>4.4838214059062302</v>
      </c>
      <c r="AJ22" s="17"/>
      <c r="AK22" s="17"/>
      <c r="AL22" s="17"/>
      <c r="AM22" s="17"/>
      <c r="AN22" s="17"/>
      <c r="AO22" s="17"/>
      <c r="AP22" s="27"/>
    </row>
    <row r="23" spans="1:42">
      <c r="A23" s="27"/>
      <c r="B23" s="27"/>
      <c r="C23" s="27"/>
      <c r="D23" s="27"/>
      <c r="E23" s="27"/>
      <c r="F23" s="27"/>
      <c r="G23" s="27"/>
      <c r="H23" s="27"/>
      <c r="I23" s="27"/>
      <c r="J23" s="27"/>
      <c r="K23" s="27"/>
      <c r="L23" s="27"/>
      <c r="M23" s="27"/>
      <c r="N23" s="27"/>
      <c r="O23" s="27"/>
      <c r="P23" s="27"/>
      <c r="Q23" s="27"/>
      <c r="R23" s="17">
        <v>9.9443849801900797</v>
      </c>
      <c r="S23" s="17">
        <v>4.3799640574865037</v>
      </c>
      <c r="T23" s="17"/>
      <c r="U23" s="17"/>
      <c r="V23" s="17"/>
      <c r="W23" s="17"/>
      <c r="X23" s="17"/>
      <c r="Y23" s="17"/>
      <c r="Z23" s="17">
        <v>9.9836717694415711</v>
      </c>
      <c r="AA23" s="17">
        <v>4.4222375270910561</v>
      </c>
      <c r="AB23" s="17"/>
      <c r="AC23" s="17"/>
      <c r="AD23" s="17"/>
      <c r="AE23" s="17"/>
      <c r="AF23" s="17">
        <v>1.9166666664993195</v>
      </c>
      <c r="AG23" s="17">
        <v>7.3083027815199764E-2</v>
      </c>
      <c r="AH23" s="17">
        <v>16.356732237909455</v>
      </c>
      <c r="AI23" s="17">
        <v>4.6824077536202964</v>
      </c>
      <c r="AJ23" s="17"/>
      <c r="AK23" s="17"/>
      <c r="AL23" s="17"/>
      <c r="AM23" s="17"/>
      <c r="AN23" s="17"/>
      <c r="AO23" s="17"/>
      <c r="AP23" s="27"/>
    </row>
    <row r="24" spans="1:42">
      <c r="A24" s="27"/>
      <c r="B24" s="27"/>
      <c r="C24" s="27"/>
      <c r="D24" s="27"/>
      <c r="E24" s="27"/>
      <c r="F24" s="27"/>
      <c r="G24" s="27"/>
      <c r="H24" s="27"/>
      <c r="I24" s="27"/>
      <c r="J24" s="27"/>
      <c r="K24" s="27"/>
      <c r="L24" s="27"/>
      <c r="M24" s="27"/>
      <c r="N24" s="27"/>
      <c r="O24" s="27"/>
      <c r="P24" s="27"/>
      <c r="Q24" s="27"/>
      <c r="R24" s="17">
        <v>9.9815251436666586</v>
      </c>
      <c r="S24" s="17">
        <v>4.5944666698202496</v>
      </c>
      <c r="T24" s="17"/>
      <c r="U24" s="17"/>
      <c r="V24" s="17"/>
      <c r="W24" s="17"/>
      <c r="X24" s="17"/>
      <c r="Y24" s="17"/>
      <c r="Z24" s="17">
        <v>10.041700130386744</v>
      </c>
      <c r="AA24" s="17">
        <v>4.8408818402700122</v>
      </c>
      <c r="AB24" s="17"/>
      <c r="AC24" s="17"/>
      <c r="AD24" s="17"/>
      <c r="AE24" s="17"/>
      <c r="AF24" s="17">
        <v>2.0833333331514341</v>
      </c>
      <c r="AG24" s="17">
        <v>8.3185217160357997E-2</v>
      </c>
      <c r="AH24" s="17">
        <v>17.844781892199535</v>
      </c>
      <c r="AI24" s="17">
        <v>4.8893591124005615</v>
      </c>
      <c r="AJ24" s="17"/>
      <c r="AK24" s="17"/>
      <c r="AL24" s="17"/>
      <c r="AM24" s="17"/>
      <c r="AN24" s="17"/>
      <c r="AO24" s="17"/>
      <c r="AP24" s="27"/>
    </row>
    <row r="25" spans="1:42">
      <c r="A25" s="27"/>
      <c r="B25" s="27"/>
      <c r="C25" s="27"/>
      <c r="D25" s="27"/>
      <c r="E25" s="27"/>
      <c r="F25" s="27"/>
      <c r="G25" s="27"/>
      <c r="H25" s="27"/>
      <c r="I25" s="27"/>
      <c r="J25" s="27"/>
      <c r="K25" s="27"/>
      <c r="L25" s="27"/>
      <c r="M25" s="27"/>
      <c r="N25" s="27"/>
      <c r="O25" s="27"/>
      <c r="P25" s="27"/>
      <c r="Q25" s="27"/>
      <c r="R25" s="17">
        <v>10.014129265618976</v>
      </c>
      <c r="S25" s="17">
        <v>4.8089692821539938</v>
      </c>
      <c r="T25" s="17"/>
      <c r="U25" s="17"/>
      <c r="V25" s="17"/>
      <c r="W25" s="17"/>
      <c r="X25" s="17"/>
      <c r="Y25" s="17"/>
      <c r="Z25" s="17">
        <v>10.108475277957041</v>
      </c>
      <c r="AA25" s="17">
        <v>5.18642603373155</v>
      </c>
      <c r="AB25" s="17"/>
      <c r="AC25" s="17"/>
      <c r="AD25" s="17"/>
      <c r="AE25" s="17"/>
      <c r="AF25" s="17">
        <v>2.2499999998035491</v>
      </c>
      <c r="AG25" s="17">
        <v>9.4129255617615981E-2</v>
      </c>
      <c r="AH25" s="17">
        <v>19.181782512168866</v>
      </c>
      <c r="AI25" s="17">
        <v>5.0960081052444872</v>
      </c>
      <c r="AJ25" s="17"/>
      <c r="AK25" s="17"/>
      <c r="AL25" s="17"/>
      <c r="AM25" s="17"/>
      <c r="AN25" s="17"/>
      <c r="AO25" s="17"/>
      <c r="AP25" s="27"/>
    </row>
    <row r="26" spans="1:42">
      <c r="A26" s="27"/>
      <c r="B26" s="27"/>
      <c r="C26" s="27"/>
      <c r="D26" s="27"/>
      <c r="E26" s="27"/>
      <c r="F26" s="27"/>
      <c r="G26" s="27"/>
      <c r="H26" s="27"/>
      <c r="I26" s="27"/>
      <c r="J26" s="27"/>
      <c r="K26" s="27"/>
      <c r="L26" s="27"/>
      <c r="M26" s="27"/>
      <c r="N26" s="27"/>
      <c r="O26" s="27"/>
      <c r="P26" s="27"/>
      <c r="Q26" s="27"/>
      <c r="R26" s="17">
        <v>10.050161390972789</v>
      </c>
      <c r="S26" s="17">
        <v>5.0234718944877388</v>
      </c>
      <c r="T26" s="17"/>
      <c r="U26" s="17"/>
      <c r="V26" s="17"/>
      <c r="W26" s="17"/>
      <c r="X26" s="17"/>
      <c r="Y26" s="17"/>
      <c r="Z26" s="17">
        <v>10.197893586882856</v>
      </c>
      <c r="AA26" s="17">
        <v>5.1923094727657739</v>
      </c>
      <c r="AB26" s="17"/>
      <c r="AC26" s="17"/>
      <c r="AD26" s="17"/>
      <c r="AE26" s="17"/>
      <c r="AF26" s="17">
        <v>2.4166666664556637</v>
      </c>
      <c r="AG26" s="17">
        <v>0.10591514302217735</v>
      </c>
      <c r="AH26" s="17">
        <v>20.351667587237898</v>
      </c>
      <c r="AI26" s="17">
        <v>5.295324570912868</v>
      </c>
      <c r="AJ26" s="17"/>
      <c r="AK26" s="17"/>
      <c r="AL26" s="17"/>
      <c r="AM26" s="17"/>
      <c r="AN26" s="17"/>
      <c r="AO26" s="17"/>
      <c r="AP26" s="27"/>
    </row>
    <row r="27" spans="1:42">
      <c r="A27" s="27"/>
      <c r="B27" s="27"/>
      <c r="C27" s="27"/>
      <c r="D27" s="27"/>
      <c r="E27" s="27"/>
      <c r="F27" s="27"/>
      <c r="G27" s="27"/>
      <c r="H27" s="27"/>
      <c r="I27" s="27"/>
      <c r="J27" s="27"/>
      <c r="K27" s="27"/>
      <c r="L27" s="27"/>
      <c r="M27" s="27"/>
      <c r="N27" s="27"/>
      <c r="O27" s="27"/>
      <c r="P27" s="27"/>
      <c r="Q27" s="27"/>
      <c r="R27" s="17">
        <v>10.09834472934017</v>
      </c>
      <c r="S27" s="17">
        <v>5.2379745068214838</v>
      </c>
      <c r="T27" s="17"/>
      <c r="U27" s="17"/>
      <c r="V27" s="17"/>
      <c r="W27" s="17"/>
      <c r="X27" s="17"/>
      <c r="Y27" s="17"/>
      <c r="Z27" s="17">
        <v>10.328164369275328</v>
      </c>
      <c r="AA27" s="17">
        <v>5.3796424258686599</v>
      </c>
      <c r="AB27" s="17"/>
      <c r="AC27" s="17"/>
      <c r="AD27" s="17"/>
      <c r="AE27" s="17"/>
      <c r="AF27" s="17">
        <v>2.5833333331077784</v>
      </c>
      <c r="AG27" s="17">
        <v>0.11800336451524747</v>
      </c>
      <c r="AH27" s="17">
        <v>21.384160743036773</v>
      </c>
      <c r="AI27" s="17">
        <v>5.5011578789688649</v>
      </c>
      <c r="AJ27" s="17"/>
      <c r="AK27" s="17"/>
      <c r="AL27" s="17"/>
      <c r="AM27" s="17"/>
      <c r="AN27" s="17"/>
      <c r="AO27" s="17"/>
      <c r="AP27" s="27"/>
    </row>
    <row r="28" spans="1:42">
      <c r="A28" s="27"/>
      <c r="B28" s="27"/>
      <c r="C28" s="27"/>
      <c r="D28" s="27"/>
      <c r="E28" s="27"/>
      <c r="F28" s="27"/>
      <c r="G28" s="27"/>
      <c r="H28" s="27"/>
      <c r="I28" s="27"/>
      <c r="J28" s="27"/>
      <c r="K28" s="27"/>
      <c r="L28" s="27"/>
      <c r="M28" s="27"/>
      <c r="N28" s="27"/>
      <c r="O28" s="27"/>
      <c r="P28" s="27"/>
      <c r="Q28" s="27"/>
      <c r="R28" s="17">
        <v>10.170080677198712</v>
      </c>
      <c r="S28" s="17">
        <v>5.4524771191552279</v>
      </c>
      <c r="T28" s="17"/>
      <c r="U28" s="17"/>
      <c r="V28" s="17"/>
      <c r="W28" s="17"/>
      <c r="X28" s="17"/>
      <c r="Y28" s="17"/>
      <c r="Z28" s="17">
        <v>10.524891586101148</v>
      </c>
      <c r="AA28" s="17">
        <v>5.5674684633873399</v>
      </c>
      <c r="AB28" s="17"/>
      <c r="AC28" s="17"/>
      <c r="AD28" s="17"/>
      <c r="AE28" s="17"/>
      <c r="AF28" s="17">
        <v>2.7499999997598934</v>
      </c>
      <c r="AG28" s="17">
        <v>0.1282793109455409</v>
      </c>
      <c r="AH28" s="17">
        <v>22.342685637704562</v>
      </c>
      <c r="AI28" s="17">
        <v>5.6875888803489509</v>
      </c>
      <c r="AJ28" s="17"/>
      <c r="AK28" s="17"/>
      <c r="AL28" s="17"/>
      <c r="AM28" s="17"/>
      <c r="AN28" s="17"/>
      <c r="AO28" s="17"/>
      <c r="AP28" s="27"/>
    </row>
    <row r="29" spans="1:42">
      <c r="A29" s="27"/>
      <c r="B29" s="27"/>
      <c r="C29" s="27"/>
      <c r="D29" s="27"/>
      <c r="E29" s="27"/>
      <c r="F29" s="27"/>
      <c r="G29" s="27"/>
      <c r="H29" s="27"/>
      <c r="I29" s="27"/>
      <c r="J29" s="27"/>
      <c r="K29" s="27"/>
      <c r="L29" s="27"/>
      <c r="M29" s="27"/>
      <c r="N29" s="27"/>
      <c r="O29" s="27"/>
      <c r="P29" s="27"/>
      <c r="Q29" s="27"/>
      <c r="R29" s="17">
        <v>10.281694422883447</v>
      </c>
      <c r="S29" s="17">
        <v>5.6669797314889729</v>
      </c>
      <c r="T29" s="17"/>
      <c r="U29" s="17"/>
      <c r="V29" s="17"/>
      <c r="W29" s="17"/>
      <c r="X29" s="17"/>
      <c r="Y29" s="17"/>
      <c r="Z29" s="17">
        <v>10.824641671206336</v>
      </c>
      <c r="AA29" s="17">
        <v>5.7681651949696242</v>
      </c>
      <c r="AB29" s="17"/>
      <c r="AC29" s="17"/>
      <c r="AD29" s="17"/>
      <c r="AE29" s="17"/>
      <c r="AF29" s="17">
        <v>2.916666666412008</v>
      </c>
      <c r="AG29" s="17">
        <v>0.13622497476391454</v>
      </c>
      <c r="AH29" s="17">
        <v>23.297000558522996</v>
      </c>
      <c r="AI29" s="17">
        <v>5.8781362815611065</v>
      </c>
      <c r="AJ29" s="17"/>
      <c r="AK29" s="17"/>
      <c r="AL29" s="17"/>
      <c r="AM29" s="17"/>
      <c r="AN29" s="17"/>
      <c r="AO29" s="17"/>
      <c r="AP29" s="27"/>
    </row>
    <row r="30" spans="1:42">
      <c r="A30" s="27"/>
      <c r="B30" s="27"/>
      <c r="C30" s="27"/>
      <c r="D30" s="27"/>
      <c r="E30" s="27"/>
      <c r="F30" s="27"/>
      <c r="G30" s="27"/>
      <c r="H30" s="27"/>
      <c r="I30" s="27"/>
      <c r="J30" s="27"/>
      <c r="K30" s="27"/>
      <c r="L30" s="27"/>
      <c r="M30" s="27"/>
      <c r="N30" s="27"/>
      <c r="O30" s="27"/>
      <c r="P30" s="27"/>
      <c r="Q30" s="27"/>
      <c r="R30" s="17">
        <v>10.45702534756856</v>
      </c>
      <c r="S30" s="17">
        <v>5.881482343822718</v>
      </c>
      <c r="T30" s="17"/>
      <c r="U30" s="17"/>
      <c r="V30" s="17"/>
      <c r="W30" s="17"/>
      <c r="X30" s="17"/>
      <c r="Y30" s="17"/>
      <c r="Z30" s="17">
        <v>11.278386386402417</v>
      </c>
      <c r="AA30" s="17">
        <v>6.0832747816853221</v>
      </c>
      <c r="AB30" s="17"/>
      <c r="AC30" s="17"/>
      <c r="AD30" s="17"/>
      <c r="AE30" s="17"/>
      <c r="AF30" s="17">
        <v>3.0833333330641226</v>
      </c>
      <c r="AG30" s="17">
        <v>0.14184035597035616</v>
      </c>
      <c r="AH30" s="17">
        <v>24.292349834286142</v>
      </c>
      <c r="AI30" s="17">
        <v>6.0934056529216472</v>
      </c>
      <c r="AJ30" s="17"/>
      <c r="AK30" s="17"/>
      <c r="AL30" s="17"/>
      <c r="AM30" s="17"/>
      <c r="AN30" s="17"/>
      <c r="AO30" s="17"/>
      <c r="AP30" s="27"/>
    </row>
    <row r="31" spans="1:42">
      <c r="A31" s="27"/>
      <c r="B31" s="27"/>
      <c r="C31" s="27"/>
      <c r="D31" s="27"/>
      <c r="E31" s="27"/>
      <c r="F31" s="27"/>
      <c r="G31" s="27"/>
      <c r="H31" s="27"/>
      <c r="I31" s="27"/>
      <c r="J31" s="27"/>
      <c r="K31" s="27"/>
      <c r="L31" s="27"/>
      <c r="M31" s="27"/>
      <c r="N31" s="27"/>
      <c r="O31" s="27"/>
      <c r="P31" s="27"/>
      <c r="Q31" s="27"/>
      <c r="R31" s="17">
        <v>10.729793940845411</v>
      </c>
      <c r="S31" s="17">
        <v>6.0959849561564621</v>
      </c>
      <c r="T31" s="17"/>
      <c r="U31" s="17"/>
      <c r="V31" s="17"/>
      <c r="W31" s="17"/>
      <c r="X31" s="17"/>
      <c r="Y31" s="17"/>
      <c r="Z31" s="17">
        <v>11.952848396322224</v>
      </c>
      <c r="AA31" s="17">
        <v>6.2216419441439212</v>
      </c>
      <c r="AB31" s="17"/>
      <c r="AC31" s="17"/>
      <c r="AD31" s="17"/>
      <c r="AE31" s="17"/>
      <c r="AF31" s="17">
        <v>3.2499999997162377</v>
      </c>
      <c r="AG31" s="17">
        <v>0.1451254545648753</v>
      </c>
      <c r="AH31" s="17">
        <v>25.326453409797978</v>
      </c>
      <c r="AI31" s="17">
        <v>6.3068681297414004</v>
      </c>
      <c r="AJ31" s="17"/>
      <c r="AK31" s="17"/>
      <c r="AL31" s="17"/>
      <c r="AM31" s="17"/>
      <c r="AN31" s="17"/>
      <c r="AO31" s="17"/>
      <c r="AP31" s="27"/>
    </row>
    <row r="32" spans="1:42">
      <c r="A32" s="27"/>
      <c r="B32" s="27"/>
      <c r="C32" s="27"/>
      <c r="D32" s="27"/>
      <c r="E32" s="27"/>
      <c r="F32" s="27"/>
      <c r="G32" s="27"/>
      <c r="H32" s="27"/>
      <c r="I32" s="27"/>
      <c r="J32" s="27"/>
      <c r="K32" s="27"/>
      <c r="L32" s="27"/>
      <c r="M32" s="27"/>
      <c r="N32" s="27"/>
      <c r="O32" s="27"/>
      <c r="P32" s="27"/>
      <c r="Q32" s="27"/>
      <c r="R32" s="17">
        <v>11.143875245761592</v>
      </c>
      <c r="S32" s="17">
        <v>6.3104875684902071</v>
      </c>
      <c r="T32" s="17"/>
      <c r="U32" s="17"/>
      <c r="V32" s="17"/>
      <c r="W32" s="17"/>
      <c r="X32" s="17"/>
      <c r="Y32" s="17"/>
      <c r="Z32" s="17">
        <v>12.925509912020061</v>
      </c>
      <c r="AA32" s="17">
        <v>6.4441657189466062</v>
      </c>
      <c r="AB32" s="17"/>
      <c r="AC32" s="17"/>
      <c r="AD32" s="17"/>
      <c r="AE32" s="17"/>
      <c r="AF32" s="17">
        <v>3.4166666663683523</v>
      </c>
      <c r="AG32" s="17">
        <v>0.14608027054746395</v>
      </c>
      <c r="AH32" s="17">
        <v>26.347641290340107</v>
      </c>
      <c r="AI32" s="17">
        <v>6.4901526380963626</v>
      </c>
      <c r="AJ32" s="17"/>
      <c r="AK32" s="17"/>
      <c r="AL32" s="17"/>
      <c r="AM32" s="17"/>
      <c r="AN32" s="17"/>
      <c r="AO32" s="17"/>
      <c r="AP32" s="27"/>
    </row>
    <row r="33" spans="1:42">
      <c r="A33" s="27"/>
      <c r="B33" s="27"/>
      <c r="C33" s="27"/>
      <c r="D33" s="27"/>
      <c r="E33" s="27"/>
      <c r="F33" s="27"/>
      <c r="G33" s="27"/>
      <c r="H33" s="27"/>
      <c r="I33" s="27"/>
      <c r="J33" s="27"/>
      <c r="K33" s="27"/>
      <c r="L33" s="27"/>
      <c r="M33" s="27"/>
      <c r="N33" s="27"/>
      <c r="O33" s="27"/>
      <c r="P33" s="27"/>
      <c r="Q33" s="27"/>
      <c r="R33" s="17">
        <v>11.747540258511435</v>
      </c>
      <c r="S33" s="17">
        <v>6.5249901808239521</v>
      </c>
      <c r="T33" s="17"/>
      <c r="U33" s="17"/>
      <c r="V33" s="17"/>
      <c r="W33" s="17"/>
      <c r="X33" s="17"/>
      <c r="Y33" s="17"/>
      <c r="Z33" s="17">
        <v>14.266958106600214</v>
      </c>
      <c r="AA33" s="17">
        <v>6.6170152428187432</v>
      </c>
      <c r="AB33" s="17"/>
      <c r="AC33" s="17"/>
      <c r="AD33" s="17"/>
      <c r="AE33" s="17"/>
      <c r="AF33" s="17">
        <v>3.5833333330204669</v>
      </c>
      <c r="AG33" s="17">
        <v>0.14470480391813131</v>
      </c>
      <c r="AH33" s="17">
        <v>27.280329070345033</v>
      </c>
      <c r="AI33" s="17">
        <v>6.6984786649681629</v>
      </c>
      <c r="AJ33" s="17"/>
      <c r="AK33" s="17"/>
      <c r="AL33" s="17"/>
      <c r="AM33" s="17"/>
      <c r="AN33" s="17"/>
      <c r="AO33" s="17"/>
      <c r="AP33" s="27"/>
    </row>
    <row r="34" spans="1:42">
      <c r="A34" s="27"/>
      <c r="B34" s="27"/>
      <c r="C34" s="27"/>
      <c r="D34" s="27"/>
      <c r="E34" s="27"/>
      <c r="F34" s="27"/>
      <c r="G34" s="27"/>
      <c r="H34" s="27"/>
      <c r="I34" s="27"/>
      <c r="J34" s="27"/>
      <c r="K34" s="27"/>
      <c r="L34" s="27"/>
      <c r="M34" s="27"/>
      <c r="N34" s="27"/>
      <c r="O34" s="27"/>
      <c r="P34" s="27"/>
      <c r="Q34" s="27"/>
      <c r="R34" s="17">
        <v>12.576544815965462</v>
      </c>
      <c r="S34" s="17">
        <v>6.7394927931576971</v>
      </c>
      <c r="T34" s="17"/>
      <c r="U34" s="17"/>
      <c r="V34" s="17"/>
      <c r="W34" s="17"/>
      <c r="X34" s="17"/>
      <c r="Y34" s="17"/>
      <c r="Z34" s="17">
        <v>16.006536425265949</v>
      </c>
      <c r="AA34" s="17">
        <v>6.8276927663199602</v>
      </c>
      <c r="AB34" s="17"/>
      <c r="AC34" s="17"/>
      <c r="AD34" s="17"/>
      <c r="AE34" s="17"/>
      <c r="AF34" s="17">
        <v>3.7499999996725819</v>
      </c>
      <c r="AG34" s="17">
        <v>0.14099905467686816</v>
      </c>
      <c r="AH34" s="17">
        <v>28.062663164746482</v>
      </c>
      <c r="AI34" s="17">
        <v>6.8921215216629204</v>
      </c>
      <c r="AJ34" s="17"/>
      <c r="AK34" s="17"/>
      <c r="AL34" s="17"/>
      <c r="AM34" s="17"/>
      <c r="AN34" s="17"/>
      <c r="AO34" s="17"/>
      <c r="AP34" s="27"/>
    </row>
    <row r="35" spans="1:42">
      <c r="A35" s="27"/>
      <c r="B35" s="27"/>
      <c r="C35" s="27"/>
      <c r="D35" s="27"/>
      <c r="E35" s="27"/>
      <c r="F35" s="27"/>
      <c r="G35" s="27"/>
      <c r="H35" s="27"/>
      <c r="I35" s="27"/>
      <c r="J35" s="27"/>
      <c r="K35" s="27"/>
      <c r="L35" s="27"/>
      <c r="M35" s="27"/>
      <c r="N35" s="27"/>
      <c r="O35" s="27"/>
      <c r="P35" s="27"/>
      <c r="Q35" s="27"/>
      <c r="R35" s="17">
        <v>13.625772965315264</v>
      </c>
      <c r="S35" s="17">
        <v>6.9539954054914412</v>
      </c>
      <c r="T35" s="17"/>
      <c r="U35" s="17"/>
      <c r="V35" s="17"/>
      <c r="W35" s="17"/>
      <c r="X35" s="17"/>
      <c r="Y35" s="17"/>
      <c r="Z35" s="17">
        <v>18.090350537386257</v>
      </c>
      <c r="AA35" s="17">
        <v>6.9951606211625039</v>
      </c>
      <c r="AB35" s="17"/>
      <c r="AC35" s="17"/>
      <c r="AD35" s="17"/>
      <c r="AE35" s="17"/>
      <c r="AF35" s="17">
        <v>3.9166666663246965</v>
      </c>
      <c r="AG35" s="17">
        <v>0.13496302282368255</v>
      </c>
      <c r="AH35" s="17">
        <v>28.669746332161594</v>
      </c>
      <c r="AI35" s="17">
        <v>7.0865812115333977</v>
      </c>
      <c r="AJ35" s="17"/>
      <c r="AK35" s="17"/>
      <c r="AL35" s="17"/>
      <c r="AM35" s="17"/>
      <c r="AN35" s="17"/>
      <c r="AO35" s="17"/>
      <c r="AP35" s="27"/>
    </row>
    <row r="36" spans="1:42">
      <c r="A36" s="27"/>
      <c r="B36" s="27"/>
      <c r="C36" s="27"/>
      <c r="D36" s="27"/>
      <c r="E36" s="27"/>
      <c r="F36" s="27"/>
      <c r="G36" s="27"/>
      <c r="H36" s="27"/>
      <c r="I36" s="27"/>
      <c r="J36" s="27"/>
      <c r="K36" s="27"/>
      <c r="L36" s="27"/>
      <c r="M36" s="27"/>
      <c r="N36" s="27"/>
      <c r="O36" s="27"/>
      <c r="P36" s="27"/>
      <c r="Q36" s="27"/>
      <c r="R36" s="17">
        <v>14.824491734907497</v>
      </c>
      <c r="S36" s="17">
        <v>7.1684980178251863</v>
      </c>
      <c r="T36" s="17"/>
      <c r="U36" s="17"/>
      <c r="V36" s="17"/>
      <c r="W36" s="17"/>
      <c r="X36" s="17"/>
      <c r="Y36" s="17"/>
      <c r="Z36" s="17">
        <v>20.361693068116438</v>
      </c>
      <c r="AA36" s="17">
        <v>7.2242915053851906</v>
      </c>
      <c r="AB36" s="17"/>
      <c r="AC36" s="17"/>
      <c r="AD36" s="17"/>
      <c r="AE36" s="17"/>
      <c r="AF36" s="17">
        <v>4.0833333329768111</v>
      </c>
      <c r="AG36" s="17">
        <v>0.12659670835856526</v>
      </c>
      <c r="AH36" s="17">
        <v>29.111924824246671</v>
      </c>
      <c r="AI36" s="17">
        <v>7.3027161829434339</v>
      </c>
      <c r="AJ36" s="17"/>
      <c r="AK36" s="17"/>
      <c r="AL36" s="17"/>
      <c r="AM36" s="17"/>
      <c r="AN36" s="17"/>
      <c r="AO36" s="17"/>
      <c r="AP36" s="27"/>
    </row>
    <row r="37" spans="1:42">
      <c r="A37" s="27"/>
      <c r="B37" s="27"/>
      <c r="C37" s="27"/>
      <c r="D37" s="27"/>
      <c r="E37" s="27"/>
      <c r="F37" s="27"/>
      <c r="G37" s="27"/>
      <c r="H37" s="27"/>
      <c r="I37" s="27"/>
      <c r="J37" s="27"/>
      <c r="K37" s="27"/>
      <c r="L37" s="27"/>
      <c r="M37" s="27"/>
      <c r="N37" s="27"/>
      <c r="O37" s="27"/>
      <c r="P37" s="27"/>
      <c r="Q37" s="27"/>
      <c r="R37" s="17">
        <v>16.043755009013694</v>
      </c>
      <c r="S37" s="17">
        <v>7.3830006301589313</v>
      </c>
      <c r="T37" s="17"/>
      <c r="U37" s="17"/>
      <c r="V37" s="17"/>
      <c r="W37" s="17"/>
      <c r="X37" s="17"/>
      <c r="Y37" s="17"/>
      <c r="Z37" s="17">
        <v>22.596293150854763</v>
      </c>
      <c r="AA37" s="17">
        <v>7.5369926953129474</v>
      </c>
      <c r="AB37" s="17"/>
      <c r="AC37" s="17"/>
      <c r="AD37" s="17"/>
      <c r="AE37" s="17"/>
      <c r="AF37" s="17">
        <v>4.2499999996289262</v>
      </c>
      <c r="AG37" s="17">
        <v>0.11590011128152719</v>
      </c>
      <c r="AH37" s="17">
        <v>29.419084104301874</v>
      </c>
      <c r="AI37" s="17">
        <v>7.5183351617865268</v>
      </c>
      <c r="AJ37" s="17"/>
      <c r="AK37" s="17"/>
      <c r="AL37" s="17"/>
      <c r="AM37" s="17"/>
      <c r="AN37" s="17"/>
      <c r="AO37" s="17"/>
      <c r="AP37" s="27"/>
    </row>
    <row r="38" spans="1:42">
      <c r="A38" s="27"/>
      <c r="B38" s="27"/>
      <c r="C38" s="27"/>
      <c r="D38" s="27"/>
      <c r="E38" s="27"/>
      <c r="F38" s="27"/>
      <c r="G38" s="27"/>
      <c r="H38" s="27"/>
      <c r="I38" s="27"/>
      <c r="J38" s="27"/>
      <c r="K38" s="27"/>
      <c r="L38" s="27"/>
      <c r="M38" s="27"/>
      <c r="N38" s="27"/>
      <c r="O38" s="27"/>
      <c r="P38" s="27"/>
      <c r="Q38" s="27"/>
      <c r="R38" s="17">
        <v>17.145786933542695</v>
      </c>
      <c r="S38" s="17">
        <v>7.5975032424926754</v>
      </c>
      <c r="T38" s="17"/>
      <c r="U38" s="17"/>
      <c r="V38" s="17"/>
      <c r="W38" s="17"/>
      <c r="X38" s="17"/>
      <c r="Y38" s="17"/>
      <c r="Z38" s="17">
        <v>24.583749643352348</v>
      </c>
      <c r="AA38" s="17">
        <v>7.6312835094146427</v>
      </c>
      <c r="AB38" s="17"/>
      <c r="AC38" s="17"/>
      <c r="AD38" s="17"/>
      <c r="AE38" s="17"/>
      <c r="AF38" s="17">
        <v>4.4166666662810403</v>
      </c>
      <c r="AG38" s="17">
        <v>0.10287323159255969</v>
      </c>
      <c r="AH38" s="17">
        <v>29.625479625246953</v>
      </c>
      <c r="AI38" s="17">
        <v>7.7038716139905157</v>
      </c>
      <c r="AJ38" s="17"/>
      <c r="AK38" s="17"/>
      <c r="AL38" s="17"/>
      <c r="AM38" s="17"/>
      <c r="AN38" s="17"/>
      <c r="AO38" s="17"/>
      <c r="AP38" s="27"/>
    </row>
    <row r="39" spans="1:42">
      <c r="A39" s="27"/>
      <c r="B39" s="27"/>
      <c r="C39" s="27"/>
      <c r="D39" s="27"/>
      <c r="E39" s="27"/>
      <c r="F39" s="27"/>
      <c r="G39" s="27"/>
      <c r="H39" s="27"/>
      <c r="I39" s="27"/>
      <c r="J39" s="27"/>
      <c r="K39" s="27"/>
      <c r="L39" s="27"/>
      <c r="M39" s="27"/>
      <c r="N39" s="27"/>
      <c r="O39" s="27"/>
      <c r="P39" s="27"/>
      <c r="Q39" s="27"/>
      <c r="R39" s="17">
        <v>18.040535067848396</v>
      </c>
      <c r="S39" s="17">
        <v>7.8120058548264204</v>
      </c>
      <c r="T39" s="17"/>
      <c r="U39" s="17"/>
      <c r="V39" s="17"/>
      <c r="W39" s="17"/>
      <c r="X39" s="17"/>
      <c r="Y39" s="17"/>
      <c r="Z39" s="17">
        <v>26.198946092335973</v>
      </c>
      <c r="AA39" s="17">
        <v>7.78317475317046</v>
      </c>
      <c r="AB39" s="17"/>
      <c r="AC39" s="17"/>
      <c r="AD39" s="17"/>
      <c r="AE39" s="17"/>
      <c r="AF39" s="17">
        <v>4.5833333329331554</v>
      </c>
      <c r="AG39" s="17">
        <v>8.7545481368905539E-2</v>
      </c>
      <c r="AH39" s="17">
        <v>29.761181406502146</v>
      </c>
      <c r="AI39" s="17">
        <v>7.9083233626820144</v>
      </c>
      <c r="AJ39" s="17"/>
      <c r="AK39" s="17"/>
      <c r="AL39" s="17"/>
      <c r="AM39" s="17"/>
      <c r="AN39" s="17"/>
      <c r="AO39" s="17"/>
      <c r="AP39" s="27"/>
    </row>
    <row r="40" spans="1:42">
      <c r="A40" s="27"/>
      <c r="B40" s="27"/>
      <c r="C40" s="27"/>
      <c r="D40" s="27"/>
      <c r="E40" s="27"/>
      <c r="F40" s="27"/>
      <c r="G40" s="27"/>
      <c r="H40" s="27"/>
      <c r="I40" s="27"/>
      <c r="J40" s="27"/>
      <c r="K40" s="27"/>
      <c r="L40" s="27"/>
      <c r="M40" s="27"/>
      <c r="N40" s="27"/>
      <c r="O40" s="27"/>
      <c r="P40" s="27"/>
      <c r="Q40" s="27"/>
      <c r="R40" s="17">
        <v>18.705899156339001</v>
      </c>
      <c r="S40" s="17">
        <v>8.0265084671601663</v>
      </c>
      <c r="T40" s="17"/>
      <c r="U40" s="17"/>
      <c r="V40" s="17"/>
      <c r="W40" s="17"/>
      <c r="X40" s="17"/>
      <c r="Y40" s="17"/>
      <c r="Z40" s="17">
        <v>27.418202777334955</v>
      </c>
      <c r="AA40" s="17">
        <v>7.9825341033004227</v>
      </c>
      <c r="AB40" s="17"/>
      <c r="AC40" s="17"/>
      <c r="AD40" s="17"/>
      <c r="AE40" s="17"/>
      <c r="AF40" s="17">
        <v>4.7499999995852704</v>
      </c>
      <c r="AG40" s="17">
        <v>7.2299869115006049E-2</v>
      </c>
      <c r="AH40" s="17">
        <v>29.849311058933381</v>
      </c>
      <c r="AI40" s="17">
        <v>8.1149909251295025</v>
      </c>
      <c r="AJ40" s="17"/>
      <c r="AK40" s="17"/>
      <c r="AL40" s="17"/>
      <c r="AM40" s="17"/>
      <c r="AN40" s="17"/>
      <c r="AO40" s="17"/>
      <c r="AP40" s="27"/>
    </row>
    <row r="41" spans="1:42">
      <c r="A41" s="27"/>
      <c r="B41" s="27"/>
      <c r="C41" s="27"/>
      <c r="D41" s="27"/>
      <c r="E41" s="27"/>
      <c r="F41" s="27"/>
      <c r="G41" s="27"/>
      <c r="H41" s="27"/>
      <c r="I41" s="27"/>
      <c r="J41" s="27"/>
      <c r="K41" s="27"/>
      <c r="L41" s="27"/>
      <c r="M41" s="27"/>
      <c r="N41" s="27"/>
      <c r="O41" s="27"/>
      <c r="P41" s="27"/>
      <c r="Q41" s="27"/>
      <c r="R41" s="17">
        <v>19.169210402469616</v>
      </c>
      <c r="S41" s="17">
        <v>8.2410110794939104</v>
      </c>
      <c r="T41" s="17"/>
      <c r="U41" s="17"/>
      <c r="V41" s="17"/>
      <c r="W41" s="17"/>
      <c r="X41" s="17"/>
      <c r="Y41" s="17"/>
      <c r="Z41" s="17">
        <v>28.288458079623524</v>
      </c>
      <c r="AA41" s="17">
        <v>8.2847767613641921</v>
      </c>
      <c r="AB41" s="17"/>
      <c r="AC41" s="17"/>
      <c r="AD41" s="17"/>
      <c r="AE41" s="17"/>
      <c r="AF41" s="17">
        <v>4.9166666662373846</v>
      </c>
      <c r="AG41" s="17">
        <v>6.1237749785455084E-2</v>
      </c>
      <c r="AH41" s="17">
        <v>29.90638507908443</v>
      </c>
      <c r="AI41" s="17">
        <v>8.2506355920545751</v>
      </c>
      <c r="AJ41" s="17"/>
      <c r="AK41" s="17"/>
      <c r="AL41" s="17"/>
      <c r="AM41" s="17"/>
      <c r="AN41" s="17"/>
      <c r="AO41" s="17"/>
      <c r="AP41" s="27"/>
    </row>
    <row r="42" spans="1:42">
      <c r="A42" s="27"/>
      <c r="B42" s="27"/>
      <c r="C42" s="27"/>
      <c r="D42" s="27"/>
      <c r="E42" s="27"/>
      <c r="F42" s="27"/>
      <c r="G42" s="27"/>
      <c r="H42" s="27"/>
      <c r="I42" s="27"/>
      <c r="J42" s="27"/>
      <c r="K42" s="27"/>
      <c r="L42" s="27"/>
      <c r="M42" s="27"/>
      <c r="N42" s="27"/>
      <c r="O42" s="27"/>
      <c r="P42" s="27"/>
      <c r="Q42" s="27"/>
      <c r="R42" s="17">
        <v>19.477512511366513</v>
      </c>
      <c r="S42" s="17">
        <v>8.4555136918276546</v>
      </c>
      <c r="T42" s="17"/>
      <c r="U42" s="17"/>
      <c r="V42" s="17"/>
      <c r="W42" s="17"/>
      <c r="X42" s="17"/>
      <c r="Y42" s="17"/>
      <c r="Z42" s="17">
        <v>28.885414720571134</v>
      </c>
      <c r="AA42" s="17">
        <v>8.4060754944570366</v>
      </c>
      <c r="AB42" s="17"/>
      <c r="AC42" s="17"/>
      <c r="AD42" s="17"/>
      <c r="AE42" s="17"/>
      <c r="AF42" s="17">
        <v>5.0833333328894996</v>
      </c>
      <c r="AG42" s="17">
        <v>5.476429407357998E-2</v>
      </c>
      <c r="AH42" s="17">
        <v>29.94375132402638</v>
      </c>
      <c r="AI42" s="17">
        <v>8.5722924061678345</v>
      </c>
      <c r="AJ42" s="17"/>
      <c r="AK42" s="17"/>
      <c r="AL42" s="17"/>
      <c r="AM42" s="17"/>
      <c r="AN42" s="17"/>
      <c r="AO42" s="17"/>
      <c r="AP42" s="27"/>
    </row>
    <row r="43" spans="1:42" ht="15">
      <c r="A43" s="27"/>
      <c r="B43" s="179"/>
      <c r="C43" s="27"/>
      <c r="D43" s="27"/>
      <c r="E43" s="27"/>
      <c r="F43" s="27"/>
      <c r="G43" s="27"/>
      <c r="H43" s="27"/>
      <c r="I43" s="27"/>
      <c r="J43" s="27"/>
      <c r="K43" s="27"/>
      <c r="L43" s="27"/>
      <c r="M43" s="27"/>
      <c r="N43" s="27"/>
      <c r="O43" s="27"/>
      <c r="P43" s="27"/>
      <c r="Q43" s="27"/>
      <c r="R43" s="17">
        <v>19.67695818602806</v>
      </c>
      <c r="S43" s="17">
        <v>8.6700163041614005</v>
      </c>
      <c r="T43" s="17"/>
      <c r="U43" s="17"/>
      <c r="V43" s="17"/>
      <c r="W43" s="17"/>
      <c r="X43" s="17"/>
      <c r="Y43" s="17"/>
      <c r="Z43" s="17">
        <v>29.284366952197161</v>
      </c>
      <c r="AA43" s="17">
        <v>8.6294696083106093</v>
      </c>
      <c r="AB43" s="17"/>
      <c r="AC43" s="17"/>
      <c r="AD43" s="17"/>
      <c r="AE43" s="17"/>
      <c r="AF43" s="17">
        <v>5.2499999995416147</v>
      </c>
      <c r="AG43" s="17">
        <v>5.2879501979374556E-2</v>
      </c>
      <c r="AH43" s="17">
        <v>29.969121598696802</v>
      </c>
      <c r="AI43" s="17">
        <v>8.6735323605053125</v>
      </c>
      <c r="AJ43" s="17"/>
      <c r="AK43" s="17"/>
      <c r="AL43" s="17"/>
      <c r="AM43" s="17"/>
      <c r="AN43" s="17"/>
      <c r="AO43" s="17"/>
      <c r="AP43" s="27"/>
    </row>
    <row r="44" spans="1:42" ht="15">
      <c r="A44" s="27"/>
      <c r="B44" s="179"/>
      <c r="C44" s="27"/>
      <c r="D44" s="27"/>
      <c r="E44" s="27"/>
      <c r="F44" s="27"/>
      <c r="G44" s="27"/>
      <c r="H44" s="27"/>
      <c r="I44" s="27"/>
      <c r="J44" s="27"/>
      <c r="K44" s="27"/>
      <c r="L44" s="27"/>
      <c r="M44" s="27"/>
      <c r="N44" s="27"/>
      <c r="O44" s="27"/>
      <c r="P44" s="27"/>
      <c r="Q44" s="27"/>
      <c r="R44" s="17">
        <v>19.804373894294258</v>
      </c>
      <c r="S44" s="17">
        <v>8.8845189164951446</v>
      </c>
      <c r="T44" s="17"/>
      <c r="U44" s="17"/>
      <c r="V44" s="17"/>
      <c r="W44" s="17"/>
      <c r="X44" s="17"/>
      <c r="Y44" s="17"/>
      <c r="Z44" s="17">
        <v>29.547248141898308</v>
      </c>
      <c r="AA44" s="17">
        <v>8.7976750612445169</v>
      </c>
      <c r="AB44" s="17"/>
      <c r="AC44" s="17"/>
      <c r="AD44" s="17"/>
      <c r="AE44" s="17"/>
      <c r="AF44" s="17">
        <v>5.4166666661937288</v>
      </c>
      <c r="AG44" s="17">
        <v>5.5583373502847658E-2</v>
      </c>
      <c r="AH44" s="17">
        <v>29.987858388631139</v>
      </c>
      <c r="AI44" s="17">
        <v>8.949234131556004</v>
      </c>
      <c r="AJ44" s="17"/>
      <c r="AK44" s="17"/>
      <c r="AL44" s="17"/>
      <c r="AM44" s="17"/>
      <c r="AN44" s="17"/>
      <c r="AO44" s="17"/>
      <c r="AP44" s="27"/>
    </row>
    <row r="45" spans="1:42">
      <c r="A45" s="27"/>
      <c r="B45" s="27"/>
      <c r="C45" s="27"/>
      <c r="D45" s="27"/>
      <c r="E45" s="27"/>
      <c r="F45" s="27"/>
      <c r="G45" s="27"/>
      <c r="H45" s="27"/>
      <c r="I45" s="27"/>
      <c r="J45" s="27"/>
      <c r="K45" s="27"/>
      <c r="L45" s="27"/>
      <c r="M45" s="27"/>
      <c r="N45" s="27"/>
      <c r="O45" s="27"/>
      <c r="P45" s="27"/>
      <c r="Q45" s="27"/>
      <c r="R45" s="17">
        <v>19.886334486363921</v>
      </c>
      <c r="S45" s="17">
        <v>9.0990215288288887</v>
      </c>
      <c r="T45" s="17"/>
      <c r="U45" s="17"/>
      <c r="V45" s="17"/>
      <c r="W45" s="17"/>
      <c r="X45" s="17"/>
      <c r="Y45" s="17"/>
      <c r="Z45" s="17">
        <v>29.720264744537417</v>
      </c>
      <c r="AA45" s="17">
        <v>9.0960117106325917</v>
      </c>
      <c r="AB45" s="17"/>
      <c r="AC45" s="17"/>
      <c r="AD45" s="17"/>
      <c r="AE45" s="17"/>
      <c r="AF45" s="17">
        <v>5.5833333328458439</v>
      </c>
      <c r="AG45" s="17">
        <v>6.2875908643991354E-2</v>
      </c>
      <c r="AH45" s="17">
        <v>30.003981960180681</v>
      </c>
      <c r="AI45" s="17">
        <v>9.1845845668949195</v>
      </c>
      <c r="AJ45" s="17"/>
      <c r="AK45" s="17"/>
      <c r="AL45" s="17"/>
      <c r="AM45" s="17"/>
      <c r="AN45" s="17"/>
      <c r="AO45" s="17"/>
      <c r="AP45" s="27"/>
    </row>
    <row r="46" spans="1:42">
      <c r="A46" s="27"/>
      <c r="B46" s="27"/>
      <c r="C46" s="27"/>
      <c r="D46" s="27"/>
      <c r="E46" s="27"/>
      <c r="F46" s="27"/>
      <c r="G46" s="27"/>
      <c r="H46" s="27"/>
      <c r="I46" s="27"/>
      <c r="J46" s="27"/>
      <c r="K46" s="27"/>
      <c r="L46" s="27"/>
      <c r="M46" s="27"/>
      <c r="N46" s="27"/>
      <c r="O46" s="27"/>
      <c r="P46" s="27"/>
      <c r="Q46" s="27"/>
      <c r="R46" s="17">
        <v>19.94123642652994</v>
      </c>
      <c r="S46" s="17">
        <v>9.3135241411626346</v>
      </c>
      <c r="T46" s="17"/>
      <c r="U46" s="17"/>
      <c r="V46" s="17"/>
      <c r="W46" s="17"/>
      <c r="X46" s="17"/>
      <c r="Y46" s="17"/>
      <c r="Z46" s="17">
        <v>29.83625626511639</v>
      </c>
      <c r="AA46" s="17">
        <v>9.0847907523252065</v>
      </c>
      <c r="AB46" s="17"/>
      <c r="AC46" s="17"/>
      <c r="AD46" s="17"/>
      <c r="AE46" s="17"/>
      <c r="AF46" s="17">
        <v>5.7499999994979589</v>
      </c>
      <c r="AG46" s="17">
        <v>7.4757107402807291E-2</v>
      </c>
      <c r="AH46" s="17">
        <v>30.020979327673558</v>
      </c>
      <c r="AI46" s="17">
        <v>9.2019186423607167</v>
      </c>
      <c r="AJ46" s="17"/>
      <c r="AK46" s="17"/>
      <c r="AL46" s="17"/>
      <c r="AM46" s="17"/>
      <c r="AN46" s="17"/>
      <c r="AO46" s="17"/>
      <c r="AP46" s="27"/>
    </row>
    <row r="47" spans="1:42">
      <c r="A47" s="27"/>
      <c r="B47" s="27"/>
      <c r="C47" s="27"/>
      <c r="D47" s="27"/>
      <c r="E47" s="27"/>
      <c r="F47" s="27"/>
      <c r="G47" s="27"/>
      <c r="H47" s="27"/>
      <c r="I47" s="27"/>
      <c r="J47" s="27"/>
      <c r="K47" s="27"/>
      <c r="L47" s="27"/>
      <c r="M47" s="27"/>
      <c r="N47" s="27"/>
      <c r="O47" s="27"/>
      <c r="P47" s="27"/>
      <c r="Q47" s="27"/>
      <c r="R47" s="17">
        <v>19.981976119743194</v>
      </c>
      <c r="S47" s="17">
        <v>9.5280267534963787</v>
      </c>
      <c r="T47" s="17"/>
      <c r="U47" s="17"/>
      <c r="V47" s="17"/>
      <c r="W47" s="17"/>
      <c r="X47" s="17"/>
      <c r="Y47" s="17"/>
      <c r="Z47" s="17">
        <v>29.918337061826605</v>
      </c>
      <c r="AA47" s="17">
        <v>9.400064428430051</v>
      </c>
      <c r="AB47" s="17"/>
      <c r="AC47" s="17"/>
      <c r="AD47" s="17"/>
      <c r="AE47" s="17"/>
      <c r="AF47" s="17">
        <v>5.9166666661500731</v>
      </c>
      <c r="AG47" s="17">
        <v>9.1226969779299158E-2</v>
      </c>
      <c r="AH47" s="17">
        <v>30.042530830542091</v>
      </c>
      <c r="AI47" s="17">
        <v>9.5545939252935348</v>
      </c>
      <c r="AJ47" s="17"/>
      <c r="AK47" s="17"/>
      <c r="AL47" s="17"/>
      <c r="AM47" s="17"/>
      <c r="AN47" s="17"/>
      <c r="AO47" s="17"/>
      <c r="AP47" s="27"/>
    </row>
    <row r="48" spans="1:42">
      <c r="A48" s="27"/>
      <c r="B48" s="27"/>
      <c r="C48" s="27"/>
      <c r="D48" s="27"/>
      <c r="E48" s="27"/>
      <c r="F48" s="27"/>
      <c r="G48" s="27"/>
      <c r="H48" s="27"/>
      <c r="I48" s="27"/>
      <c r="J48" s="27"/>
      <c r="K48" s="27"/>
      <c r="L48" s="27"/>
      <c r="M48" s="27"/>
      <c r="N48" s="27"/>
      <c r="O48" s="27"/>
      <c r="P48" s="27"/>
      <c r="Q48" s="27"/>
      <c r="R48" s="17">
        <v>20.018397706735414</v>
      </c>
      <c r="S48" s="17">
        <v>9.7425293658301229</v>
      </c>
      <c r="T48" s="17"/>
      <c r="U48" s="17"/>
      <c r="V48" s="17"/>
      <c r="W48" s="17"/>
      <c r="X48" s="17"/>
      <c r="Y48" s="17"/>
      <c r="Z48" s="17">
        <v>29.98338512115879</v>
      </c>
      <c r="AA48" s="17">
        <v>9.4506547726504504</v>
      </c>
      <c r="AB48" s="17"/>
      <c r="AC48" s="17"/>
      <c r="AD48" s="17"/>
      <c r="AE48" s="17"/>
      <c r="AF48" s="17">
        <v>6.0833333328021881</v>
      </c>
      <c r="AG48" s="17">
        <v>0.11228549577346186</v>
      </c>
      <c r="AH48" s="17">
        <v>30.073280991928186</v>
      </c>
      <c r="AI48" s="17">
        <v>9.7397145399264993</v>
      </c>
      <c r="AJ48" s="17"/>
      <c r="AK48" s="17"/>
      <c r="AL48" s="17"/>
      <c r="AM48" s="17"/>
      <c r="AN48" s="17"/>
      <c r="AO48" s="17"/>
      <c r="AP48" s="27"/>
    </row>
    <row r="49" spans="1:42">
      <c r="A49" s="27"/>
      <c r="B49" s="27"/>
      <c r="C49" s="27"/>
      <c r="D49" s="27"/>
      <c r="E49" s="27"/>
      <c r="F49" s="27"/>
      <c r="G49" s="27"/>
      <c r="H49" s="27"/>
      <c r="I49" s="27"/>
      <c r="J49" s="27"/>
      <c r="K49" s="27"/>
      <c r="L49" s="27"/>
      <c r="M49" s="27"/>
      <c r="N49" s="27"/>
      <c r="O49" s="27"/>
      <c r="P49" s="27"/>
      <c r="Q49" s="27"/>
      <c r="R49" s="17">
        <v>20.059441142075229</v>
      </c>
      <c r="S49" s="17">
        <v>9.9570319781638688</v>
      </c>
      <c r="T49" s="17"/>
      <c r="U49" s="17"/>
      <c r="V49" s="17"/>
      <c r="W49" s="17"/>
      <c r="X49" s="17"/>
      <c r="Y49" s="17"/>
      <c r="Z49" s="17">
        <v>30.045040389813948</v>
      </c>
      <c r="AA49" s="17">
        <v>9.8117745951004327</v>
      </c>
      <c r="AB49" s="17"/>
      <c r="AC49" s="17"/>
      <c r="AD49" s="17"/>
      <c r="AE49" s="17"/>
      <c r="AF49" s="17">
        <v>6.2499999994543032</v>
      </c>
      <c r="AG49" s="17">
        <v>0.13788956154991522</v>
      </c>
      <c r="AH49" s="17">
        <v>30.119792056211736</v>
      </c>
      <c r="AI49" s="17">
        <v>9.921328281220049</v>
      </c>
      <c r="AJ49" s="17"/>
      <c r="AK49" s="17"/>
      <c r="AL49" s="17"/>
      <c r="AM49" s="17"/>
      <c r="AN49" s="17"/>
      <c r="AO49" s="17"/>
      <c r="AP49" s="27"/>
    </row>
    <row r="50" spans="1:42">
      <c r="A50" s="27"/>
      <c r="B50" s="27"/>
      <c r="C50" s="27"/>
      <c r="D50" s="27"/>
      <c r="E50" s="27"/>
      <c r="F50" s="27"/>
      <c r="G50" s="27"/>
      <c r="H50" s="27"/>
      <c r="I50" s="27"/>
      <c r="J50" s="27"/>
      <c r="K50" s="27"/>
      <c r="L50" s="27"/>
      <c r="M50" s="27"/>
      <c r="N50" s="27"/>
      <c r="O50" s="27"/>
      <c r="P50" s="27"/>
      <c r="Q50" s="27"/>
      <c r="R50" s="17">
        <v>20.115236625133548</v>
      </c>
      <c r="S50" s="17">
        <v>10.171534590497613</v>
      </c>
      <c r="T50" s="17"/>
      <c r="U50" s="17"/>
      <c r="V50" s="17"/>
      <c r="W50" s="17"/>
      <c r="X50" s="17"/>
      <c r="Y50" s="17"/>
      <c r="Z50" s="17">
        <v>30.116360024840105</v>
      </c>
      <c r="AA50" s="17">
        <v>10.284517781157046</v>
      </c>
      <c r="AB50" s="17"/>
      <c r="AC50" s="17"/>
      <c r="AD50" s="17"/>
      <c r="AE50" s="17"/>
      <c r="AF50" s="17">
        <v>6.4166666661064173</v>
      </c>
      <c r="AG50" s="17">
        <v>0.16538998895541748</v>
      </c>
      <c r="AH50" s="17">
        <v>30.191834959259722</v>
      </c>
      <c r="AI50" s="17">
        <v>10.118093901764601</v>
      </c>
      <c r="AJ50" s="17"/>
      <c r="AK50" s="17"/>
      <c r="AL50" s="17"/>
      <c r="AM50" s="17"/>
      <c r="AN50" s="17"/>
      <c r="AO50" s="17"/>
      <c r="AP50" s="27"/>
    </row>
    <row r="51" spans="1:42">
      <c r="A51" s="27"/>
      <c r="B51" s="27"/>
      <c r="C51" s="27"/>
      <c r="D51" s="27"/>
      <c r="E51" s="27"/>
      <c r="F51" s="27"/>
      <c r="G51" s="27"/>
      <c r="H51" s="27"/>
      <c r="I51" s="27"/>
      <c r="J51" s="27"/>
      <c r="K51" s="27"/>
      <c r="L51" s="27"/>
      <c r="M51" s="27"/>
      <c r="N51" s="27"/>
      <c r="O51" s="27"/>
      <c r="P51" s="27"/>
      <c r="Q51" s="27"/>
      <c r="R51" s="17">
        <v>20.199536230938975</v>
      </c>
      <c r="S51" s="17">
        <v>10.386037202831357</v>
      </c>
      <c r="T51" s="17"/>
      <c r="U51" s="17"/>
      <c r="V51" s="17"/>
      <c r="W51" s="17"/>
      <c r="X51" s="17"/>
      <c r="Y51" s="17"/>
      <c r="Z51" s="17">
        <v>30.212474045401905</v>
      </c>
      <c r="AA51" s="17">
        <v>10.294536398407072</v>
      </c>
      <c r="AB51" s="17"/>
      <c r="AC51" s="17"/>
      <c r="AD51" s="17"/>
      <c r="AE51" s="17"/>
      <c r="AF51" s="17">
        <v>6.5833333327585324</v>
      </c>
      <c r="AG51" s="17">
        <v>0.19064464761456792</v>
      </c>
      <c r="AH51" s="17">
        <v>30.304181580140721</v>
      </c>
      <c r="AI51" s="17">
        <v>10.340274881910533</v>
      </c>
      <c r="AJ51" s="17"/>
      <c r="AK51" s="17"/>
      <c r="AL51" s="17"/>
      <c r="AM51" s="17"/>
      <c r="AN51" s="17"/>
      <c r="AO51" s="17"/>
      <c r="AP51" s="27"/>
    </row>
    <row r="52" spans="1:42">
      <c r="A52" s="27"/>
      <c r="B52" s="27"/>
      <c r="C52" s="27"/>
      <c r="D52" s="27"/>
      <c r="E52" s="27"/>
      <c r="F52" s="27"/>
      <c r="G52" s="27"/>
      <c r="H52" s="27"/>
      <c r="I52" s="27"/>
      <c r="J52" s="27"/>
      <c r="K52" s="27"/>
      <c r="L52" s="27"/>
      <c r="M52" s="27"/>
      <c r="N52" s="27"/>
      <c r="O52" s="27"/>
      <c r="P52" s="27"/>
      <c r="Q52" s="27"/>
      <c r="R52" s="17">
        <v>20.332998641242739</v>
      </c>
      <c r="S52" s="17">
        <v>10.600539815165103</v>
      </c>
      <c r="T52" s="17"/>
      <c r="U52" s="17"/>
      <c r="V52" s="17"/>
      <c r="W52" s="17"/>
      <c r="X52" s="17"/>
      <c r="Y52" s="17"/>
      <c r="Z52" s="17">
        <v>30.353687058959622</v>
      </c>
      <c r="AA52" s="17">
        <v>10.521781745608896</v>
      </c>
      <c r="AB52" s="17"/>
      <c r="AC52" s="17"/>
      <c r="AD52" s="17"/>
      <c r="AE52" s="17"/>
      <c r="AF52" s="17">
        <v>6.7499999994106474</v>
      </c>
      <c r="AG52" s="17">
        <v>0.21329299556238734</v>
      </c>
      <c r="AH52" s="17">
        <v>30.479027204273734</v>
      </c>
      <c r="AI52" s="17">
        <v>10.526514122683555</v>
      </c>
      <c r="AJ52" s="17"/>
      <c r="AK52" s="17"/>
      <c r="AL52" s="17"/>
      <c r="AM52" s="17"/>
      <c r="AN52" s="17"/>
      <c r="AO52" s="17"/>
      <c r="AP52" s="27"/>
    </row>
    <row r="53" spans="1:42">
      <c r="A53" s="27"/>
      <c r="B53" s="27"/>
      <c r="C53" s="27"/>
      <c r="D53" s="27"/>
      <c r="E53" s="27"/>
      <c r="F53" s="27"/>
      <c r="G53" s="27"/>
      <c r="H53" s="27"/>
      <c r="I53" s="27"/>
      <c r="J53" s="27"/>
      <c r="K53" s="27"/>
      <c r="L53" s="27"/>
      <c r="M53" s="27"/>
      <c r="N53" s="27"/>
      <c r="O53" s="27"/>
      <c r="P53" s="27"/>
      <c r="Q53" s="27"/>
      <c r="R53" s="17">
        <v>20.548015915846918</v>
      </c>
      <c r="S53" s="17">
        <v>10.815042427498847</v>
      </c>
      <c r="T53" s="17"/>
      <c r="U53" s="17"/>
      <c r="V53" s="17"/>
      <c r="W53" s="17"/>
      <c r="X53" s="17"/>
      <c r="Y53" s="17"/>
      <c r="Z53" s="17">
        <v>30.569570830266457</v>
      </c>
      <c r="AA53" s="17">
        <v>10.627726228442043</v>
      </c>
      <c r="AB53" s="17"/>
      <c r="AC53" s="17"/>
      <c r="AD53" s="17"/>
      <c r="AE53" s="17"/>
      <c r="AF53" s="17">
        <v>6.9166666660627616</v>
      </c>
      <c r="AG53" s="17">
        <v>0.23333503279887352</v>
      </c>
      <c r="AH53" s="17">
        <v>30.749027973797638</v>
      </c>
      <c r="AI53" s="17">
        <v>10.716714065384119</v>
      </c>
      <c r="AJ53" s="17"/>
      <c r="AK53" s="17"/>
      <c r="AL53" s="17"/>
      <c r="AM53" s="17"/>
      <c r="AN53" s="17"/>
      <c r="AO53" s="17"/>
      <c r="AP53" s="27"/>
    </row>
    <row r="54" spans="1:42">
      <c r="A54" s="27"/>
      <c r="B54" s="27"/>
      <c r="C54" s="27"/>
      <c r="D54" s="27"/>
      <c r="E54" s="27"/>
      <c r="F54" s="27"/>
      <c r="G54" s="27"/>
      <c r="H54" s="27"/>
      <c r="I54" s="27"/>
      <c r="J54" s="27"/>
      <c r="K54" s="27"/>
      <c r="L54" s="27"/>
      <c r="M54" s="27"/>
      <c r="N54" s="27"/>
      <c r="O54" s="27"/>
      <c r="P54" s="27"/>
      <c r="Q54" s="27"/>
      <c r="R54" s="17">
        <v>20.896024066314567</v>
      </c>
      <c r="S54" s="17">
        <v>11.029545039832591</v>
      </c>
      <c r="T54" s="17"/>
      <c r="U54" s="17"/>
      <c r="V54" s="17"/>
      <c r="W54" s="17"/>
      <c r="X54" s="17"/>
      <c r="Y54" s="17"/>
      <c r="Z54" s="17">
        <v>30.904717471275944</v>
      </c>
      <c r="AA54" s="17">
        <v>10.915235111545771</v>
      </c>
      <c r="AB54" s="17"/>
      <c r="AC54" s="17"/>
      <c r="AD54" s="17"/>
      <c r="AE54" s="17"/>
      <c r="AF54" s="17">
        <v>7.0833333327148766</v>
      </c>
      <c r="AG54" s="17">
        <v>0.25077075932402937</v>
      </c>
      <c r="AH54" s="17">
        <v>31.160632845421787</v>
      </c>
      <c r="AI54" s="17">
        <v>10.92176637821272</v>
      </c>
      <c r="AJ54" s="17"/>
      <c r="AK54" s="17"/>
      <c r="AL54" s="17"/>
      <c r="AM54" s="17"/>
      <c r="AN54" s="17"/>
      <c r="AO54" s="17"/>
      <c r="AP54" s="27"/>
    </row>
    <row r="55" spans="1:42">
      <c r="A55" s="27"/>
      <c r="B55" s="27"/>
      <c r="C55" s="27"/>
      <c r="D55" s="27"/>
      <c r="E55" s="27"/>
      <c r="F55" s="27"/>
      <c r="G55" s="27"/>
      <c r="H55" s="27"/>
      <c r="I55" s="27"/>
      <c r="J55" s="27"/>
      <c r="K55" s="27"/>
      <c r="L55" s="27"/>
      <c r="M55" s="27"/>
      <c r="N55" s="27"/>
      <c r="O55" s="27"/>
      <c r="P55" s="27"/>
      <c r="Q55" s="27"/>
      <c r="R55" s="17">
        <v>21.458622148202267</v>
      </c>
      <c r="S55" s="17">
        <v>11.244047652166337</v>
      </c>
      <c r="T55" s="17"/>
      <c r="U55" s="17"/>
      <c r="V55" s="17"/>
      <c r="W55" s="17"/>
      <c r="X55" s="17"/>
      <c r="Y55" s="17"/>
      <c r="Z55" s="17">
        <v>31.426960798853543</v>
      </c>
      <c r="AA55" s="17">
        <v>11.084914463479072</v>
      </c>
      <c r="AB55" s="17"/>
      <c r="AC55" s="17"/>
      <c r="AD55" s="17"/>
      <c r="AE55" s="17"/>
      <c r="AF55" s="17">
        <v>7.2499999993669917</v>
      </c>
      <c r="AG55" s="17">
        <v>0.2656001751378616</v>
      </c>
      <c r="AH55" s="17">
        <v>31.777109763061162</v>
      </c>
      <c r="AI55" s="17">
        <v>11.123641830880194</v>
      </c>
      <c r="AJ55" s="17"/>
      <c r="AK55" s="17"/>
      <c r="AL55" s="17"/>
      <c r="AM55" s="17"/>
      <c r="AN55" s="17"/>
      <c r="AO55" s="17"/>
      <c r="AP55" s="27"/>
    </row>
    <row r="56" spans="1:42">
      <c r="A56" s="27"/>
      <c r="B56" s="27"/>
      <c r="C56" s="27"/>
      <c r="D56" s="27"/>
      <c r="E56" s="27"/>
      <c r="F56" s="27"/>
      <c r="G56" s="27"/>
      <c r="H56" s="27"/>
      <c r="I56" s="27"/>
      <c r="J56" s="27"/>
      <c r="K56" s="27"/>
      <c r="L56" s="27"/>
      <c r="M56" s="27"/>
      <c r="N56" s="27"/>
      <c r="O56" s="27"/>
      <c r="P56" s="27"/>
      <c r="Q56" s="27"/>
      <c r="R56" s="17">
        <v>22.364652594842482</v>
      </c>
      <c r="S56" s="17">
        <v>11.458550264500081</v>
      </c>
      <c r="T56" s="17"/>
      <c r="U56" s="17"/>
      <c r="V56" s="17"/>
      <c r="W56" s="17"/>
      <c r="X56" s="17"/>
      <c r="Y56" s="17"/>
      <c r="Z56" s="17">
        <v>32.239001510606613</v>
      </c>
      <c r="AA56" s="17">
        <v>11.226372458133847</v>
      </c>
      <c r="AB56" s="17"/>
      <c r="AC56" s="17"/>
      <c r="AD56" s="17"/>
      <c r="AE56" s="17"/>
      <c r="AF56" s="17">
        <v>7.4166666660191058</v>
      </c>
      <c r="AG56" s="17">
        <v>0.27782328012886875</v>
      </c>
      <c r="AH56" s="17">
        <v>32.681422297901008</v>
      </c>
      <c r="AI56" s="17">
        <v>11.335130838844925</v>
      </c>
      <c r="AJ56" s="17"/>
      <c r="AK56" s="17"/>
      <c r="AL56" s="17"/>
      <c r="AM56" s="17"/>
      <c r="AN56" s="17"/>
      <c r="AO56" s="17"/>
      <c r="AP56" s="27"/>
    </row>
    <row r="57" spans="1:42">
      <c r="A57" s="27"/>
      <c r="B57" s="27"/>
      <c r="C57" s="27"/>
      <c r="D57" s="27"/>
      <c r="E57" s="27"/>
      <c r="F57" s="27"/>
      <c r="G57" s="27"/>
      <c r="H57" s="27"/>
      <c r="I57" s="27"/>
      <c r="J57" s="27"/>
      <c r="K57" s="27"/>
      <c r="L57" s="27"/>
      <c r="M57" s="27"/>
      <c r="N57" s="27"/>
      <c r="O57" s="27"/>
      <c r="P57" s="27"/>
      <c r="Q57" s="27"/>
      <c r="R57" s="17">
        <v>23.818284484150354</v>
      </c>
      <c r="S57" s="17">
        <v>11.673052876833827</v>
      </c>
      <c r="T57" s="17"/>
      <c r="U57" s="17"/>
      <c r="V57" s="17"/>
      <c r="W57" s="17"/>
      <c r="X57" s="17"/>
      <c r="Y57" s="17"/>
      <c r="Z57" s="17">
        <v>33.494635509850923</v>
      </c>
      <c r="AA57" s="17">
        <v>11.385016548875718</v>
      </c>
      <c r="AB57" s="17"/>
      <c r="AC57" s="17"/>
      <c r="AD57" s="17"/>
      <c r="AE57" s="17"/>
      <c r="AF57" s="17">
        <v>7.5833333326712209</v>
      </c>
      <c r="AG57" s="17">
        <v>0.28636268375169016</v>
      </c>
      <c r="AH57" s="17">
        <v>33.983392054506112</v>
      </c>
      <c r="AI57" s="17">
        <v>11.515661543425173</v>
      </c>
      <c r="AJ57" s="17"/>
      <c r="AK57" s="17"/>
      <c r="AL57" s="17"/>
      <c r="AM57" s="17"/>
      <c r="AN57" s="17"/>
      <c r="AO57" s="17"/>
      <c r="AP57" s="27"/>
    </row>
    <row r="58" spans="1:42">
      <c r="A58" s="27"/>
      <c r="B58" s="27"/>
      <c r="C58" s="27"/>
      <c r="D58" s="27"/>
      <c r="E58" s="27"/>
      <c r="F58" s="27"/>
      <c r="G58" s="27"/>
      <c r="H58" s="27"/>
      <c r="I58" s="27"/>
      <c r="J58" s="27"/>
      <c r="K58" s="27"/>
      <c r="L58" s="27"/>
      <c r="M58" s="27"/>
      <c r="N58" s="27"/>
      <c r="O58" s="27"/>
      <c r="P58" s="27"/>
      <c r="Q58" s="27"/>
      <c r="R58" s="17">
        <v>26.154666273214389</v>
      </c>
      <c r="S58" s="17">
        <v>11.887555489167571</v>
      </c>
      <c r="T58" s="17"/>
      <c r="U58" s="17"/>
      <c r="V58" s="17"/>
      <c r="W58" s="17"/>
      <c r="X58" s="17"/>
      <c r="Y58" s="17"/>
      <c r="Z58" s="17">
        <v>35.422255621233489</v>
      </c>
      <c r="AA58" s="17">
        <v>11.676670697722583</v>
      </c>
      <c r="AB58" s="17"/>
      <c r="AC58" s="17"/>
      <c r="AD58" s="17"/>
      <c r="AE58" s="17"/>
      <c r="AF58" s="17">
        <v>7.7499999993233359</v>
      </c>
      <c r="AG58" s="17">
        <v>0.28696937644847303</v>
      </c>
      <c r="AH58" s="17">
        <v>35.846407026110683</v>
      </c>
      <c r="AI58" s="17">
        <v>11.742123357553035</v>
      </c>
      <c r="AJ58" s="17"/>
      <c r="AK58" s="17"/>
      <c r="AL58" s="17"/>
      <c r="AM58" s="17"/>
      <c r="AN58" s="17"/>
      <c r="AO58" s="17"/>
      <c r="AP58" s="27"/>
    </row>
    <row r="59" spans="1:42">
      <c r="A59" s="27"/>
      <c r="B59" s="27"/>
      <c r="C59" s="27"/>
      <c r="D59" s="27"/>
      <c r="E59" s="27"/>
      <c r="F59" s="27"/>
      <c r="G59" s="27"/>
      <c r="H59" s="27"/>
      <c r="I59" s="27"/>
      <c r="J59" s="27"/>
      <c r="K59" s="27"/>
      <c r="L59" s="27"/>
      <c r="M59" s="27"/>
      <c r="N59" s="27"/>
      <c r="O59" s="27"/>
      <c r="P59" s="27"/>
      <c r="Q59" s="27"/>
      <c r="R59" s="17">
        <v>29.98321672930615</v>
      </c>
      <c r="S59" s="17">
        <v>12.102058101501315</v>
      </c>
      <c r="T59" s="17"/>
      <c r="U59" s="17"/>
      <c r="V59" s="17"/>
      <c r="W59" s="17"/>
      <c r="X59" s="17"/>
      <c r="Y59" s="17"/>
      <c r="Z59" s="17">
        <v>38.365417947352398</v>
      </c>
      <c r="AA59" s="17">
        <v>11.805349126476795</v>
      </c>
      <c r="AB59" s="17"/>
      <c r="AC59" s="17"/>
      <c r="AD59" s="17"/>
      <c r="AE59" s="17"/>
      <c r="AF59" s="17">
        <v>7.9166666659754501</v>
      </c>
      <c r="AG59" s="17">
        <v>0.27859603188108878</v>
      </c>
      <c r="AH59" s="17">
        <v>38.567444209184032</v>
      </c>
      <c r="AI59" s="17">
        <v>11.919127186704428</v>
      </c>
      <c r="AJ59" s="17"/>
      <c r="AK59" s="17"/>
      <c r="AL59" s="17"/>
      <c r="AM59" s="17"/>
      <c r="AN59" s="17"/>
      <c r="AO59" s="17"/>
      <c r="AP59" s="27"/>
    </row>
    <row r="60" spans="1:42">
      <c r="A60" s="27"/>
      <c r="B60" s="27"/>
      <c r="C60" s="27"/>
      <c r="D60" s="27"/>
      <c r="E60" s="27"/>
      <c r="F60" s="27"/>
      <c r="G60" s="27"/>
      <c r="H60" s="27"/>
      <c r="I60" s="27"/>
      <c r="J60" s="27"/>
      <c r="K60" s="27"/>
      <c r="L60" s="27"/>
      <c r="M60" s="27"/>
      <c r="N60" s="27"/>
      <c r="O60" s="27"/>
      <c r="P60" s="27"/>
      <c r="Q60" s="27"/>
      <c r="R60" s="17">
        <v>36.643806887150276</v>
      </c>
      <c r="S60" s="17">
        <v>12.316560713835061</v>
      </c>
      <c r="T60" s="17"/>
      <c r="U60" s="17"/>
      <c r="V60" s="17"/>
      <c r="W60" s="17"/>
      <c r="X60" s="17"/>
      <c r="Y60" s="17"/>
      <c r="Z60" s="17">
        <v>42.877503424824681</v>
      </c>
      <c r="AA60" s="17">
        <v>12.00734264222905</v>
      </c>
      <c r="AB60" s="17"/>
      <c r="AC60" s="17"/>
      <c r="AD60" s="17"/>
      <c r="AE60" s="17"/>
      <c r="AF60" s="17">
        <v>8.0833333326275643</v>
      </c>
      <c r="AG60" s="17">
        <v>0.26124265004952396</v>
      </c>
      <c r="AH60" s="17">
        <v>42.780707859492395</v>
      </c>
      <c r="AI60" s="17">
        <v>12.134579030226917</v>
      </c>
      <c r="AJ60" s="17"/>
      <c r="AK60" s="17"/>
      <c r="AL60" s="17"/>
      <c r="AM60" s="17"/>
      <c r="AN60" s="17"/>
      <c r="AO60" s="17"/>
      <c r="AP60" s="27"/>
    </row>
    <row r="61" spans="1:42">
      <c r="A61" s="27"/>
      <c r="B61" s="27"/>
      <c r="C61" s="27"/>
      <c r="D61" s="27"/>
      <c r="E61" s="27"/>
      <c r="F61" s="27"/>
      <c r="G61" s="27"/>
      <c r="H61" s="27"/>
      <c r="I61" s="27"/>
      <c r="J61" s="27"/>
      <c r="K61" s="27"/>
      <c r="L61" s="27"/>
      <c r="M61" s="27"/>
      <c r="N61" s="27"/>
      <c r="O61" s="27"/>
      <c r="P61" s="27"/>
      <c r="Q61" s="27"/>
      <c r="R61" s="17">
        <v>49.999999998544808</v>
      </c>
      <c r="S61" s="17">
        <v>12.531063326168805</v>
      </c>
      <c r="T61" s="17"/>
      <c r="U61" s="17"/>
      <c r="V61" s="17"/>
      <c r="W61" s="17"/>
      <c r="X61" s="17"/>
      <c r="Y61" s="17"/>
      <c r="Z61" s="17">
        <v>49.999999995634425</v>
      </c>
      <c r="AA61" s="17">
        <v>12.223539364431053</v>
      </c>
      <c r="AB61" s="17"/>
      <c r="AC61" s="17"/>
      <c r="AD61" s="17"/>
      <c r="AE61" s="17"/>
      <c r="AF61" s="17">
        <v>8.2499999992796802</v>
      </c>
      <c r="AG61" s="17">
        <v>0.23490923095379432</v>
      </c>
      <c r="AH61" s="17">
        <v>49.999999983992893</v>
      </c>
      <c r="AI61" s="17">
        <v>12.329984020184726</v>
      </c>
      <c r="AJ61" s="17"/>
      <c r="AK61" s="17"/>
      <c r="AL61" s="17"/>
      <c r="AM61" s="17"/>
      <c r="AN61" s="17"/>
      <c r="AO61" s="17"/>
      <c r="AP61" s="27"/>
    </row>
    <row r="62" spans="1:42">
      <c r="A62" s="27"/>
      <c r="B62" s="27"/>
      <c r="C62" s="27"/>
      <c r="D62" s="27"/>
      <c r="E62" s="27"/>
      <c r="F62" s="27"/>
      <c r="G62" s="27"/>
      <c r="H62" s="27"/>
      <c r="I62" s="27"/>
      <c r="J62" s="27"/>
      <c r="K62" s="27"/>
      <c r="L62" s="27"/>
      <c r="M62" s="27"/>
      <c r="N62" s="27"/>
      <c r="O62" s="27"/>
      <c r="P62" s="27"/>
      <c r="Q62" s="27"/>
      <c r="R62" s="17"/>
      <c r="S62" s="17"/>
      <c r="T62" s="17"/>
      <c r="U62" s="17"/>
      <c r="V62" s="17"/>
      <c r="W62" s="17"/>
      <c r="X62" s="17"/>
      <c r="Y62" s="17"/>
      <c r="Z62" s="17"/>
      <c r="AA62" s="17"/>
      <c r="AB62" s="17"/>
      <c r="AC62" s="17"/>
      <c r="AD62" s="17"/>
      <c r="AE62" s="17"/>
      <c r="AF62" s="17">
        <v>8.4166666659317944</v>
      </c>
      <c r="AG62" s="17">
        <v>0.20330271463889535</v>
      </c>
      <c r="AH62" s="17"/>
      <c r="AI62" s="17"/>
      <c r="AJ62" s="17"/>
      <c r="AK62" s="17"/>
      <c r="AL62" s="17"/>
      <c r="AM62" s="17"/>
      <c r="AN62" s="17"/>
      <c r="AO62" s="17"/>
      <c r="AP62" s="27"/>
    </row>
    <row r="63" spans="1:42">
      <c r="A63" s="27"/>
      <c r="B63" s="27"/>
      <c r="C63" s="27"/>
      <c r="D63" s="27"/>
      <c r="E63" s="27"/>
      <c r="F63" s="27"/>
      <c r="G63" s="27"/>
      <c r="H63" s="27"/>
      <c r="I63" s="27"/>
      <c r="J63" s="27"/>
      <c r="K63" s="27"/>
      <c r="L63" s="27"/>
      <c r="M63" s="27"/>
      <c r="N63" s="27"/>
      <c r="O63" s="27"/>
      <c r="P63" s="27"/>
      <c r="Q63" s="27"/>
      <c r="R63" s="17"/>
      <c r="S63" s="17"/>
      <c r="T63" s="17"/>
      <c r="U63" s="17"/>
      <c r="V63" s="17"/>
      <c r="W63" s="17"/>
      <c r="X63" s="17"/>
      <c r="Y63" s="17"/>
      <c r="Z63" s="17"/>
      <c r="AA63" s="17"/>
      <c r="AB63" s="17"/>
      <c r="AC63" s="17"/>
      <c r="AD63" s="17"/>
      <c r="AE63" s="17"/>
      <c r="AF63" s="17">
        <v>8.5833333325839085</v>
      </c>
      <c r="AG63" s="17">
        <v>0.18822174925058086</v>
      </c>
      <c r="AH63" s="17"/>
      <c r="AI63" s="17"/>
      <c r="AJ63" s="17"/>
      <c r="AK63" s="17"/>
      <c r="AL63" s="17"/>
      <c r="AM63" s="17"/>
      <c r="AN63" s="17"/>
      <c r="AO63" s="17"/>
      <c r="AP63" s="27"/>
    </row>
    <row r="64" spans="1:42">
      <c r="A64" s="27"/>
      <c r="B64" s="27"/>
      <c r="C64" s="27"/>
      <c r="D64" s="27"/>
      <c r="E64" s="27"/>
      <c r="F64" s="27"/>
      <c r="G64" s="27"/>
      <c r="H64" s="27"/>
      <c r="I64" s="27"/>
      <c r="J64" s="27"/>
      <c r="K64" s="27"/>
      <c r="L64" s="27"/>
      <c r="M64" s="27"/>
      <c r="N64" s="27"/>
      <c r="O64" s="27"/>
      <c r="P64" s="27"/>
      <c r="Q64" s="27"/>
      <c r="R64" s="17"/>
      <c r="S64" s="17"/>
      <c r="T64" s="17"/>
      <c r="U64" s="17"/>
      <c r="V64" s="17"/>
      <c r="W64" s="17"/>
      <c r="X64" s="17"/>
      <c r="Y64" s="17"/>
      <c r="Z64" s="17"/>
      <c r="AA64" s="17"/>
      <c r="AB64" s="17"/>
      <c r="AC64" s="17"/>
      <c r="AD64" s="17"/>
      <c r="AE64" s="17"/>
      <c r="AF64" s="17">
        <v>8.7499999992360245</v>
      </c>
      <c r="AG64" s="17">
        <v>0.19760833012114573</v>
      </c>
      <c r="AH64" s="17"/>
      <c r="AI64" s="17"/>
      <c r="AJ64" s="17"/>
      <c r="AK64" s="17"/>
      <c r="AL64" s="17"/>
      <c r="AM64" s="17"/>
      <c r="AN64" s="17"/>
      <c r="AO64" s="17"/>
      <c r="AP64" s="27"/>
    </row>
    <row r="65" spans="1:42">
      <c r="A65" s="27"/>
      <c r="B65" s="27"/>
      <c r="C65" s="27"/>
      <c r="D65" s="27"/>
      <c r="E65" s="27"/>
      <c r="F65" s="27"/>
      <c r="G65" s="27"/>
      <c r="H65" s="27"/>
      <c r="I65" s="27"/>
      <c r="J65" s="27"/>
      <c r="K65" s="27"/>
      <c r="L65" s="27"/>
      <c r="M65" s="27"/>
      <c r="N65" s="27"/>
      <c r="O65" s="27"/>
      <c r="P65" s="27"/>
      <c r="Q65" s="27"/>
      <c r="R65" s="17"/>
      <c r="S65" s="17"/>
      <c r="T65" s="17"/>
      <c r="U65" s="17"/>
      <c r="V65" s="17"/>
      <c r="W65" s="17"/>
      <c r="X65" s="17"/>
      <c r="Y65" s="17"/>
      <c r="Z65" s="17"/>
      <c r="AA65" s="17"/>
      <c r="AB65" s="17"/>
      <c r="AC65" s="17"/>
      <c r="AD65" s="17"/>
      <c r="AE65" s="17"/>
      <c r="AF65" s="17">
        <v>8.9166666658881386</v>
      </c>
      <c r="AG65" s="17">
        <v>0.23236967615874882</v>
      </c>
      <c r="AH65" s="17"/>
      <c r="AI65" s="17"/>
      <c r="AJ65" s="17"/>
      <c r="AK65" s="17"/>
      <c r="AL65" s="17"/>
      <c r="AM65" s="17"/>
      <c r="AN65" s="17"/>
      <c r="AO65" s="17"/>
      <c r="AP65" s="27"/>
    </row>
    <row r="66" spans="1:42">
      <c r="A66" s="27"/>
      <c r="B66" s="27"/>
      <c r="C66" s="27"/>
      <c r="D66" s="27"/>
      <c r="E66" s="27"/>
      <c r="F66" s="27"/>
      <c r="G66" s="27"/>
      <c r="H66" s="27"/>
      <c r="I66" s="27"/>
      <c r="J66" s="27"/>
      <c r="K66" s="27"/>
      <c r="L66" s="27"/>
      <c r="M66" s="27"/>
      <c r="N66" s="27"/>
      <c r="O66" s="27"/>
      <c r="P66" s="27"/>
      <c r="Q66" s="27"/>
      <c r="R66" s="17"/>
      <c r="S66" s="17"/>
      <c r="T66" s="17"/>
      <c r="U66" s="17"/>
      <c r="V66" s="17"/>
      <c r="W66" s="17"/>
      <c r="X66" s="17"/>
      <c r="Y66" s="17"/>
      <c r="Z66" s="17"/>
      <c r="AA66" s="17"/>
      <c r="AB66" s="17"/>
      <c r="AC66" s="17"/>
      <c r="AD66" s="17"/>
      <c r="AE66" s="17"/>
      <c r="AF66" s="17">
        <v>9.0833333325402528</v>
      </c>
      <c r="AG66" s="17">
        <v>0.32795836615556778</v>
      </c>
      <c r="AH66" s="17"/>
      <c r="AI66" s="17"/>
      <c r="AJ66" s="17"/>
      <c r="AK66" s="17"/>
      <c r="AL66" s="17"/>
      <c r="AM66" s="17"/>
      <c r="AN66" s="17"/>
      <c r="AO66" s="17"/>
      <c r="AP66" s="27"/>
    </row>
    <row r="67" spans="1:42">
      <c r="A67" s="27"/>
      <c r="B67" s="27"/>
      <c r="C67" s="27"/>
      <c r="D67" s="27"/>
      <c r="E67" s="27"/>
      <c r="F67" s="27"/>
      <c r="G67" s="27"/>
      <c r="H67" s="27"/>
      <c r="I67" s="27"/>
      <c r="J67" s="27"/>
      <c r="K67" s="27"/>
      <c r="L67" s="27"/>
      <c r="M67" s="27"/>
      <c r="N67" s="27"/>
      <c r="O67" s="27"/>
      <c r="P67" s="27"/>
      <c r="Q67" s="27"/>
      <c r="R67" s="17"/>
      <c r="S67" s="17"/>
      <c r="T67" s="17"/>
      <c r="U67" s="17"/>
      <c r="V67" s="17"/>
      <c r="W67" s="17"/>
      <c r="X67" s="17"/>
      <c r="Y67" s="17"/>
      <c r="Z67" s="17"/>
      <c r="AA67" s="17"/>
      <c r="AB67" s="17"/>
      <c r="AC67" s="17"/>
      <c r="AD67" s="17"/>
      <c r="AE67" s="17"/>
      <c r="AF67" s="17">
        <v>9.2499999991923687</v>
      </c>
      <c r="AG67" s="17">
        <v>0.53079586060204731</v>
      </c>
      <c r="AH67" s="17"/>
      <c r="AI67" s="17"/>
      <c r="AJ67" s="17"/>
      <c r="AK67" s="17"/>
      <c r="AL67" s="17"/>
      <c r="AM67" s="17"/>
      <c r="AN67" s="17"/>
      <c r="AO67" s="17"/>
      <c r="AP67" s="27"/>
    </row>
    <row r="68" spans="1:42">
      <c r="A68" s="27"/>
      <c r="B68" s="27"/>
      <c r="C68" s="27"/>
      <c r="D68" s="27"/>
      <c r="E68" s="27"/>
      <c r="F68" s="27"/>
      <c r="G68" s="27"/>
      <c r="H68" s="27"/>
      <c r="I68" s="27"/>
      <c r="J68" s="27"/>
      <c r="K68" s="27"/>
      <c r="L68" s="27"/>
      <c r="M68" s="27"/>
      <c r="N68" s="27"/>
      <c r="O68" s="27"/>
      <c r="P68" s="27"/>
      <c r="Q68" s="27"/>
      <c r="R68" s="17"/>
      <c r="S68" s="17"/>
      <c r="T68" s="17"/>
      <c r="U68" s="17"/>
      <c r="V68" s="17"/>
      <c r="W68" s="17"/>
      <c r="X68" s="17"/>
      <c r="Y68" s="17"/>
      <c r="Z68" s="17"/>
      <c r="AA68" s="17"/>
      <c r="AB68" s="17"/>
      <c r="AC68" s="17"/>
      <c r="AD68" s="17"/>
      <c r="AE68" s="17"/>
      <c r="AF68" s="17">
        <v>9.4166666658444829</v>
      </c>
      <c r="AG68" s="17">
        <v>0.8420478352269879</v>
      </c>
      <c r="AH68" s="17"/>
      <c r="AI68" s="17"/>
      <c r="AJ68" s="17"/>
      <c r="AK68" s="17"/>
      <c r="AL68" s="17"/>
      <c r="AM68" s="17"/>
      <c r="AN68" s="17"/>
      <c r="AO68" s="17"/>
      <c r="AP68" s="27"/>
    </row>
    <row r="69" spans="1:42">
      <c r="A69" s="27"/>
      <c r="B69" s="27"/>
      <c r="C69" s="27"/>
      <c r="D69" s="27"/>
      <c r="E69" s="27"/>
      <c r="F69" s="27"/>
      <c r="G69" s="27"/>
      <c r="H69" s="27"/>
      <c r="I69" s="27"/>
      <c r="J69" s="27"/>
      <c r="K69" s="27"/>
      <c r="L69" s="27"/>
      <c r="M69" s="27"/>
      <c r="N69" s="27"/>
      <c r="O69" s="27"/>
      <c r="P69" s="27"/>
      <c r="Q69" s="27"/>
      <c r="R69" s="17"/>
      <c r="S69" s="17"/>
      <c r="T69" s="17"/>
      <c r="U69" s="17"/>
      <c r="V69" s="17"/>
      <c r="W69" s="17"/>
      <c r="X69" s="17"/>
      <c r="Y69" s="17"/>
      <c r="Z69" s="17"/>
      <c r="AA69" s="17"/>
      <c r="AB69" s="17"/>
      <c r="AC69" s="17"/>
      <c r="AD69" s="17"/>
      <c r="AE69" s="17"/>
      <c r="AF69" s="17">
        <v>9.583333332496597</v>
      </c>
      <c r="AG69" s="17">
        <v>1.2593830244773367</v>
      </c>
      <c r="AH69" s="17"/>
      <c r="AI69" s="17"/>
      <c r="AJ69" s="17"/>
      <c r="AK69" s="17"/>
      <c r="AL69" s="17"/>
      <c r="AM69" s="17"/>
      <c r="AN69" s="17"/>
      <c r="AO69" s="17"/>
      <c r="AP69" s="27"/>
    </row>
    <row r="70" spans="1:42">
      <c r="A70" s="27"/>
      <c r="B70" s="27"/>
      <c r="C70" s="27"/>
      <c r="D70" s="27"/>
      <c r="E70" s="27"/>
      <c r="F70" s="27"/>
      <c r="G70" s="27"/>
      <c r="H70" s="27"/>
      <c r="I70" s="27"/>
      <c r="J70" s="27"/>
      <c r="K70" s="27"/>
      <c r="L70" s="27"/>
      <c r="M70" s="27"/>
      <c r="N70" s="27"/>
      <c r="O70" s="27"/>
      <c r="P70" s="27"/>
      <c r="Q70" s="27"/>
      <c r="R70" s="17"/>
      <c r="S70" s="17"/>
      <c r="T70" s="17"/>
      <c r="U70" s="17"/>
      <c r="V70" s="17"/>
      <c r="W70" s="17"/>
      <c r="X70" s="17"/>
      <c r="Y70" s="17"/>
      <c r="Z70" s="17"/>
      <c r="AA70" s="17"/>
      <c r="AB70" s="17"/>
      <c r="AC70" s="17"/>
      <c r="AD70" s="17"/>
      <c r="AE70" s="17"/>
      <c r="AF70" s="17">
        <v>9.749999999148713</v>
      </c>
      <c r="AG70" s="17">
        <v>1.826495888656358</v>
      </c>
      <c r="AH70" s="17"/>
      <c r="AI70" s="17"/>
      <c r="AJ70" s="17"/>
      <c r="AK70" s="17"/>
      <c r="AL70" s="17"/>
      <c r="AM70" s="17"/>
      <c r="AN70" s="17"/>
      <c r="AO70" s="17"/>
      <c r="AP70" s="27"/>
    </row>
    <row r="71" spans="1:42">
      <c r="A71" s="27"/>
      <c r="B71" s="27"/>
      <c r="C71" s="27"/>
      <c r="D71" s="27"/>
      <c r="E71" s="27"/>
      <c r="F71" s="27"/>
      <c r="G71" s="27"/>
      <c r="H71" s="27"/>
      <c r="I71" s="27"/>
      <c r="J71" s="27"/>
      <c r="K71" s="27"/>
      <c r="L71" s="27"/>
      <c r="M71" s="27"/>
      <c r="N71" s="27"/>
      <c r="O71" s="27"/>
      <c r="P71" s="27"/>
      <c r="Q71" s="27"/>
      <c r="R71" s="17"/>
      <c r="S71" s="17"/>
      <c r="T71" s="17"/>
      <c r="U71" s="17"/>
      <c r="V71" s="17"/>
      <c r="W71" s="17"/>
      <c r="X71" s="17"/>
      <c r="Y71" s="17"/>
      <c r="Z71" s="17"/>
      <c r="AA71" s="17"/>
      <c r="AB71" s="17"/>
      <c r="AC71" s="17"/>
      <c r="AD71" s="17"/>
      <c r="AE71" s="17"/>
      <c r="AF71" s="17">
        <v>9.9166666658008271</v>
      </c>
      <c r="AG71" s="17">
        <v>2.3964619072744928</v>
      </c>
      <c r="AH71" s="17"/>
      <c r="AI71" s="17"/>
      <c r="AJ71" s="17"/>
      <c r="AK71" s="17"/>
      <c r="AL71" s="17"/>
      <c r="AM71" s="17"/>
      <c r="AN71" s="17"/>
      <c r="AO71" s="17"/>
      <c r="AP71" s="27"/>
    </row>
    <row r="72" spans="1:42">
      <c r="A72" s="27"/>
      <c r="B72" s="27"/>
      <c r="C72" s="27"/>
      <c r="D72" s="27"/>
      <c r="E72" s="27"/>
      <c r="F72" s="27"/>
      <c r="G72" s="27"/>
      <c r="H72" s="27"/>
      <c r="I72" s="27"/>
      <c r="J72" s="27"/>
      <c r="K72" s="27"/>
      <c r="L72" s="27"/>
      <c r="M72" s="27"/>
      <c r="N72" s="27"/>
      <c r="O72" s="27"/>
      <c r="P72" s="27"/>
      <c r="Q72" s="27"/>
      <c r="R72" s="17"/>
      <c r="S72" s="17"/>
      <c r="T72" s="17"/>
      <c r="U72" s="17"/>
      <c r="V72" s="17"/>
      <c r="W72" s="17"/>
      <c r="X72" s="17"/>
      <c r="Y72" s="17"/>
      <c r="Z72" s="17"/>
      <c r="AA72" s="17"/>
      <c r="AB72" s="17"/>
      <c r="AC72" s="17"/>
      <c r="AD72" s="17"/>
      <c r="AE72" s="17"/>
      <c r="AF72" s="17">
        <v>10.083333332452941</v>
      </c>
      <c r="AG72" s="17">
        <v>2.4675417395465375</v>
      </c>
      <c r="AH72" s="17"/>
      <c r="AI72" s="17"/>
      <c r="AJ72" s="17"/>
      <c r="AK72" s="17"/>
      <c r="AL72" s="17"/>
      <c r="AM72" s="17"/>
      <c r="AN72" s="17"/>
      <c r="AO72" s="17"/>
      <c r="AP72" s="27"/>
    </row>
    <row r="73" spans="1:42">
      <c r="A73" s="27"/>
      <c r="B73" s="27"/>
      <c r="C73" s="27"/>
      <c r="D73" s="27"/>
      <c r="E73" s="27"/>
      <c r="F73" s="27"/>
      <c r="G73" s="27"/>
      <c r="H73" s="27"/>
      <c r="I73" s="27"/>
      <c r="J73" s="27"/>
      <c r="K73" s="27"/>
      <c r="L73" s="27"/>
      <c r="M73" s="27"/>
      <c r="N73" s="27"/>
      <c r="O73" s="27"/>
      <c r="P73" s="27"/>
      <c r="Q73" s="27"/>
      <c r="R73" s="17"/>
      <c r="S73" s="17"/>
      <c r="T73" s="17"/>
      <c r="U73" s="17"/>
      <c r="V73" s="17"/>
      <c r="W73" s="17"/>
      <c r="X73" s="17"/>
      <c r="Y73" s="17"/>
      <c r="Z73" s="17"/>
      <c r="AA73" s="17"/>
      <c r="AB73" s="17"/>
      <c r="AC73" s="17"/>
      <c r="AD73" s="17"/>
      <c r="AE73" s="17"/>
      <c r="AF73" s="17">
        <v>10.249999999105057</v>
      </c>
      <c r="AG73" s="17">
        <v>1.8842722453797238</v>
      </c>
      <c r="AH73" s="17"/>
      <c r="AI73" s="17"/>
      <c r="AJ73" s="17"/>
      <c r="AK73" s="17"/>
      <c r="AL73" s="17"/>
      <c r="AM73" s="17"/>
      <c r="AN73" s="17"/>
      <c r="AO73" s="17"/>
      <c r="AP73" s="27"/>
    </row>
    <row r="74" spans="1:42">
      <c r="A74" s="27"/>
      <c r="B74" s="27"/>
      <c r="C74" s="27"/>
      <c r="D74" s="27"/>
      <c r="E74" s="27"/>
      <c r="F74" s="27"/>
      <c r="G74" s="27"/>
      <c r="H74" s="27"/>
      <c r="I74" s="27"/>
      <c r="J74" s="27"/>
      <c r="K74" s="27"/>
      <c r="L74" s="27"/>
      <c r="M74" s="27"/>
      <c r="N74" s="27"/>
      <c r="O74" s="27"/>
      <c r="P74" s="27"/>
      <c r="Q74" s="27"/>
      <c r="R74" s="17"/>
      <c r="S74" s="17"/>
      <c r="T74" s="17"/>
      <c r="U74" s="17"/>
      <c r="V74" s="17"/>
      <c r="W74" s="17"/>
      <c r="X74" s="17"/>
      <c r="Y74" s="17"/>
      <c r="Z74" s="17"/>
      <c r="AA74" s="17"/>
      <c r="AB74" s="17"/>
      <c r="AC74" s="17"/>
      <c r="AD74" s="17"/>
      <c r="AE74" s="17"/>
      <c r="AF74" s="17">
        <v>10.416666665757171</v>
      </c>
      <c r="AG74" s="17">
        <v>1.3087855288571792</v>
      </c>
      <c r="AH74" s="17"/>
      <c r="AI74" s="17"/>
      <c r="AJ74" s="17"/>
      <c r="AK74" s="17"/>
      <c r="AL74" s="17"/>
      <c r="AM74" s="17"/>
      <c r="AN74" s="17"/>
      <c r="AO74" s="17"/>
      <c r="AP74" s="27"/>
    </row>
    <row r="75" spans="1:42">
      <c r="A75" s="27"/>
      <c r="B75" s="27"/>
      <c r="C75" s="27"/>
      <c r="D75" s="27"/>
      <c r="E75" s="27"/>
      <c r="F75" s="27"/>
      <c r="G75" s="27"/>
      <c r="H75" s="27"/>
      <c r="I75" s="27"/>
      <c r="J75" s="27"/>
      <c r="K75" s="27"/>
      <c r="L75" s="27"/>
      <c r="M75" s="27"/>
      <c r="N75" s="27"/>
      <c r="O75" s="27"/>
      <c r="P75" s="27"/>
      <c r="Q75" s="27"/>
      <c r="R75" s="17"/>
      <c r="S75" s="17"/>
      <c r="T75" s="17"/>
      <c r="U75" s="17"/>
      <c r="V75" s="17"/>
      <c r="W75" s="17"/>
      <c r="X75" s="17"/>
      <c r="Y75" s="17"/>
      <c r="Z75" s="17"/>
      <c r="AA75" s="17"/>
      <c r="AB75" s="17"/>
      <c r="AC75" s="17"/>
      <c r="AD75" s="17"/>
      <c r="AE75" s="17"/>
      <c r="AF75" s="17">
        <v>10.583333332409286</v>
      </c>
      <c r="AG75" s="17">
        <v>0.921572568866873</v>
      </c>
      <c r="AH75" s="17"/>
      <c r="AI75" s="17"/>
      <c r="AJ75" s="17"/>
      <c r="AK75" s="17"/>
      <c r="AL75" s="17"/>
      <c r="AM75" s="17"/>
      <c r="AN75" s="17"/>
      <c r="AO75" s="17"/>
      <c r="AP75" s="27"/>
    </row>
    <row r="76" spans="1:42">
      <c r="A76" s="27"/>
      <c r="B76" s="27"/>
      <c r="C76" s="27"/>
      <c r="D76" s="27"/>
      <c r="E76" s="27"/>
      <c r="F76" s="27"/>
      <c r="G76" s="27"/>
      <c r="H76" s="27"/>
      <c r="I76" s="27"/>
      <c r="J76" s="27"/>
      <c r="K76" s="27"/>
      <c r="L76" s="27"/>
      <c r="M76" s="27"/>
      <c r="N76" s="27"/>
      <c r="O76" s="27"/>
      <c r="P76" s="27"/>
      <c r="Q76" s="27"/>
      <c r="R76" s="17"/>
      <c r="S76" s="17"/>
      <c r="T76" s="17"/>
      <c r="U76" s="17"/>
      <c r="V76" s="17"/>
      <c r="W76" s="17"/>
      <c r="X76" s="17"/>
      <c r="Y76" s="17"/>
      <c r="Z76" s="17"/>
      <c r="AA76" s="17"/>
      <c r="AB76" s="17"/>
      <c r="AC76" s="17"/>
      <c r="AD76" s="17"/>
      <c r="AE76" s="17"/>
      <c r="AF76" s="17">
        <v>10.749999999061401</v>
      </c>
      <c r="AG76" s="17">
        <v>0.70149690203552661</v>
      </c>
      <c r="AH76" s="17"/>
      <c r="AI76" s="17"/>
      <c r="AJ76" s="17"/>
      <c r="AK76" s="17"/>
      <c r="AL76" s="17"/>
      <c r="AM76" s="17"/>
      <c r="AN76" s="17"/>
      <c r="AO76" s="17"/>
      <c r="AP76" s="27"/>
    </row>
    <row r="77" spans="1:42">
      <c r="A77" s="27"/>
      <c r="B77" s="27"/>
      <c r="C77" s="27"/>
      <c r="D77" s="27"/>
      <c r="E77" s="27"/>
      <c r="F77" s="27"/>
      <c r="G77" s="27"/>
      <c r="H77" s="27"/>
      <c r="I77" s="27"/>
      <c r="J77" s="27"/>
      <c r="K77" s="27"/>
      <c r="L77" s="27"/>
      <c r="M77" s="27"/>
      <c r="N77" s="27"/>
      <c r="O77" s="27"/>
      <c r="P77" s="27"/>
      <c r="Q77" s="27"/>
      <c r="R77" s="17"/>
      <c r="S77" s="17"/>
      <c r="T77" s="17"/>
      <c r="U77" s="17"/>
      <c r="V77" s="17"/>
      <c r="W77" s="17"/>
      <c r="X77" s="17"/>
      <c r="Y77" s="17"/>
      <c r="Z77" s="17"/>
      <c r="AA77" s="17"/>
      <c r="AB77" s="17"/>
      <c r="AC77" s="17"/>
      <c r="AD77" s="17"/>
      <c r="AE77" s="17"/>
      <c r="AF77" s="17">
        <v>10.916666665713516</v>
      </c>
      <c r="AG77" s="17">
        <v>0.60130068344842647</v>
      </c>
      <c r="AH77" s="17"/>
      <c r="AI77" s="17"/>
      <c r="AJ77" s="17"/>
      <c r="AK77" s="17"/>
      <c r="AL77" s="17"/>
      <c r="AM77" s="17"/>
      <c r="AN77" s="17"/>
      <c r="AO77" s="17"/>
      <c r="AP77" s="27"/>
    </row>
    <row r="78" spans="1:42">
      <c r="A78" s="27"/>
      <c r="B78" s="27"/>
      <c r="C78" s="27"/>
      <c r="D78" s="27"/>
      <c r="E78" s="27"/>
      <c r="F78" s="27"/>
      <c r="G78" s="27"/>
      <c r="H78" s="27"/>
      <c r="I78" s="27"/>
      <c r="J78" s="27"/>
      <c r="K78" s="27"/>
      <c r="L78" s="27"/>
      <c r="M78" s="27"/>
      <c r="N78" s="27"/>
      <c r="O78" s="27"/>
      <c r="P78" s="27"/>
      <c r="Q78" s="27"/>
      <c r="R78" s="17"/>
      <c r="S78" s="17"/>
      <c r="T78" s="17"/>
      <c r="U78" s="17"/>
      <c r="V78" s="17"/>
      <c r="W78" s="17"/>
      <c r="X78" s="17"/>
      <c r="Y78" s="17"/>
      <c r="Z78" s="17"/>
      <c r="AA78" s="17"/>
      <c r="AB78" s="17"/>
      <c r="AC78" s="17"/>
      <c r="AD78" s="17"/>
      <c r="AE78" s="17"/>
      <c r="AF78" s="17">
        <v>11.08333333236563</v>
      </c>
      <c r="AG78" s="17">
        <v>0.51132573932293945</v>
      </c>
      <c r="AH78" s="17"/>
      <c r="AI78" s="17"/>
      <c r="AJ78" s="17"/>
      <c r="AK78" s="17"/>
      <c r="AL78" s="17"/>
      <c r="AM78" s="17"/>
      <c r="AN78" s="17"/>
      <c r="AO78" s="17"/>
      <c r="AP78" s="27"/>
    </row>
    <row r="79" spans="1:42">
      <c r="A79" s="27"/>
      <c r="B79" s="27"/>
      <c r="C79" s="27"/>
      <c r="D79" s="27"/>
      <c r="E79" s="27"/>
      <c r="F79" s="27"/>
      <c r="G79" s="27"/>
      <c r="H79" s="27"/>
      <c r="I79" s="27"/>
      <c r="J79" s="27"/>
      <c r="K79" s="27"/>
      <c r="L79" s="27"/>
      <c r="M79" s="27"/>
      <c r="N79" s="27"/>
      <c r="O79" s="27"/>
      <c r="P79" s="27"/>
      <c r="Q79" s="27"/>
      <c r="R79" s="17"/>
      <c r="S79" s="17"/>
      <c r="T79" s="17"/>
      <c r="U79" s="17"/>
      <c r="V79" s="17"/>
      <c r="W79" s="17"/>
      <c r="X79" s="17"/>
      <c r="Y79" s="17"/>
      <c r="Z79" s="17"/>
      <c r="AA79" s="17"/>
      <c r="AB79" s="17"/>
      <c r="AC79" s="17"/>
      <c r="AD79" s="17"/>
      <c r="AE79" s="17"/>
      <c r="AF79" s="17">
        <v>11.249999999017746</v>
      </c>
      <c r="AG79" s="17">
        <v>0.40841060685393238</v>
      </c>
      <c r="AH79" s="17"/>
      <c r="AI79" s="17"/>
      <c r="AJ79" s="17"/>
      <c r="AK79" s="17"/>
      <c r="AL79" s="17"/>
      <c r="AM79" s="17"/>
      <c r="AN79" s="17"/>
      <c r="AO79" s="17"/>
      <c r="AP79" s="27"/>
    </row>
    <row r="80" spans="1:42">
      <c r="A80" s="27"/>
      <c r="B80" s="27"/>
      <c r="C80" s="27"/>
      <c r="D80" s="27"/>
      <c r="E80" s="27"/>
      <c r="F80" s="27"/>
      <c r="G80" s="27"/>
      <c r="H80" s="27"/>
      <c r="I80" s="27"/>
      <c r="J80" s="27"/>
      <c r="K80" s="27"/>
      <c r="L80" s="27"/>
      <c r="M80" s="27"/>
      <c r="N80" s="27"/>
      <c r="O80" s="27"/>
      <c r="P80" s="27"/>
      <c r="Q80" s="27"/>
      <c r="R80" s="17"/>
      <c r="S80" s="17"/>
      <c r="T80" s="17"/>
      <c r="U80" s="17"/>
      <c r="V80" s="17"/>
      <c r="W80" s="17"/>
      <c r="X80" s="17"/>
      <c r="Y80" s="17"/>
      <c r="Z80" s="17"/>
      <c r="AA80" s="17"/>
      <c r="AB80" s="17"/>
      <c r="AC80" s="17"/>
      <c r="AD80" s="17"/>
      <c r="AE80" s="17"/>
      <c r="AF80" s="17">
        <v>11.41666666566986</v>
      </c>
      <c r="AG80" s="17">
        <v>0.30917598783804112</v>
      </c>
      <c r="AH80" s="17"/>
      <c r="AI80" s="17"/>
      <c r="AJ80" s="17"/>
      <c r="AK80" s="17"/>
      <c r="AL80" s="17"/>
      <c r="AM80" s="17"/>
      <c r="AN80" s="17"/>
      <c r="AO80" s="17"/>
      <c r="AP80" s="27"/>
    </row>
    <row r="81" spans="1:42">
      <c r="A81" s="27"/>
      <c r="B81" s="27"/>
      <c r="C81" s="27"/>
      <c r="D81" s="27"/>
      <c r="E81" s="27"/>
      <c r="F81" s="27"/>
      <c r="G81" s="27"/>
      <c r="H81" s="27"/>
      <c r="I81" s="27"/>
      <c r="J81" s="27"/>
      <c r="K81" s="27"/>
      <c r="L81" s="27"/>
      <c r="M81" s="27"/>
      <c r="N81" s="27"/>
      <c r="O81" s="27"/>
      <c r="P81" s="27"/>
      <c r="Q81" s="27"/>
      <c r="R81" s="17"/>
      <c r="S81" s="17"/>
      <c r="T81" s="17"/>
      <c r="U81" s="17"/>
      <c r="V81" s="17"/>
      <c r="W81" s="17"/>
      <c r="X81" s="17"/>
      <c r="Y81" s="17"/>
      <c r="Z81" s="17"/>
      <c r="AA81" s="17"/>
      <c r="AB81" s="17"/>
      <c r="AC81" s="17"/>
      <c r="AD81" s="17"/>
      <c r="AE81" s="17"/>
      <c r="AF81" s="17">
        <v>11.583333332321974</v>
      </c>
      <c r="AG81" s="17">
        <v>0.23963659806365117</v>
      </c>
      <c r="AH81" s="17"/>
      <c r="AI81" s="17"/>
      <c r="AJ81" s="17"/>
      <c r="AK81" s="17"/>
      <c r="AL81" s="17"/>
      <c r="AM81" s="17"/>
      <c r="AN81" s="17"/>
      <c r="AO81" s="17"/>
      <c r="AP81" s="27"/>
    </row>
    <row r="82" spans="1:42">
      <c r="A82" s="27"/>
      <c r="B82" s="27"/>
      <c r="C82" s="27"/>
      <c r="D82" s="27"/>
      <c r="E82" s="27"/>
      <c r="F82" s="27"/>
      <c r="G82" s="27"/>
      <c r="H82" s="27"/>
      <c r="I82" s="27"/>
      <c r="J82" s="27"/>
      <c r="K82" s="27"/>
      <c r="L82" s="27"/>
      <c r="M82" s="27"/>
      <c r="N82" s="27"/>
      <c r="O82" s="27"/>
      <c r="P82" s="27"/>
      <c r="Q82" s="27"/>
      <c r="R82" s="17"/>
      <c r="S82" s="17"/>
      <c r="T82" s="17"/>
      <c r="U82" s="17"/>
      <c r="V82" s="17"/>
      <c r="W82" s="17"/>
      <c r="X82" s="17"/>
      <c r="Y82" s="17"/>
      <c r="Z82" s="17"/>
      <c r="AA82" s="17"/>
      <c r="AB82" s="17"/>
      <c r="AC82" s="17"/>
      <c r="AD82" s="17"/>
      <c r="AE82" s="17"/>
      <c r="AF82" s="17">
        <v>11.74999999897409</v>
      </c>
      <c r="AG82" s="17">
        <v>0.20206005164477692</v>
      </c>
      <c r="AH82" s="17"/>
      <c r="AI82" s="17"/>
      <c r="AJ82" s="17"/>
      <c r="AK82" s="17"/>
      <c r="AL82" s="17"/>
      <c r="AM82" s="17"/>
      <c r="AN82" s="17"/>
      <c r="AO82" s="17"/>
      <c r="AP82" s="27"/>
    </row>
    <row r="83" spans="1:42">
      <c r="A83" s="27"/>
      <c r="B83" s="27"/>
      <c r="C83" s="27"/>
      <c r="D83" s="27"/>
      <c r="E83" s="27"/>
      <c r="F83" s="27"/>
      <c r="G83" s="27"/>
      <c r="H83" s="27"/>
      <c r="I83" s="27"/>
      <c r="J83" s="27"/>
      <c r="K83" s="27"/>
      <c r="L83" s="27"/>
      <c r="M83" s="27"/>
      <c r="N83" s="27"/>
      <c r="O83" s="27"/>
      <c r="P83" s="27"/>
      <c r="Q83" s="27"/>
      <c r="R83" s="17"/>
      <c r="S83" s="17"/>
      <c r="T83" s="17"/>
      <c r="U83" s="17"/>
      <c r="V83" s="17"/>
      <c r="W83" s="17"/>
      <c r="X83" s="17"/>
      <c r="Y83" s="17"/>
      <c r="Z83" s="17"/>
      <c r="AA83" s="17"/>
      <c r="AB83" s="17"/>
      <c r="AC83" s="17"/>
      <c r="AD83" s="17"/>
      <c r="AE83" s="17"/>
      <c r="AF83" s="17">
        <v>11.916666665626204</v>
      </c>
      <c r="AG83" s="17">
        <v>0.1963004492861376</v>
      </c>
      <c r="AH83" s="17"/>
      <c r="AI83" s="17"/>
      <c r="AJ83" s="17"/>
      <c r="AK83" s="17"/>
      <c r="AL83" s="17"/>
      <c r="AM83" s="17"/>
      <c r="AN83" s="17"/>
      <c r="AO83" s="17"/>
      <c r="AP83" s="27"/>
    </row>
    <row r="84" spans="1:42">
      <c r="A84" s="27"/>
      <c r="B84" s="27"/>
      <c r="C84" s="27"/>
      <c r="D84" s="27"/>
      <c r="E84" s="27"/>
      <c r="F84" s="27"/>
      <c r="G84" s="27"/>
      <c r="H84" s="27"/>
      <c r="I84" s="27"/>
      <c r="J84" s="27"/>
      <c r="K84" s="27"/>
      <c r="L84" s="27"/>
      <c r="M84" s="27"/>
      <c r="N84" s="27"/>
      <c r="O84" s="27"/>
      <c r="P84" s="27"/>
      <c r="Q84" s="27"/>
      <c r="R84" s="17"/>
      <c r="S84" s="17"/>
      <c r="T84" s="17"/>
      <c r="U84" s="17"/>
      <c r="V84" s="17"/>
      <c r="W84" s="17"/>
      <c r="X84" s="17"/>
      <c r="Y84" s="17"/>
      <c r="Z84" s="17"/>
      <c r="AA84" s="17"/>
      <c r="AB84" s="17"/>
      <c r="AC84" s="17"/>
      <c r="AD84" s="17"/>
      <c r="AE84" s="17"/>
      <c r="AF84" s="17">
        <v>12.083333332278318</v>
      </c>
      <c r="AG84" s="17">
        <v>0.20933639749566119</v>
      </c>
      <c r="AH84" s="17"/>
      <c r="AI84" s="17"/>
      <c r="AJ84" s="17"/>
      <c r="AK84" s="17"/>
      <c r="AL84" s="17"/>
      <c r="AM84" s="17"/>
      <c r="AN84" s="17"/>
      <c r="AO84" s="17"/>
      <c r="AP84" s="27"/>
    </row>
    <row r="85" spans="1:42">
      <c r="A85" s="27"/>
      <c r="B85" s="27"/>
      <c r="C85" s="27"/>
      <c r="D85" s="27"/>
      <c r="E85" s="27"/>
      <c r="F85" s="27"/>
      <c r="G85" s="27"/>
      <c r="H85" s="27"/>
      <c r="I85" s="27"/>
      <c r="J85" s="27"/>
      <c r="K85" s="27"/>
      <c r="L85" s="27"/>
      <c r="M85" s="27"/>
      <c r="N85" s="27"/>
      <c r="O85" s="27"/>
      <c r="P85" s="27"/>
      <c r="Q85" s="27"/>
      <c r="R85" s="17"/>
      <c r="S85" s="17"/>
      <c r="T85" s="17"/>
      <c r="U85" s="17"/>
      <c r="V85" s="17"/>
      <c r="W85" s="17"/>
      <c r="X85" s="17"/>
      <c r="Y85" s="17"/>
      <c r="Z85" s="17"/>
      <c r="AA85" s="17"/>
      <c r="AB85" s="17"/>
      <c r="AC85" s="17"/>
      <c r="AD85" s="17"/>
      <c r="AE85" s="17"/>
      <c r="AF85" s="17">
        <v>12.249999998930434</v>
      </c>
      <c r="AG85" s="17">
        <v>0.21805115613761233</v>
      </c>
      <c r="AH85" s="17"/>
      <c r="AI85" s="17"/>
      <c r="AJ85" s="17"/>
      <c r="AK85" s="17"/>
      <c r="AL85" s="17"/>
      <c r="AM85" s="17"/>
      <c r="AN85" s="17"/>
      <c r="AO85" s="17"/>
      <c r="AP85" s="27"/>
    </row>
    <row r="86" spans="1:42">
      <c r="A86" s="27"/>
      <c r="B86" s="27"/>
      <c r="C86" s="27"/>
      <c r="D86" s="27"/>
      <c r="E86" s="27"/>
      <c r="F86" s="27"/>
      <c r="G86" s="27"/>
      <c r="H86" s="27"/>
      <c r="I86" s="27"/>
      <c r="J86" s="27"/>
      <c r="K86" s="27"/>
      <c r="L86" s="27"/>
      <c r="M86" s="27"/>
      <c r="N86" s="27"/>
      <c r="O86" s="27"/>
      <c r="P86" s="27"/>
      <c r="Q86" s="27"/>
      <c r="R86" s="17"/>
      <c r="S86" s="17"/>
      <c r="T86" s="17"/>
      <c r="U86" s="17"/>
      <c r="V86" s="17"/>
      <c r="W86" s="17"/>
      <c r="X86" s="17"/>
      <c r="Y86" s="17"/>
      <c r="Z86" s="17"/>
      <c r="AA86" s="17"/>
      <c r="AB86" s="17"/>
      <c r="AC86" s="17"/>
      <c r="AD86" s="17"/>
      <c r="AE86" s="17"/>
      <c r="AF86" s="17">
        <v>12.416666665582548</v>
      </c>
      <c r="AG86" s="17">
        <v>0.22006880548156704</v>
      </c>
      <c r="AH86" s="17"/>
      <c r="AI86" s="17"/>
      <c r="AJ86" s="17"/>
      <c r="AK86" s="17"/>
      <c r="AL86" s="17"/>
      <c r="AM86" s="17"/>
      <c r="AN86" s="17"/>
      <c r="AO86" s="17"/>
      <c r="AP86" s="27"/>
    </row>
    <row r="87" spans="1:42">
      <c r="A87" s="27"/>
      <c r="B87" s="27"/>
      <c r="C87" s="27"/>
      <c r="D87" s="27"/>
      <c r="E87" s="27"/>
      <c r="F87" s="27"/>
      <c r="G87" s="27"/>
      <c r="H87" s="27"/>
      <c r="I87" s="27"/>
      <c r="J87" s="27"/>
      <c r="K87" s="27"/>
      <c r="L87" s="27"/>
      <c r="M87" s="27"/>
      <c r="N87" s="27"/>
      <c r="O87" s="27"/>
      <c r="P87" s="27"/>
      <c r="Q87" s="27"/>
      <c r="R87" s="17"/>
      <c r="S87" s="17"/>
      <c r="T87" s="17"/>
      <c r="U87" s="17"/>
      <c r="V87" s="17"/>
      <c r="W87" s="17"/>
      <c r="X87" s="17"/>
      <c r="Y87" s="17"/>
      <c r="Z87" s="17"/>
      <c r="AA87" s="17"/>
      <c r="AB87" s="17"/>
      <c r="AC87" s="17"/>
      <c r="AD87" s="17"/>
      <c r="AE87" s="17"/>
      <c r="AF87" s="17">
        <v>12.583333332234663</v>
      </c>
      <c r="AG87" s="17">
        <v>0.21538934552754307</v>
      </c>
      <c r="AH87" s="17"/>
      <c r="AI87" s="17"/>
      <c r="AJ87" s="17"/>
      <c r="AK87" s="17"/>
      <c r="AL87" s="17"/>
      <c r="AM87" s="17"/>
      <c r="AN87" s="17"/>
      <c r="AO87" s="17"/>
      <c r="AP87" s="27"/>
    </row>
    <row r="88" spans="1:42">
      <c r="A88" s="27"/>
      <c r="B88" s="27"/>
      <c r="C88" s="27"/>
      <c r="D88" s="27"/>
      <c r="E88" s="27"/>
      <c r="F88" s="27"/>
      <c r="G88" s="27"/>
      <c r="H88" s="27"/>
      <c r="I88" s="27"/>
      <c r="J88" s="27"/>
      <c r="K88" s="27"/>
      <c r="L88" s="27"/>
      <c r="M88" s="27"/>
      <c r="N88" s="27"/>
      <c r="O88" s="27"/>
      <c r="P88" s="27"/>
      <c r="Q88" s="27"/>
      <c r="R88" s="17"/>
      <c r="S88" s="17"/>
      <c r="T88" s="17"/>
      <c r="U88" s="17"/>
      <c r="V88" s="17"/>
      <c r="W88" s="17"/>
      <c r="X88" s="17"/>
      <c r="Y88" s="17"/>
      <c r="Z88" s="17"/>
      <c r="AA88" s="17"/>
      <c r="AB88" s="17"/>
      <c r="AC88" s="17"/>
      <c r="AD88" s="17"/>
      <c r="AE88" s="17"/>
      <c r="AF88" s="17">
        <v>12.749999998886778</v>
      </c>
      <c r="AG88" s="17">
        <v>0.20401277627554401</v>
      </c>
      <c r="AH88" s="17"/>
      <c r="AI88" s="17"/>
      <c r="AJ88" s="17"/>
      <c r="AK88" s="17"/>
      <c r="AL88" s="17"/>
      <c r="AM88" s="17"/>
      <c r="AN88" s="17"/>
      <c r="AO88" s="17"/>
      <c r="AP88" s="27"/>
    </row>
    <row r="89" spans="1:42">
      <c r="A89" s="27"/>
      <c r="B89" s="27"/>
      <c r="C89" s="27"/>
      <c r="D89" s="27"/>
      <c r="E89" s="27"/>
      <c r="F89" s="27"/>
      <c r="G89" s="27"/>
      <c r="H89" s="27"/>
      <c r="I89" s="27"/>
      <c r="J89" s="27"/>
      <c r="K89" s="27"/>
      <c r="L89" s="27"/>
      <c r="M89" s="27"/>
      <c r="N89" s="27"/>
      <c r="O89" s="27"/>
      <c r="P89" s="27"/>
      <c r="Q89" s="27"/>
      <c r="R89" s="17"/>
      <c r="S89" s="17"/>
      <c r="T89" s="17"/>
      <c r="U89" s="17"/>
      <c r="V89" s="17"/>
      <c r="W89" s="17"/>
      <c r="X89" s="17"/>
      <c r="Y89" s="17"/>
      <c r="Z89" s="17"/>
      <c r="AA89" s="17"/>
      <c r="AB89" s="17"/>
      <c r="AC89" s="17"/>
      <c r="AD89" s="17"/>
      <c r="AE89" s="17"/>
      <c r="AF89" s="17">
        <v>12.916666665538893</v>
      </c>
      <c r="AG89" s="17">
        <v>0.18608739878924188</v>
      </c>
      <c r="AH89" s="17"/>
      <c r="AI89" s="17"/>
      <c r="AJ89" s="17"/>
      <c r="AK89" s="17"/>
      <c r="AL89" s="17"/>
      <c r="AM89" s="17"/>
      <c r="AN89" s="17"/>
      <c r="AO89" s="17"/>
      <c r="AP89" s="27"/>
    </row>
    <row r="90" spans="1:42">
      <c r="A90" s="27"/>
      <c r="B90" s="27"/>
      <c r="C90" s="27"/>
      <c r="D90" s="27"/>
      <c r="E90" s="27"/>
      <c r="F90" s="27"/>
      <c r="G90" s="27"/>
      <c r="H90" s="27"/>
      <c r="I90" s="27"/>
      <c r="J90" s="27"/>
      <c r="K90" s="27"/>
      <c r="L90" s="27"/>
      <c r="M90" s="27"/>
      <c r="N90" s="27"/>
      <c r="O90" s="27"/>
      <c r="P90" s="27"/>
      <c r="Q90" s="27"/>
      <c r="R90" s="17"/>
      <c r="S90" s="17"/>
      <c r="T90" s="17"/>
      <c r="U90" s="17"/>
      <c r="V90" s="17"/>
      <c r="W90" s="17"/>
      <c r="X90" s="17"/>
      <c r="Y90" s="17"/>
      <c r="Z90" s="17"/>
      <c r="AA90" s="17"/>
      <c r="AB90" s="17"/>
      <c r="AC90" s="17"/>
      <c r="AD90" s="17"/>
      <c r="AE90" s="17"/>
      <c r="AF90" s="17">
        <v>13.083333332191007</v>
      </c>
      <c r="AG90" s="17">
        <v>0.16605208387032477</v>
      </c>
      <c r="AH90" s="17"/>
      <c r="AI90" s="17"/>
      <c r="AJ90" s="17"/>
      <c r="AK90" s="17"/>
      <c r="AL90" s="17"/>
      <c r="AM90" s="17"/>
      <c r="AN90" s="17"/>
      <c r="AO90" s="17"/>
      <c r="AP90" s="27"/>
    </row>
    <row r="91" spans="1:42">
      <c r="A91" s="27"/>
      <c r="B91" s="27"/>
      <c r="C91" s="27"/>
      <c r="D91" s="27"/>
      <c r="E91" s="27"/>
      <c r="F91" s="27"/>
      <c r="G91" s="27"/>
      <c r="H91" s="27"/>
      <c r="I91" s="27"/>
      <c r="J91" s="27"/>
      <c r="K91" s="27"/>
      <c r="L91" s="27"/>
      <c r="M91" s="27"/>
      <c r="N91" s="27"/>
      <c r="O91" s="27"/>
      <c r="P91" s="27"/>
      <c r="Q91" s="27"/>
      <c r="R91" s="17"/>
      <c r="S91" s="17"/>
      <c r="T91" s="17"/>
      <c r="U91" s="17"/>
      <c r="V91" s="17"/>
      <c r="W91" s="17"/>
      <c r="X91" s="17"/>
      <c r="Y91" s="17"/>
      <c r="Z91" s="17"/>
      <c r="AA91" s="17"/>
      <c r="AB91" s="17"/>
      <c r="AC91" s="17"/>
      <c r="AD91" s="17"/>
      <c r="AE91" s="17"/>
      <c r="AF91" s="17">
        <v>13.249999998843123</v>
      </c>
      <c r="AG91" s="17">
        <v>0.14900524070362345</v>
      </c>
      <c r="AH91" s="17"/>
      <c r="AI91" s="17"/>
      <c r="AJ91" s="17"/>
      <c r="AK91" s="17"/>
      <c r="AL91" s="17"/>
      <c r="AM91" s="17"/>
      <c r="AN91" s="17"/>
      <c r="AO91" s="17"/>
      <c r="AP91" s="27"/>
    </row>
    <row r="92" spans="1:42">
      <c r="A92" s="27"/>
      <c r="B92" s="27"/>
      <c r="C92" s="27"/>
      <c r="D92" s="27"/>
      <c r="E92" s="27"/>
      <c r="F92" s="27"/>
      <c r="G92" s="27"/>
      <c r="H92" s="27"/>
      <c r="I92" s="27"/>
      <c r="J92" s="27"/>
      <c r="K92" s="27"/>
      <c r="L92" s="27"/>
      <c r="M92" s="27"/>
      <c r="N92" s="27"/>
      <c r="O92" s="27"/>
      <c r="P92" s="27"/>
      <c r="Q92" s="27"/>
      <c r="R92" s="17"/>
      <c r="S92" s="17"/>
      <c r="T92" s="17"/>
      <c r="U92" s="17"/>
      <c r="V92" s="17"/>
      <c r="W92" s="17"/>
      <c r="X92" s="17"/>
      <c r="Y92" s="17"/>
      <c r="Z92" s="17"/>
      <c r="AA92" s="17"/>
      <c r="AB92" s="17"/>
      <c r="AC92" s="17"/>
      <c r="AD92" s="17"/>
      <c r="AE92" s="17"/>
      <c r="AF92" s="17">
        <v>13.416666665495237</v>
      </c>
      <c r="AG92" s="17">
        <v>0.13522787205415585</v>
      </c>
      <c r="AH92" s="17"/>
      <c r="AI92" s="17"/>
      <c r="AJ92" s="17"/>
      <c r="AK92" s="17"/>
      <c r="AL92" s="17"/>
      <c r="AM92" s="17"/>
      <c r="AN92" s="17"/>
      <c r="AO92" s="17"/>
      <c r="AP92" s="27"/>
    </row>
    <row r="93" spans="1:42">
      <c r="A93" s="27"/>
      <c r="B93" s="27"/>
      <c r="C93" s="27"/>
      <c r="D93" s="27"/>
      <c r="E93" s="27"/>
      <c r="F93" s="27"/>
      <c r="G93" s="27"/>
      <c r="H93" s="27"/>
      <c r="I93" s="27"/>
      <c r="J93" s="27"/>
      <c r="K93" s="27"/>
      <c r="L93" s="27"/>
      <c r="M93" s="27"/>
      <c r="N93" s="27"/>
      <c r="O93" s="27"/>
      <c r="P93" s="27"/>
      <c r="Q93" s="27"/>
      <c r="R93" s="17"/>
      <c r="S93" s="17"/>
      <c r="T93" s="17"/>
      <c r="U93" s="17"/>
      <c r="V93" s="17"/>
      <c r="W93" s="17"/>
      <c r="X93" s="17"/>
      <c r="Y93" s="17"/>
      <c r="Z93" s="17"/>
      <c r="AA93" s="17"/>
      <c r="AB93" s="17"/>
      <c r="AC93" s="17"/>
      <c r="AD93" s="17"/>
      <c r="AE93" s="17"/>
      <c r="AF93" s="17">
        <v>13.583333332147351</v>
      </c>
      <c r="AG93" s="17">
        <v>0.12471997792191034</v>
      </c>
      <c r="AH93" s="17"/>
      <c r="AI93" s="17"/>
      <c r="AJ93" s="17"/>
      <c r="AK93" s="17"/>
      <c r="AL93" s="17"/>
      <c r="AM93" s="17"/>
      <c r="AN93" s="17"/>
      <c r="AO93" s="17"/>
      <c r="AP93" s="27"/>
    </row>
    <row r="94" spans="1:42">
      <c r="A94" s="27"/>
      <c r="B94" s="27"/>
      <c r="C94" s="27"/>
      <c r="D94" s="27"/>
      <c r="E94" s="27"/>
      <c r="F94" s="27"/>
      <c r="G94" s="27"/>
      <c r="H94" s="27"/>
      <c r="I94" s="27"/>
      <c r="J94" s="27"/>
      <c r="K94" s="27"/>
      <c r="L94" s="27"/>
      <c r="M94" s="27"/>
      <c r="N94" s="27"/>
      <c r="O94" s="27"/>
      <c r="P94" s="27"/>
      <c r="Q94" s="27"/>
      <c r="R94" s="17"/>
      <c r="S94" s="17"/>
      <c r="T94" s="17"/>
      <c r="U94" s="17"/>
      <c r="V94" s="17"/>
      <c r="W94" s="17"/>
      <c r="X94" s="17"/>
      <c r="Y94" s="17"/>
      <c r="Z94" s="17"/>
      <c r="AA94" s="17"/>
      <c r="AB94" s="17"/>
      <c r="AC94" s="17"/>
      <c r="AD94" s="17"/>
      <c r="AE94" s="17"/>
      <c r="AF94" s="17">
        <v>13.749999998799467</v>
      </c>
      <c r="AG94" s="17">
        <v>0.11748155830689855</v>
      </c>
      <c r="AH94" s="17"/>
      <c r="AI94" s="17"/>
      <c r="AJ94" s="17"/>
      <c r="AK94" s="17"/>
      <c r="AL94" s="17"/>
      <c r="AM94" s="17"/>
      <c r="AN94" s="17"/>
      <c r="AO94" s="17"/>
      <c r="AP94" s="27"/>
    </row>
    <row r="95" spans="1:42">
      <c r="A95" s="27"/>
      <c r="B95" s="27"/>
      <c r="C95" s="27"/>
      <c r="D95" s="27"/>
      <c r="E95" s="27"/>
      <c r="F95" s="27"/>
      <c r="G95" s="27"/>
      <c r="H95" s="27"/>
      <c r="I95" s="27"/>
      <c r="J95" s="27"/>
      <c r="K95" s="27"/>
      <c r="L95" s="27"/>
      <c r="M95" s="27"/>
      <c r="N95" s="27"/>
      <c r="O95" s="27"/>
      <c r="P95" s="27"/>
      <c r="Q95" s="27"/>
      <c r="R95" s="17"/>
      <c r="S95" s="17"/>
      <c r="T95" s="17"/>
      <c r="U95" s="17"/>
      <c r="V95" s="17"/>
      <c r="W95" s="17"/>
      <c r="X95" s="17"/>
      <c r="Y95" s="17"/>
      <c r="Z95" s="17"/>
      <c r="AA95" s="17"/>
      <c r="AB95" s="17"/>
      <c r="AC95" s="17"/>
      <c r="AD95" s="17"/>
      <c r="AE95" s="17"/>
      <c r="AF95" s="17">
        <v>13.916666665451581</v>
      </c>
      <c r="AG95" s="17">
        <v>0.11351261320911539</v>
      </c>
      <c r="AH95" s="17"/>
      <c r="AI95" s="17"/>
      <c r="AJ95" s="17"/>
      <c r="AK95" s="17"/>
      <c r="AL95" s="17"/>
      <c r="AM95" s="17"/>
      <c r="AN95" s="17"/>
      <c r="AO95" s="17"/>
      <c r="AP95" s="27"/>
    </row>
    <row r="96" spans="1:42">
      <c r="A96" s="27"/>
      <c r="B96" s="27"/>
      <c r="C96" s="27"/>
      <c r="D96" s="27"/>
      <c r="E96" s="27"/>
      <c r="F96" s="27"/>
      <c r="G96" s="27"/>
      <c r="H96" s="27"/>
      <c r="I96" s="27"/>
      <c r="J96" s="27"/>
      <c r="K96" s="27"/>
      <c r="L96" s="27"/>
      <c r="M96" s="27"/>
      <c r="N96" s="27"/>
      <c r="O96" s="27"/>
      <c r="P96" s="27"/>
      <c r="Q96" s="27"/>
      <c r="R96" s="17"/>
      <c r="S96" s="17"/>
      <c r="T96" s="17"/>
      <c r="U96" s="17"/>
      <c r="V96" s="17"/>
      <c r="W96" s="17"/>
      <c r="X96" s="17"/>
      <c r="Y96" s="17"/>
      <c r="Z96" s="17"/>
      <c r="AA96" s="17"/>
      <c r="AB96" s="17"/>
      <c r="AC96" s="17"/>
      <c r="AD96" s="17"/>
      <c r="AE96" s="17"/>
      <c r="AF96" s="17">
        <v>14.083333332103695</v>
      </c>
      <c r="AG96" s="17">
        <v>0.11281314262855918</v>
      </c>
      <c r="AH96" s="17"/>
      <c r="AI96" s="17"/>
      <c r="AJ96" s="17"/>
      <c r="AK96" s="17"/>
      <c r="AL96" s="17"/>
      <c r="AM96" s="17"/>
      <c r="AN96" s="17"/>
      <c r="AO96" s="17"/>
      <c r="AP96" s="27"/>
    </row>
    <row r="97" spans="1:42">
      <c r="A97" s="27"/>
      <c r="B97" s="27"/>
      <c r="C97" s="27"/>
      <c r="D97" s="27"/>
      <c r="E97" s="27"/>
      <c r="F97" s="27"/>
      <c r="G97" s="27"/>
      <c r="H97" s="27"/>
      <c r="I97" s="27"/>
      <c r="J97" s="27"/>
      <c r="K97" s="27"/>
      <c r="L97" s="27"/>
      <c r="M97" s="27"/>
      <c r="N97" s="27"/>
      <c r="O97" s="27"/>
      <c r="P97" s="27"/>
      <c r="Q97" s="27"/>
      <c r="R97" s="17"/>
      <c r="S97" s="17"/>
      <c r="T97" s="17"/>
      <c r="U97" s="17"/>
      <c r="V97" s="17"/>
      <c r="W97" s="17"/>
      <c r="X97" s="17"/>
      <c r="Y97" s="17"/>
      <c r="Z97" s="17"/>
      <c r="AA97" s="17"/>
      <c r="AB97" s="17"/>
      <c r="AC97" s="17"/>
      <c r="AD97" s="17"/>
      <c r="AE97" s="17"/>
      <c r="AF97" s="17">
        <v>14.249999998755811</v>
      </c>
      <c r="AG97" s="17">
        <v>0.11533739722649425</v>
      </c>
      <c r="AH97" s="17"/>
      <c r="AI97" s="17"/>
      <c r="AJ97" s="17"/>
      <c r="AK97" s="17"/>
      <c r="AL97" s="17"/>
      <c r="AM97" s="17"/>
      <c r="AN97" s="17"/>
      <c r="AO97" s="17"/>
      <c r="AP97" s="27"/>
    </row>
    <row r="98" spans="1:42">
      <c r="A98" s="27"/>
      <c r="B98" s="27"/>
      <c r="C98" s="27"/>
      <c r="D98" s="27"/>
      <c r="E98" s="27"/>
      <c r="F98" s="27"/>
      <c r="G98" s="27"/>
      <c r="H98" s="27"/>
      <c r="I98" s="27"/>
      <c r="J98" s="27"/>
      <c r="K98" s="27"/>
      <c r="L98" s="27"/>
      <c r="M98" s="27"/>
      <c r="N98" s="27"/>
      <c r="O98" s="27"/>
      <c r="P98" s="27"/>
      <c r="Q98" s="27"/>
      <c r="R98" s="17"/>
      <c r="S98" s="17"/>
      <c r="T98" s="17"/>
      <c r="U98" s="17"/>
      <c r="V98" s="17"/>
      <c r="W98" s="17"/>
      <c r="X98" s="17"/>
      <c r="Y98" s="17"/>
      <c r="Z98" s="17"/>
      <c r="AA98" s="17"/>
      <c r="AB98" s="17"/>
      <c r="AC98" s="17"/>
      <c r="AD98" s="17"/>
      <c r="AE98" s="17"/>
      <c r="AF98" s="17">
        <v>14.416666665407925</v>
      </c>
      <c r="AG98" s="17">
        <v>0.11928835796265741</v>
      </c>
      <c r="AH98" s="17"/>
      <c r="AI98" s="17"/>
      <c r="AJ98" s="17"/>
      <c r="AK98" s="17"/>
      <c r="AL98" s="17"/>
      <c r="AM98" s="17"/>
      <c r="AN98" s="17"/>
      <c r="AO98" s="17"/>
      <c r="AP98" s="27"/>
    </row>
    <row r="99" spans="1:42">
      <c r="A99" s="27"/>
      <c r="B99" s="27"/>
      <c r="C99" s="27"/>
      <c r="D99" s="27"/>
      <c r="E99" s="27"/>
      <c r="F99" s="27"/>
      <c r="G99" s="27"/>
      <c r="H99" s="27"/>
      <c r="I99" s="27"/>
      <c r="J99" s="27"/>
      <c r="K99" s="27"/>
      <c r="L99" s="27"/>
      <c r="M99" s="27"/>
      <c r="N99" s="27"/>
      <c r="O99" s="27"/>
      <c r="P99" s="27"/>
      <c r="Q99" s="27"/>
      <c r="R99" s="17"/>
      <c r="S99" s="17"/>
      <c r="T99" s="17"/>
      <c r="U99" s="17"/>
      <c r="V99" s="17"/>
      <c r="W99" s="17"/>
      <c r="X99" s="17"/>
      <c r="Y99" s="17"/>
      <c r="Z99" s="17"/>
      <c r="AA99" s="17"/>
      <c r="AB99" s="17"/>
      <c r="AC99" s="17"/>
      <c r="AD99" s="17"/>
      <c r="AE99" s="17"/>
      <c r="AF99" s="17">
        <v>14.58333333206004</v>
      </c>
      <c r="AG99" s="17">
        <v>0.12232086636709838</v>
      </c>
      <c r="AH99" s="17"/>
      <c r="AI99" s="17"/>
      <c r="AJ99" s="17"/>
      <c r="AK99" s="17"/>
      <c r="AL99" s="17"/>
      <c r="AM99" s="17"/>
      <c r="AN99" s="17"/>
      <c r="AO99" s="17"/>
      <c r="AP99" s="27"/>
    </row>
    <row r="100" spans="1:42">
      <c r="A100" s="27"/>
      <c r="B100" s="27"/>
      <c r="C100" s="27"/>
      <c r="D100" s="27"/>
      <c r="E100" s="27"/>
      <c r="F100" s="27"/>
      <c r="G100" s="27"/>
      <c r="H100" s="27"/>
      <c r="I100" s="27"/>
      <c r="J100" s="27"/>
      <c r="K100" s="27"/>
      <c r="L100" s="27"/>
      <c r="M100" s="27"/>
      <c r="N100" s="27"/>
      <c r="O100" s="27"/>
      <c r="P100" s="27"/>
      <c r="Q100" s="27"/>
      <c r="R100" s="17"/>
      <c r="S100" s="17"/>
      <c r="T100" s="17"/>
      <c r="U100" s="17"/>
      <c r="V100" s="17"/>
      <c r="W100" s="17"/>
      <c r="X100" s="17"/>
      <c r="Y100" s="17"/>
      <c r="Z100" s="17"/>
      <c r="AA100" s="17"/>
      <c r="AB100" s="17"/>
      <c r="AC100" s="17"/>
      <c r="AD100" s="17"/>
      <c r="AE100" s="17"/>
      <c r="AF100" s="17">
        <v>14.749999998712156</v>
      </c>
      <c r="AG100" s="17">
        <v>0.12427710375881723</v>
      </c>
      <c r="AH100" s="17"/>
      <c r="AI100" s="17"/>
      <c r="AJ100" s="17"/>
      <c r="AK100" s="17"/>
      <c r="AL100" s="17"/>
      <c r="AM100" s="17"/>
      <c r="AN100" s="17"/>
      <c r="AO100" s="17"/>
      <c r="AP100" s="27"/>
    </row>
    <row r="101" spans="1:42">
      <c r="A101" s="27"/>
      <c r="B101" s="27"/>
      <c r="C101" s="27"/>
      <c r="D101" s="27"/>
      <c r="E101" s="27"/>
      <c r="F101" s="27"/>
      <c r="G101" s="27"/>
      <c r="H101" s="27"/>
      <c r="I101" s="27"/>
      <c r="J101" s="27"/>
      <c r="K101" s="27"/>
      <c r="L101" s="27"/>
      <c r="M101" s="27"/>
      <c r="N101" s="27"/>
      <c r="O101" s="27"/>
      <c r="P101" s="27"/>
      <c r="Q101" s="27"/>
      <c r="R101" s="17"/>
      <c r="S101" s="17"/>
      <c r="T101" s="17"/>
      <c r="U101" s="17"/>
      <c r="V101" s="17"/>
      <c r="W101" s="17"/>
      <c r="X101" s="17"/>
      <c r="Y101" s="17"/>
      <c r="Z101" s="17"/>
      <c r="AA101" s="17"/>
      <c r="AB101" s="17"/>
      <c r="AC101" s="17"/>
      <c r="AD101" s="17"/>
      <c r="AE101" s="17"/>
      <c r="AF101" s="17">
        <v>14.91666666536427</v>
      </c>
      <c r="AG101" s="17">
        <v>0.12515707013784055</v>
      </c>
      <c r="AH101" s="17"/>
      <c r="AI101" s="17"/>
      <c r="AJ101" s="17"/>
      <c r="AK101" s="17"/>
      <c r="AL101" s="17"/>
      <c r="AM101" s="17"/>
      <c r="AN101" s="17"/>
      <c r="AO101" s="17"/>
      <c r="AP101" s="27"/>
    </row>
    <row r="102" spans="1:42">
      <c r="A102" s="27"/>
      <c r="B102" s="27"/>
      <c r="C102" s="27"/>
      <c r="D102" s="27"/>
      <c r="E102" s="27"/>
      <c r="F102" s="27"/>
      <c r="G102" s="27"/>
      <c r="H102" s="27"/>
      <c r="I102" s="27"/>
      <c r="J102" s="27"/>
      <c r="K102" s="27"/>
      <c r="L102" s="27"/>
      <c r="M102" s="27"/>
      <c r="N102" s="27"/>
      <c r="O102" s="27"/>
      <c r="P102" s="27"/>
      <c r="Q102" s="27"/>
      <c r="R102" s="17"/>
      <c r="S102" s="17"/>
      <c r="T102" s="17"/>
      <c r="U102" s="17"/>
      <c r="V102" s="17"/>
      <c r="W102" s="17"/>
      <c r="X102" s="17"/>
      <c r="Y102" s="17"/>
      <c r="Z102" s="17"/>
      <c r="AA102" s="17"/>
      <c r="AB102" s="17"/>
      <c r="AC102" s="17"/>
      <c r="AD102" s="17"/>
      <c r="AE102" s="17"/>
      <c r="AF102" s="17">
        <v>15.083333332016384</v>
      </c>
      <c r="AG102" s="17">
        <v>0.12496076550415104</v>
      </c>
      <c r="AH102" s="17"/>
      <c r="AI102" s="17"/>
      <c r="AJ102" s="17"/>
      <c r="AK102" s="17"/>
      <c r="AL102" s="17"/>
      <c r="AM102" s="17"/>
      <c r="AN102" s="17"/>
      <c r="AO102" s="17"/>
      <c r="AP102" s="27"/>
    </row>
    <row r="103" spans="1:42">
      <c r="A103" s="27"/>
      <c r="B103" s="27"/>
      <c r="C103" s="27"/>
      <c r="D103" s="27"/>
      <c r="E103" s="27"/>
      <c r="F103" s="27"/>
      <c r="G103" s="27"/>
      <c r="H103" s="27"/>
      <c r="I103" s="27"/>
      <c r="J103" s="27"/>
      <c r="K103" s="27"/>
      <c r="L103" s="27"/>
      <c r="M103" s="27"/>
      <c r="N103" s="27"/>
      <c r="O103" s="27"/>
      <c r="P103" s="27"/>
      <c r="Q103" s="27"/>
      <c r="R103" s="17"/>
      <c r="S103" s="17"/>
      <c r="T103" s="17"/>
      <c r="U103" s="17"/>
      <c r="V103" s="17"/>
      <c r="W103" s="17"/>
      <c r="X103" s="17"/>
      <c r="Y103" s="17"/>
      <c r="Z103" s="17"/>
      <c r="AA103" s="17"/>
      <c r="AB103" s="17"/>
      <c r="AC103" s="17"/>
      <c r="AD103" s="17"/>
      <c r="AE103" s="17"/>
      <c r="AF103" s="17">
        <v>15.2499999986685</v>
      </c>
      <c r="AG103" s="17">
        <v>0.12368818985775001</v>
      </c>
      <c r="AH103" s="17"/>
      <c r="AI103" s="17"/>
      <c r="AJ103" s="17"/>
      <c r="AK103" s="17"/>
      <c r="AL103" s="17"/>
      <c r="AM103" s="17"/>
      <c r="AN103" s="17"/>
      <c r="AO103" s="17"/>
      <c r="AP103" s="27"/>
    </row>
    <row r="104" spans="1:42">
      <c r="A104" s="27"/>
      <c r="B104" s="27"/>
      <c r="C104" s="27"/>
      <c r="D104" s="27"/>
      <c r="E104" s="27"/>
      <c r="F104" s="27"/>
      <c r="G104" s="27"/>
      <c r="H104" s="27"/>
      <c r="I104" s="27"/>
      <c r="J104" s="27"/>
      <c r="K104" s="27"/>
      <c r="L104" s="27"/>
      <c r="M104" s="27"/>
      <c r="N104" s="27"/>
      <c r="O104" s="27"/>
      <c r="P104" s="27"/>
      <c r="Q104" s="27"/>
      <c r="R104" s="17"/>
      <c r="S104" s="17"/>
      <c r="T104" s="17"/>
      <c r="U104" s="17"/>
      <c r="V104" s="17"/>
      <c r="W104" s="17"/>
      <c r="X104" s="17"/>
      <c r="Y104" s="17"/>
      <c r="Z104" s="17"/>
      <c r="AA104" s="17"/>
      <c r="AB104" s="17"/>
      <c r="AC104" s="17"/>
      <c r="AD104" s="17"/>
      <c r="AE104" s="17"/>
      <c r="AF104" s="17">
        <v>15.416666665320614</v>
      </c>
      <c r="AG104" s="17">
        <v>0.12133934319864285</v>
      </c>
      <c r="AH104" s="17"/>
      <c r="AI104" s="17"/>
      <c r="AJ104" s="17"/>
      <c r="AK104" s="17"/>
      <c r="AL104" s="17"/>
      <c r="AM104" s="17"/>
      <c r="AN104" s="17"/>
      <c r="AO104" s="17"/>
      <c r="AP104" s="27"/>
    </row>
    <row r="105" spans="1:42">
      <c r="A105" s="27"/>
      <c r="B105" s="27"/>
      <c r="C105" s="27"/>
      <c r="D105" s="27"/>
      <c r="E105" s="27"/>
      <c r="F105" s="27"/>
      <c r="G105" s="27"/>
      <c r="H105" s="27"/>
      <c r="I105" s="27"/>
      <c r="J105" s="27"/>
      <c r="K105" s="27"/>
      <c r="L105" s="27"/>
      <c r="M105" s="27"/>
      <c r="N105" s="27"/>
      <c r="O105" s="27"/>
      <c r="P105" s="27"/>
      <c r="Q105" s="27"/>
      <c r="R105" s="17"/>
      <c r="S105" s="17"/>
      <c r="T105" s="17"/>
      <c r="U105" s="17"/>
      <c r="V105" s="17"/>
      <c r="W105" s="17"/>
      <c r="X105" s="17"/>
      <c r="Y105" s="17"/>
      <c r="Z105" s="17"/>
      <c r="AA105" s="17"/>
      <c r="AB105" s="17"/>
      <c r="AC105" s="17"/>
      <c r="AD105" s="17"/>
      <c r="AE105" s="17"/>
      <c r="AF105" s="17">
        <v>15.583333331972728</v>
      </c>
      <c r="AG105" s="17">
        <v>0.11791422552682276</v>
      </c>
      <c r="AH105" s="17"/>
      <c r="AI105" s="17"/>
      <c r="AJ105" s="17"/>
      <c r="AK105" s="17"/>
      <c r="AL105" s="17"/>
      <c r="AM105" s="17"/>
      <c r="AN105" s="17"/>
      <c r="AO105" s="17"/>
      <c r="AP105" s="27"/>
    </row>
    <row r="106" spans="1:42">
      <c r="A106" s="27"/>
      <c r="B106" s="27"/>
      <c r="C106" s="27"/>
      <c r="D106" s="27"/>
      <c r="E106" s="27"/>
      <c r="F106" s="27"/>
      <c r="G106" s="27"/>
      <c r="H106" s="27"/>
      <c r="I106" s="27"/>
      <c r="J106" s="27"/>
      <c r="K106" s="27"/>
      <c r="L106" s="27"/>
      <c r="M106" s="27"/>
      <c r="N106" s="27"/>
      <c r="O106" s="27"/>
      <c r="P106" s="27"/>
      <c r="Q106" s="27"/>
      <c r="R106" s="17"/>
      <c r="S106" s="17"/>
      <c r="T106" s="17"/>
      <c r="U106" s="17"/>
      <c r="V106" s="17"/>
      <c r="W106" s="17"/>
      <c r="X106" s="17"/>
      <c r="Y106" s="17"/>
      <c r="Z106" s="17"/>
      <c r="AA106" s="17"/>
      <c r="AB106" s="17"/>
      <c r="AC106" s="17"/>
      <c r="AD106" s="17"/>
      <c r="AE106" s="17"/>
      <c r="AF106" s="17">
        <v>15.749999998624844</v>
      </c>
      <c r="AG106" s="17">
        <v>0.1134128368423072</v>
      </c>
      <c r="AH106" s="17"/>
      <c r="AI106" s="17"/>
      <c r="AJ106" s="17"/>
      <c r="AK106" s="17"/>
      <c r="AL106" s="17"/>
      <c r="AM106" s="17"/>
      <c r="AN106" s="17"/>
      <c r="AO106" s="17"/>
      <c r="AP106" s="27"/>
    </row>
    <row r="107" spans="1:42">
      <c r="A107" s="27"/>
      <c r="B107" s="27"/>
      <c r="C107" s="27"/>
      <c r="D107" s="27"/>
      <c r="E107" s="27"/>
      <c r="F107" s="27"/>
      <c r="G107" s="27"/>
      <c r="H107" s="27"/>
      <c r="I107" s="27"/>
      <c r="J107" s="27"/>
      <c r="K107" s="27"/>
      <c r="L107" s="27"/>
      <c r="M107" s="27"/>
      <c r="N107" s="27"/>
      <c r="O107" s="27"/>
      <c r="P107" s="27"/>
      <c r="Q107" s="27"/>
      <c r="R107" s="17"/>
      <c r="S107" s="17"/>
      <c r="T107" s="17"/>
      <c r="U107" s="17"/>
      <c r="V107" s="17"/>
      <c r="W107" s="17"/>
      <c r="X107" s="17"/>
      <c r="Y107" s="17"/>
      <c r="Z107" s="17"/>
      <c r="AA107" s="17"/>
      <c r="AB107" s="17"/>
      <c r="AC107" s="17"/>
      <c r="AD107" s="17"/>
      <c r="AE107" s="17"/>
      <c r="AF107" s="17">
        <v>15.916666665276958</v>
      </c>
      <c r="AG107" s="17">
        <v>0.10783517714506964</v>
      </c>
      <c r="AH107" s="17"/>
      <c r="AI107" s="17"/>
      <c r="AJ107" s="17"/>
      <c r="AK107" s="17"/>
      <c r="AL107" s="17"/>
      <c r="AM107" s="17"/>
      <c r="AN107" s="17"/>
      <c r="AO107" s="17"/>
      <c r="AP107" s="27"/>
    </row>
    <row r="108" spans="1:42">
      <c r="A108" s="27"/>
      <c r="B108" s="27"/>
      <c r="C108" s="27"/>
      <c r="D108" s="27"/>
      <c r="E108" s="27"/>
      <c r="F108" s="27"/>
      <c r="G108" s="27"/>
      <c r="H108" s="27"/>
      <c r="I108" s="27"/>
      <c r="J108" s="27"/>
      <c r="K108" s="27"/>
      <c r="L108" s="27"/>
      <c r="M108" s="27"/>
      <c r="N108" s="27"/>
      <c r="O108" s="27"/>
      <c r="P108" s="27"/>
      <c r="Q108" s="27"/>
      <c r="R108" s="17"/>
      <c r="S108" s="17"/>
      <c r="T108" s="17"/>
      <c r="U108" s="17"/>
      <c r="V108" s="17"/>
      <c r="W108" s="17"/>
      <c r="X108" s="17"/>
      <c r="Y108" s="17"/>
      <c r="Z108" s="17"/>
      <c r="AA108" s="17"/>
      <c r="AB108" s="17"/>
      <c r="AC108" s="17"/>
      <c r="AD108" s="17"/>
      <c r="AE108" s="17"/>
      <c r="AF108" s="17">
        <v>16.083333331929072</v>
      </c>
      <c r="AG108" s="17">
        <v>0.1014433852911675</v>
      </c>
      <c r="AH108" s="17"/>
      <c r="AI108" s="17"/>
      <c r="AJ108" s="17"/>
      <c r="AK108" s="17"/>
      <c r="AL108" s="17"/>
      <c r="AM108" s="17"/>
      <c r="AN108" s="17"/>
      <c r="AO108" s="17"/>
      <c r="AP108" s="27"/>
    </row>
    <row r="109" spans="1:42">
      <c r="A109" s="27"/>
      <c r="B109" s="27"/>
      <c r="C109" s="27"/>
      <c r="D109" s="27"/>
      <c r="E109" s="27"/>
      <c r="F109" s="27"/>
      <c r="G109" s="27"/>
      <c r="H109" s="27"/>
      <c r="I109" s="27"/>
      <c r="J109" s="27"/>
      <c r="K109" s="27"/>
      <c r="L109" s="27"/>
      <c r="M109" s="27"/>
      <c r="N109" s="27"/>
      <c r="O109" s="27"/>
      <c r="P109" s="27"/>
      <c r="Q109" s="27"/>
      <c r="R109" s="17"/>
      <c r="S109" s="17"/>
      <c r="T109" s="17"/>
      <c r="U109" s="17"/>
      <c r="V109" s="17"/>
      <c r="W109" s="17"/>
      <c r="X109" s="17"/>
      <c r="Y109" s="17"/>
      <c r="Z109" s="17"/>
      <c r="AA109" s="17"/>
      <c r="AB109" s="17"/>
      <c r="AC109" s="17"/>
      <c r="AD109" s="17"/>
      <c r="AE109" s="17"/>
      <c r="AF109" s="17">
        <v>16.249999998581188</v>
      </c>
      <c r="AG109" s="17">
        <v>9.541705956487255E-2</v>
      </c>
      <c r="AH109" s="17"/>
      <c r="AI109" s="17"/>
      <c r="AJ109" s="17"/>
      <c r="AK109" s="17"/>
      <c r="AL109" s="17"/>
      <c r="AM109" s="17"/>
      <c r="AN109" s="17"/>
      <c r="AO109" s="17"/>
      <c r="AP109" s="27"/>
    </row>
    <row r="110" spans="1:42">
      <c r="A110" s="27"/>
      <c r="B110" s="27"/>
      <c r="C110" s="27"/>
      <c r="D110" s="27"/>
      <c r="E110" s="27"/>
      <c r="F110" s="27"/>
      <c r="G110" s="27"/>
      <c r="H110" s="27"/>
      <c r="I110" s="27"/>
      <c r="J110" s="27"/>
      <c r="K110" s="27"/>
      <c r="L110" s="27"/>
      <c r="M110" s="27"/>
      <c r="N110" s="27"/>
      <c r="O110" s="27"/>
      <c r="P110" s="27"/>
      <c r="Q110" s="27"/>
      <c r="R110" s="17"/>
      <c r="S110" s="17"/>
      <c r="T110" s="17"/>
      <c r="U110" s="17"/>
      <c r="V110" s="17"/>
      <c r="W110" s="17"/>
      <c r="X110" s="17"/>
      <c r="Y110" s="17"/>
      <c r="Z110" s="17"/>
      <c r="AA110" s="17"/>
      <c r="AB110" s="17"/>
      <c r="AC110" s="17"/>
      <c r="AD110" s="17"/>
      <c r="AE110" s="17"/>
      <c r="AF110" s="17">
        <v>16.416666665233301</v>
      </c>
      <c r="AG110" s="17">
        <v>9.008785369935815E-2</v>
      </c>
      <c r="AH110" s="17"/>
      <c r="AI110" s="17"/>
      <c r="AJ110" s="17"/>
      <c r="AK110" s="17"/>
      <c r="AL110" s="17"/>
      <c r="AM110" s="17"/>
      <c r="AN110" s="17"/>
      <c r="AO110" s="17"/>
      <c r="AP110" s="27"/>
    </row>
    <row r="111" spans="1:42">
      <c r="A111" s="27"/>
      <c r="B111" s="27"/>
      <c r="C111" s="27"/>
      <c r="D111" s="27"/>
      <c r="E111" s="27"/>
      <c r="F111" s="27"/>
      <c r="G111" s="27"/>
      <c r="H111" s="27"/>
      <c r="I111" s="27"/>
      <c r="J111" s="27"/>
      <c r="K111" s="27"/>
      <c r="L111" s="27"/>
      <c r="M111" s="27"/>
      <c r="N111" s="27"/>
      <c r="O111" s="27"/>
      <c r="P111" s="27"/>
      <c r="Q111" s="27"/>
      <c r="R111" s="17"/>
      <c r="S111" s="17"/>
      <c r="T111" s="17"/>
      <c r="U111" s="17"/>
      <c r="V111" s="17"/>
      <c r="W111" s="17"/>
      <c r="X111" s="17"/>
      <c r="Y111" s="17"/>
      <c r="Z111" s="17"/>
      <c r="AA111" s="17"/>
      <c r="AB111" s="17"/>
      <c r="AC111" s="17"/>
      <c r="AD111" s="17"/>
      <c r="AE111" s="17"/>
      <c r="AF111" s="17">
        <v>16.583333331885417</v>
      </c>
      <c r="AG111" s="17">
        <v>8.5455785523850039E-2</v>
      </c>
      <c r="AH111" s="17"/>
      <c r="AI111" s="17"/>
      <c r="AJ111" s="17"/>
      <c r="AK111" s="17"/>
      <c r="AL111" s="17"/>
      <c r="AM111" s="17"/>
      <c r="AN111" s="17"/>
      <c r="AO111" s="17"/>
      <c r="AP111" s="27"/>
    </row>
    <row r="112" spans="1:42">
      <c r="A112" s="27"/>
      <c r="B112" s="27"/>
      <c r="C112" s="27"/>
      <c r="D112" s="27"/>
      <c r="E112" s="27"/>
      <c r="F112" s="27"/>
      <c r="G112" s="27"/>
      <c r="H112" s="27"/>
      <c r="I112" s="27"/>
      <c r="J112" s="27"/>
      <c r="K112" s="27"/>
      <c r="L112" s="27"/>
      <c r="M112" s="27"/>
      <c r="N112" s="27"/>
      <c r="O112" s="27"/>
      <c r="P112" s="27"/>
      <c r="Q112" s="27"/>
      <c r="R112" s="17"/>
      <c r="S112" s="17"/>
      <c r="T112" s="17"/>
      <c r="U112" s="17"/>
      <c r="V112" s="17"/>
      <c r="W112" s="17"/>
      <c r="X112" s="17"/>
      <c r="Y112" s="17"/>
      <c r="Z112" s="17"/>
      <c r="AA112" s="17"/>
      <c r="AB112" s="17"/>
      <c r="AC112" s="17"/>
      <c r="AD112" s="17"/>
      <c r="AE112" s="17"/>
      <c r="AF112" s="17">
        <v>16.749999998537533</v>
      </c>
      <c r="AG112" s="17">
        <v>8.1520855038342763E-2</v>
      </c>
      <c r="AH112" s="17"/>
      <c r="AI112" s="17"/>
      <c r="AJ112" s="17"/>
      <c r="AK112" s="17"/>
      <c r="AL112" s="17"/>
      <c r="AM112" s="17"/>
      <c r="AN112" s="17"/>
      <c r="AO112" s="17"/>
      <c r="AP112" s="27"/>
    </row>
    <row r="113" spans="1:42">
      <c r="A113" s="27"/>
      <c r="B113" s="27"/>
      <c r="C113" s="27"/>
      <c r="D113" s="27"/>
      <c r="E113" s="27"/>
      <c r="F113" s="27"/>
      <c r="G113" s="27"/>
      <c r="H113" s="27"/>
      <c r="I113" s="27"/>
      <c r="J113" s="27"/>
      <c r="K113" s="27"/>
      <c r="L113" s="27"/>
      <c r="M113" s="27"/>
      <c r="N113" s="27"/>
      <c r="O113" s="27"/>
      <c r="P113" s="27"/>
      <c r="Q113" s="27"/>
      <c r="R113" s="17"/>
      <c r="S113" s="17"/>
      <c r="T113" s="17"/>
      <c r="U113" s="17"/>
      <c r="V113" s="17"/>
      <c r="W113" s="17"/>
      <c r="X113" s="17"/>
      <c r="Y113" s="17"/>
      <c r="Z113" s="17"/>
      <c r="AA113" s="17"/>
      <c r="AB113" s="17"/>
      <c r="AC113" s="17"/>
      <c r="AD113" s="17"/>
      <c r="AE113" s="17"/>
      <c r="AF113" s="17">
        <v>16.916666665189645</v>
      </c>
      <c r="AG113" s="17">
        <v>7.828306224283646E-2</v>
      </c>
      <c r="AH113" s="17"/>
      <c r="AI113" s="17"/>
      <c r="AJ113" s="17"/>
      <c r="AK113" s="17"/>
      <c r="AL113" s="17"/>
      <c r="AM113" s="17"/>
      <c r="AN113" s="17"/>
      <c r="AO113" s="17"/>
      <c r="AP113" s="27"/>
    </row>
    <row r="114" spans="1:42">
      <c r="A114" s="27"/>
      <c r="B114" s="27"/>
      <c r="C114" s="27"/>
      <c r="D114" s="27"/>
      <c r="E114" s="27"/>
      <c r="F114" s="27"/>
      <c r="G114" s="27"/>
      <c r="H114" s="27"/>
      <c r="I114" s="27"/>
      <c r="J114" s="27"/>
      <c r="K114" s="27"/>
      <c r="L114" s="27"/>
      <c r="M114" s="27"/>
      <c r="N114" s="27"/>
      <c r="O114" s="27"/>
      <c r="P114" s="27"/>
      <c r="Q114" s="27"/>
      <c r="R114" s="17"/>
      <c r="S114" s="17"/>
      <c r="T114" s="17"/>
      <c r="U114" s="17"/>
      <c r="V114" s="17"/>
      <c r="W114" s="17"/>
      <c r="X114" s="17"/>
      <c r="Y114" s="17"/>
      <c r="Z114" s="17"/>
      <c r="AA114" s="17"/>
      <c r="AB114" s="17"/>
      <c r="AC114" s="17"/>
      <c r="AD114" s="17"/>
      <c r="AE114" s="17"/>
      <c r="AF114" s="17">
        <v>17.083333331841761</v>
      </c>
      <c r="AG114" s="17">
        <v>7.5742407137341594E-2</v>
      </c>
      <c r="AH114" s="17"/>
      <c r="AI114" s="17"/>
      <c r="AJ114" s="17"/>
      <c r="AK114" s="17"/>
      <c r="AL114" s="17"/>
      <c r="AM114" s="17"/>
      <c r="AN114" s="17"/>
      <c r="AO114" s="17"/>
      <c r="AP114" s="27"/>
    </row>
    <row r="115" spans="1:42">
      <c r="AF115">
        <v>17.249999998493877</v>
      </c>
      <c r="AG115">
        <v>7.3898889721837308E-2</v>
      </c>
    </row>
    <row r="116" spans="1:42">
      <c r="AF116">
        <v>17.416666665145989</v>
      </c>
      <c r="AG116">
        <v>7.2752509996344444E-2</v>
      </c>
    </row>
    <row r="117" spans="1:42">
      <c r="AF117">
        <v>17.583333331798105</v>
      </c>
      <c r="AG117">
        <v>7.2303267960852277E-2</v>
      </c>
    </row>
    <row r="118" spans="1:42">
      <c r="AF118">
        <v>17.749999998450221</v>
      </c>
      <c r="AG118">
        <v>7.2551163615356171E-2</v>
      </c>
    </row>
    <row r="119" spans="1:42">
      <c r="AF119">
        <v>17.916666665102333</v>
      </c>
      <c r="AG119">
        <v>7.3496196959876747E-2</v>
      </c>
    </row>
    <row r="120" spans="1:42">
      <c r="AF120">
        <v>18.083333331754449</v>
      </c>
      <c r="AG120">
        <v>7.5133520329930481E-2</v>
      </c>
    </row>
    <row r="121" spans="1:42">
      <c r="AF121">
        <v>18.249999998406565</v>
      </c>
      <c r="AG121">
        <v>7.7326061928494422E-2</v>
      </c>
    </row>
    <row r="122" spans="1:42">
      <c r="AF122">
        <v>18.416666665058678</v>
      </c>
      <c r="AG122">
        <v>7.9920828230207422E-2</v>
      </c>
    </row>
    <row r="123" spans="1:42">
      <c r="AF123">
        <v>18.583333331710794</v>
      </c>
      <c r="AG123">
        <v>8.2909775165519839E-2</v>
      </c>
    </row>
    <row r="124" spans="1:42">
      <c r="AF124">
        <v>18.74999999836291</v>
      </c>
      <c r="AG124">
        <v>8.6292902734442345E-2</v>
      </c>
    </row>
    <row r="125" spans="1:42">
      <c r="AF125">
        <v>18.916666665015022</v>
      </c>
      <c r="AG125">
        <v>9.007021093698557E-2</v>
      </c>
    </row>
    <row r="126" spans="1:42">
      <c r="AF126">
        <v>19.083333331667138</v>
      </c>
      <c r="AG126">
        <v>9.4241699773128434E-2</v>
      </c>
    </row>
    <row r="127" spans="1:42">
      <c r="AF127">
        <v>19.249999998319254</v>
      </c>
      <c r="AG127">
        <v>9.8807369242886245E-2</v>
      </c>
    </row>
    <row r="128" spans="1:42">
      <c r="AF128">
        <v>19.416666664971366</v>
      </c>
      <c r="AG128">
        <v>0.10376721934625435</v>
      </c>
    </row>
    <row r="129" spans="32:33">
      <c r="AF129">
        <v>19.583333331623482</v>
      </c>
      <c r="AG129">
        <v>0.10912125008322775</v>
      </c>
    </row>
    <row r="130" spans="32:33">
      <c r="AF130">
        <v>19.749999998275598</v>
      </c>
      <c r="AG130">
        <v>0.11486946145382078</v>
      </c>
    </row>
    <row r="131" spans="32:33">
      <c r="AF131">
        <v>19.91666666492771</v>
      </c>
      <c r="AG131">
        <v>0.12101185345800845</v>
      </c>
    </row>
    <row r="132" spans="32:33">
      <c r="AF132">
        <v>20.083333331579826</v>
      </c>
      <c r="AG132">
        <v>0.12754842609582312</v>
      </c>
    </row>
    <row r="133" spans="32:33">
      <c r="AF133">
        <v>20.249999998231942</v>
      </c>
      <c r="AG133">
        <v>0.1344791793672353</v>
      </c>
    </row>
    <row r="134" spans="32:33">
      <c r="AF134">
        <v>20.416666664884055</v>
      </c>
      <c r="AG134">
        <v>0.14160797815626891</v>
      </c>
    </row>
    <row r="135" spans="32:33">
      <c r="AF135">
        <v>20.583333331536171</v>
      </c>
      <c r="AG135">
        <v>0.14761650342760793</v>
      </c>
    </row>
    <row r="136" spans="32:33">
      <c r="AF136">
        <v>20.749999998188287</v>
      </c>
      <c r="AG136">
        <v>0.151961593588511</v>
      </c>
    </row>
    <row r="137" spans="32:33">
      <c r="AF137">
        <v>20.916666664840399</v>
      </c>
      <c r="AG137">
        <v>0.15464155769155732</v>
      </c>
    </row>
    <row r="138" spans="32:33">
      <c r="AF138">
        <v>21.083333331492515</v>
      </c>
      <c r="AG138">
        <v>0.1556563957367364</v>
      </c>
    </row>
    <row r="139" spans="32:33">
      <c r="AF139">
        <v>21.249999998144631</v>
      </c>
      <c r="AG139">
        <v>0.15500610772404896</v>
      </c>
    </row>
    <row r="140" spans="32:33">
      <c r="AF140">
        <v>21.416666664796743</v>
      </c>
      <c r="AG140">
        <v>0.15269069365349963</v>
      </c>
    </row>
    <row r="141" spans="32:33">
      <c r="AF141">
        <v>21.583333331448859</v>
      </c>
      <c r="AG141">
        <v>0.14871015352508293</v>
      </c>
    </row>
    <row r="142" spans="32:33">
      <c r="AF142">
        <v>21.749999998100975</v>
      </c>
      <c r="AG142">
        <v>0.14306448733880531</v>
      </c>
    </row>
    <row r="143" spans="32:33">
      <c r="AF143">
        <v>21.916666664753087</v>
      </c>
      <c r="AG143">
        <v>0.13575369509466031</v>
      </c>
    </row>
    <row r="144" spans="32:33">
      <c r="AF144">
        <v>22.083333331405203</v>
      </c>
      <c r="AG144">
        <v>0.12677777679264748</v>
      </c>
    </row>
    <row r="145" spans="32:33">
      <c r="AF145">
        <v>22.249999998057319</v>
      </c>
      <c r="AG145">
        <v>0.11613673243278003</v>
      </c>
    </row>
    <row r="146" spans="32:33">
      <c r="AF146">
        <v>22.416666664709432</v>
      </c>
      <c r="AG146">
        <v>0.10383056201503937</v>
      </c>
    </row>
    <row r="147" spans="32:33">
      <c r="AF147">
        <v>22.583333331361548</v>
      </c>
      <c r="AG147">
        <v>8.9906052114709534E-2</v>
      </c>
    </row>
    <row r="148" spans="32:33">
      <c r="AF148">
        <v>22.749999998013664</v>
      </c>
      <c r="AG148">
        <v>7.5964023248672199E-2</v>
      </c>
    </row>
    <row r="149" spans="32:33">
      <c r="AF149">
        <v>22.916666664665776</v>
      </c>
      <c r="AG149">
        <v>6.3965995328551267E-2</v>
      </c>
    </row>
    <row r="150" spans="32:33">
      <c r="AF150">
        <v>23.083333331317892</v>
      </c>
      <c r="AG150">
        <v>5.4031829870492848E-2</v>
      </c>
    </row>
    <row r="151" spans="32:33">
      <c r="AF151">
        <v>23.249999997970008</v>
      </c>
      <c r="AG151">
        <v>4.6161526874493479E-2</v>
      </c>
    </row>
    <row r="152" spans="32:33">
      <c r="AF152">
        <v>23.41666666462212</v>
      </c>
      <c r="AG152">
        <v>4.0355086340567274E-2</v>
      </c>
    </row>
    <row r="153" spans="32:33">
      <c r="AF153">
        <v>23.583333331274236</v>
      </c>
      <c r="AG153">
        <v>3.6612508268697878E-2</v>
      </c>
    </row>
    <row r="154" spans="32:33">
      <c r="AF154">
        <v>23.749999997926352</v>
      </c>
      <c r="AG154">
        <v>3.4933792658898934E-2</v>
      </c>
    </row>
    <row r="155" spans="32:33">
      <c r="AF155">
        <v>23.916666664578464</v>
      </c>
      <c r="AG155">
        <v>3.5318939511162127E-2</v>
      </c>
    </row>
    <row r="156" spans="32:33">
      <c r="AF156">
        <v>24.08333333123058</v>
      </c>
      <c r="AG156">
        <v>3.7767948825492809E-2</v>
      </c>
    </row>
    <row r="157" spans="32:33">
      <c r="AF157">
        <v>24.249999997882696</v>
      </c>
      <c r="AG157">
        <v>4.228082060188857E-2</v>
      </c>
    </row>
    <row r="158" spans="32:33">
      <c r="AF158">
        <v>24.416666664534809</v>
      </c>
      <c r="AG158">
        <v>4.8857554840346484E-2</v>
      </c>
    </row>
    <row r="159" spans="32:33">
      <c r="AF159">
        <v>24.583333331186925</v>
      </c>
      <c r="AG159">
        <v>5.7439512940736973E-2</v>
      </c>
    </row>
    <row r="160" spans="32:33">
      <c r="AF160">
        <v>24.749999997839041</v>
      </c>
      <c r="AG160">
        <v>6.6662055449120503E-2</v>
      </c>
    </row>
    <row r="161" spans="32:33">
      <c r="AF161">
        <v>24.916666664491153</v>
      </c>
      <c r="AG161">
        <v>7.5151621610090577E-2</v>
      </c>
    </row>
    <row r="162" spans="32:33">
      <c r="AF162">
        <v>25.083333331143269</v>
      </c>
      <c r="AG162">
        <v>8.2847788539458372E-2</v>
      </c>
    </row>
    <row r="163" spans="32:33">
      <c r="AF163">
        <v>25.249999997795385</v>
      </c>
      <c r="AG163">
        <v>8.9750556237218615E-2</v>
      </c>
    </row>
    <row r="164" spans="32:33">
      <c r="AF164">
        <v>25.416666664447497</v>
      </c>
      <c r="AG164">
        <v>9.5859924703381907E-2</v>
      </c>
    </row>
    <row r="165" spans="32:33">
      <c r="AF165">
        <v>25.583333331099613</v>
      </c>
      <c r="AG165">
        <v>0.10117589393794334</v>
      </c>
    </row>
    <row r="166" spans="32:33">
      <c r="AF166">
        <v>25.749999997751729</v>
      </c>
      <c r="AG166">
        <v>0.10569846394089642</v>
      </c>
    </row>
    <row r="167" spans="32:33">
      <c r="AF167">
        <v>25.916666664403841</v>
      </c>
      <c r="AG167">
        <v>0.1094276347122423</v>
      </c>
    </row>
    <row r="168" spans="32:33">
      <c r="AF168">
        <v>26.083333331055957</v>
      </c>
      <c r="AG168">
        <v>0.1123634062519972</v>
      </c>
    </row>
    <row r="169" spans="32:33">
      <c r="AF169">
        <v>26.249999997708073</v>
      </c>
      <c r="AG169">
        <v>0.11508205385489322</v>
      </c>
    </row>
    <row r="170" spans="32:33">
      <c r="AF170">
        <v>26.416666664360186</v>
      </c>
      <c r="AG170">
        <v>0.12175718881585262</v>
      </c>
    </row>
    <row r="171" spans="32:33">
      <c r="AF171">
        <v>26.583333331012302</v>
      </c>
      <c r="AG171">
        <v>0.13422652480214406</v>
      </c>
    </row>
    <row r="172" spans="32:33">
      <c r="AF172">
        <v>26.749999997664418</v>
      </c>
      <c r="AG172">
        <v>0.15249804788904869</v>
      </c>
    </row>
    <row r="173" spans="32:33">
      <c r="AF173">
        <v>26.91666666431653</v>
      </c>
      <c r="AG173">
        <v>0.17657175807655384</v>
      </c>
    </row>
    <row r="174" spans="32:33">
      <c r="AF174">
        <v>27.083333330968646</v>
      </c>
      <c r="AG174">
        <v>0.20644765536466098</v>
      </c>
    </row>
    <row r="175" spans="32:33">
      <c r="AF175">
        <v>27.249999997620762</v>
      </c>
      <c r="AG175">
        <v>0.24212573975337293</v>
      </c>
    </row>
    <row r="176" spans="32:33">
      <c r="AF176">
        <v>27.416666664272874</v>
      </c>
      <c r="AG176">
        <v>0.28310922957602935</v>
      </c>
    </row>
    <row r="177" spans="32:33">
      <c r="AF177">
        <v>27.58333333092499</v>
      </c>
      <c r="AG177">
        <v>0.31746202944684476</v>
      </c>
    </row>
    <row r="178" spans="32:33">
      <c r="AF178">
        <v>27.749999997577106</v>
      </c>
      <c r="AG178">
        <v>0.3329575732644624</v>
      </c>
    </row>
    <row r="179" spans="32:33">
      <c r="AF179">
        <v>27.916666664229218</v>
      </c>
      <c r="AG179">
        <v>0.329040974690542</v>
      </c>
    </row>
    <row r="180" spans="32:33">
      <c r="AF180">
        <v>28.083333330881334</v>
      </c>
      <c r="AG180">
        <v>0.30571223372504053</v>
      </c>
    </row>
    <row r="181" spans="32:33">
      <c r="AF181">
        <v>28.24999999753345</v>
      </c>
      <c r="AG181">
        <v>0.2631675792191504</v>
      </c>
    </row>
    <row r="182" spans="32:33">
      <c r="AF182">
        <v>28.416666664185563</v>
      </c>
      <c r="AG182">
        <v>0.22117775902827652</v>
      </c>
    </row>
    <row r="183" spans="32:33">
      <c r="AF183">
        <v>28.583333330837679</v>
      </c>
      <c r="AG183">
        <v>0.216170024982519</v>
      </c>
    </row>
    <row r="184" spans="32:33">
      <c r="AF184">
        <v>28.749999997489795</v>
      </c>
      <c r="AG184">
        <v>0.25206714139149361</v>
      </c>
    </row>
    <row r="185" spans="32:33">
      <c r="AF185">
        <v>28.916666664141907</v>
      </c>
      <c r="AG185">
        <v>0.32915854914321141</v>
      </c>
    </row>
    <row r="186" spans="32:33">
      <c r="AF186">
        <v>29.083333330794023</v>
      </c>
      <c r="AG186">
        <v>0.45056664487274362</v>
      </c>
    </row>
    <row r="187" spans="32:33">
      <c r="AF187">
        <v>29.249999997446139</v>
      </c>
      <c r="AG187">
        <v>0.61867786007492631</v>
      </c>
    </row>
    <row r="188" spans="32:33">
      <c r="AF188">
        <v>29.416666664098251</v>
      </c>
      <c r="AG188">
        <v>0.87270413890670839</v>
      </c>
    </row>
    <row r="189" spans="32:33">
      <c r="AF189">
        <v>29.583333330750367</v>
      </c>
      <c r="AG189">
        <v>1.2764828972090887</v>
      </c>
    </row>
    <row r="190" spans="32:33">
      <c r="AF190">
        <v>29.749999997402483</v>
      </c>
      <c r="AG190">
        <v>1.8048521982907617</v>
      </c>
    </row>
    <row r="191" spans="32:33">
      <c r="AF191">
        <v>29.916666664054596</v>
      </c>
      <c r="AG191">
        <v>2.3931021396266883</v>
      </c>
    </row>
    <row r="192" spans="32:33">
      <c r="AF192">
        <v>30.083333330706711</v>
      </c>
      <c r="AG192">
        <v>2.4973357056717607</v>
      </c>
    </row>
    <row r="193" spans="32:33">
      <c r="AF193">
        <v>30.249999997358827</v>
      </c>
      <c r="AG193">
        <v>1.9225486378828645</v>
      </c>
    </row>
    <row r="194" spans="32:33">
      <c r="AF194">
        <v>30.41666666401094</v>
      </c>
      <c r="AG194">
        <v>1.3006088829506488</v>
      </c>
    </row>
    <row r="195" spans="32:33">
      <c r="AF195">
        <v>30.583333330663056</v>
      </c>
      <c r="AG195">
        <v>0.89625419527482442</v>
      </c>
    </row>
    <row r="196" spans="32:33">
      <c r="AF196">
        <v>30.749999997315172</v>
      </c>
      <c r="AG196">
        <v>0.65107521624318399</v>
      </c>
    </row>
    <row r="197" spans="32:33">
      <c r="AF197">
        <v>30.916666663967284</v>
      </c>
      <c r="AG197">
        <v>0.47780170775976849</v>
      </c>
    </row>
    <row r="198" spans="32:33">
      <c r="AF198">
        <v>31.0833333306194</v>
      </c>
      <c r="AG198">
        <v>0.35571868723664779</v>
      </c>
    </row>
    <row r="199" spans="32:33">
      <c r="AF199">
        <v>31.249999997271516</v>
      </c>
      <c r="AG199">
        <v>0.26968385138480933</v>
      </c>
    </row>
    <row r="200" spans="32:33">
      <c r="AF200">
        <v>31.416666663923628</v>
      </c>
      <c r="AG200">
        <v>0.21881269666809935</v>
      </c>
    </row>
    <row r="201" spans="32:33">
      <c r="AF201">
        <v>31.583333330575744</v>
      </c>
      <c r="AG201">
        <v>0.18972480920995394</v>
      </c>
    </row>
    <row r="202" spans="32:33">
      <c r="AF202">
        <v>31.74999999722786</v>
      </c>
      <c r="AG202">
        <v>0.16669765408738055</v>
      </c>
    </row>
    <row r="203" spans="32:33">
      <c r="AF203">
        <v>31.916666663879973</v>
      </c>
      <c r="AG203">
        <v>0.14883215197007402</v>
      </c>
    </row>
    <row r="204" spans="32:33">
      <c r="AF204">
        <v>32.083333330532085</v>
      </c>
      <c r="AG204">
        <v>0.13612830285805455</v>
      </c>
    </row>
    <row r="205" spans="32:33">
      <c r="AF205">
        <v>32.249999997184204</v>
      </c>
      <c r="AG205">
        <v>0.12848686601436729</v>
      </c>
    </row>
    <row r="206" spans="32:33">
      <c r="AF206">
        <v>32.416666663836317</v>
      </c>
      <c r="AG206">
        <v>0.12420282086034509</v>
      </c>
    </row>
    <row r="207" spans="32:33">
      <c r="AF207">
        <v>32.583333330488429</v>
      </c>
      <c r="AG207">
        <v>0.12184110181865952</v>
      </c>
    </row>
    <row r="208" spans="32:33">
      <c r="AF208">
        <v>32.749999997140549</v>
      </c>
      <c r="AG208">
        <v>0.12135696249578826</v>
      </c>
    </row>
    <row r="209" spans="32:33">
      <c r="AF209">
        <v>32.916666663792661</v>
      </c>
      <c r="AG209">
        <v>0.12275040289172072</v>
      </c>
    </row>
    <row r="210" spans="32:33">
      <c r="AF210">
        <v>33.083333330444773</v>
      </c>
      <c r="AG210">
        <v>0.12602142300646196</v>
      </c>
    </row>
    <row r="211" spans="32:33">
      <c r="AF211">
        <v>33.249999997096893</v>
      </c>
      <c r="AG211">
        <v>0.13117002283999624</v>
      </c>
    </row>
    <row r="212" spans="32:33">
      <c r="AF212">
        <v>33.416666663749005</v>
      </c>
      <c r="AG212">
        <v>0.13819618120141258</v>
      </c>
    </row>
    <row r="213" spans="32:33">
      <c r="AF213">
        <v>33.583333330401118</v>
      </c>
      <c r="AG213">
        <v>0.14640112857684265</v>
      </c>
    </row>
    <row r="214" spans="32:33">
      <c r="AF214">
        <v>33.749999997053237</v>
      </c>
      <c r="AG214">
        <v>0.15324677494474701</v>
      </c>
    </row>
    <row r="215" spans="32:33">
      <c r="AF215">
        <v>33.91666666370535</v>
      </c>
      <c r="AG215">
        <v>0.15815703602187484</v>
      </c>
    </row>
    <row r="216" spans="32:33">
      <c r="AF216">
        <v>34.083333330357462</v>
      </c>
      <c r="AG216">
        <v>0.16113191180824638</v>
      </c>
    </row>
    <row r="217" spans="32:33">
      <c r="AF217">
        <v>34.249999997009581</v>
      </c>
      <c r="AG217">
        <v>0.16217140230386268</v>
      </c>
    </row>
    <row r="218" spans="32:33">
      <c r="AF218">
        <v>34.416666663661694</v>
      </c>
      <c r="AG218">
        <v>0.161275507508713</v>
      </c>
    </row>
    <row r="219" spans="32:33">
      <c r="AF219">
        <v>34.583333330313806</v>
      </c>
      <c r="AG219">
        <v>0.15844422742279662</v>
      </c>
    </row>
    <row r="220" spans="32:33">
      <c r="AF220">
        <v>34.749999996965926</v>
      </c>
      <c r="AG220">
        <v>0.15367756204612487</v>
      </c>
    </row>
    <row r="221" spans="32:33">
      <c r="AF221">
        <v>34.916666663618038</v>
      </c>
      <c r="AG221">
        <v>0.14697551137869841</v>
      </c>
    </row>
    <row r="222" spans="32:33">
      <c r="AF222">
        <v>35.08333333027015</v>
      </c>
      <c r="AG222">
        <v>0.13833807542050405</v>
      </c>
    </row>
    <row r="223" spans="32:33">
      <c r="AF223">
        <v>35.24999999692227</v>
      </c>
      <c r="AG223">
        <v>0.12776525417153362</v>
      </c>
    </row>
    <row r="224" spans="32:33">
      <c r="AF224">
        <v>35.416666663574382</v>
      </c>
      <c r="AG224">
        <v>0.11530569902056638</v>
      </c>
    </row>
    <row r="225" spans="32:33">
      <c r="AF225">
        <v>35.583333330226495</v>
      </c>
      <c r="AG225">
        <v>0.10227645274777315</v>
      </c>
    </row>
    <row r="226" spans="32:33">
      <c r="AF226">
        <v>35.749999996878614</v>
      </c>
      <c r="AG226">
        <v>9.011500264408677E-2</v>
      </c>
    </row>
    <row r="227" spans="32:33">
      <c r="AF227">
        <v>35.916666663530727</v>
      </c>
      <c r="AG227">
        <v>7.8894146840654392E-2</v>
      </c>
    </row>
    <row r="228" spans="32:33">
      <c r="AF228">
        <v>36.083333330182839</v>
      </c>
      <c r="AG228">
        <v>6.8613885337464819E-2</v>
      </c>
    </row>
    <row r="229" spans="32:33">
      <c r="AF229">
        <v>36.249999996834958</v>
      </c>
      <c r="AG229">
        <v>5.9274218134539897E-2</v>
      </c>
    </row>
    <row r="230" spans="32:33">
      <c r="AF230">
        <v>36.416666663487071</v>
      </c>
      <c r="AG230">
        <v>5.0875145231870179E-2</v>
      </c>
    </row>
    <row r="231" spans="32:33">
      <c r="AF231">
        <v>36.583333330139183</v>
      </c>
      <c r="AG231">
        <v>4.3416666629462176E-2</v>
      </c>
    </row>
    <row r="232" spans="32:33">
      <c r="AF232">
        <v>36.749999996791303</v>
      </c>
      <c r="AG232">
        <v>3.6898782327309379E-2</v>
      </c>
    </row>
    <row r="233" spans="32:33">
      <c r="AF233">
        <v>36.916666663443415</v>
      </c>
      <c r="AG233">
        <v>3.1321492325412613E-2</v>
      </c>
    </row>
    <row r="234" spans="32:33">
      <c r="AF234">
        <v>37.083333330095527</v>
      </c>
      <c r="AG234">
        <v>2.6684796623765238E-2</v>
      </c>
    </row>
    <row r="235" spans="32:33">
      <c r="AF235">
        <v>37.249999996747647</v>
      </c>
      <c r="AG235">
        <v>2.2988695222395217E-2</v>
      </c>
    </row>
    <row r="236" spans="32:33">
      <c r="AF236">
        <v>37.416666663399759</v>
      </c>
      <c r="AG236">
        <v>2.0233188121271044E-2</v>
      </c>
    </row>
    <row r="237" spans="32:33">
      <c r="AF237">
        <v>37.583333330051872</v>
      </c>
      <c r="AG237">
        <v>1.8418275320395316E-2</v>
      </c>
    </row>
    <row r="238" spans="32:33">
      <c r="AF238">
        <v>37.749999996703991</v>
      </c>
      <c r="AG238">
        <v>1.7543956819786752E-2</v>
      </c>
    </row>
    <row r="239" spans="32:33">
      <c r="AF239">
        <v>37.916666663356104</v>
      </c>
      <c r="AG239">
        <v>1.7610232619434812E-2</v>
      </c>
    </row>
    <row r="240" spans="32:33">
      <c r="AF240">
        <v>38.083333330008216</v>
      </c>
      <c r="AG240">
        <v>1.8617102719341746E-2</v>
      </c>
    </row>
    <row r="241" spans="32:33">
      <c r="AF241">
        <v>38.249999996660335</v>
      </c>
      <c r="AG241">
        <v>2.0564567119494646E-2</v>
      </c>
    </row>
    <row r="242" spans="32:33">
      <c r="AF242">
        <v>38.416666663312448</v>
      </c>
      <c r="AG242">
        <v>2.3356216252526051E-2</v>
      </c>
    </row>
    <row r="243" spans="32:33">
      <c r="AF243">
        <v>38.58333332996456</v>
      </c>
      <c r="AG243">
        <v>2.6296417933168805E-2</v>
      </c>
    </row>
    <row r="244" spans="32:33">
      <c r="AF244">
        <v>38.74999999661668</v>
      </c>
      <c r="AG244">
        <v>2.9079878171368929E-2</v>
      </c>
    </row>
    <row r="245" spans="32:33">
      <c r="AF245">
        <v>38.916666663268792</v>
      </c>
      <c r="AG245">
        <v>3.1705290647934474E-2</v>
      </c>
    </row>
    <row r="246" spans="32:33">
      <c r="AF246">
        <v>39.083333329920904</v>
      </c>
      <c r="AG246">
        <v>3.417265536283752E-2</v>
      </c>
    </row>
    <row r="247" spans="32:33">
      <c r="AF247">
        <v>39.249999996573024</v>
      </c>
      <c r="AG247">
        <v>3.6481972316116634E-2</v>
      </c>
    </row>
    <row r="248" spans="32:33">
      <c r="AF248">
        <v>39.416666663225136</v>
      </c>
      <c r="AG248">
        <v>3.8633241507718241E-2</v>
      </c>
    </row>
    <row r="249" spans="32:33">
      <c r="AF249">
        <v>39.583333329877249</v>
      </c>
      <c r="AG249">
        <v>4.0626462937679256E-2</v>
      </c>
    </row>
    <row r="250" spans="32:33">
      <c r="AF250">
        <v>39.749999996529368</v>
      </c>
      <c r="AG250">
        <v>4.2461636606005396E-2</v>
      </c>
    </row>
    <row r="251" spans="32:33">
      <c r="AF251">
        <v>39.916666663181481</v>
      </c>
      <c r="AG251">
        <v>4.4138762512664444E-2</v>
      </c>
    </row>
    <row r="252" spans="32:33">
      <c r="AF252">
        <v>40.083333329833593</v>
      </c>
      <c r="AG252">
        <v>4.5657840657683371E-2</v>
      </c>
    </row>
    <row r="253" spans="32:33">
      <c r="AF253">
        <v>40.249999996485712</v>
      </c>
      <c r="AG253">
        <v>4.701887104105653E-2</v>
      </c>
    </row>
    <row r="254" spans="32:33">
      <c r="AF254">
        <v>40.416666663137825</v>
      </c>
      <c r="AG254">
        <v>4.8221853662773081E-2</v>
      </c>
    </row>
    <row r="255" spans="32:33">
      <c r="AF255">
        <v>40.583333329789937</v>
      </c>
      <c r="AG255">
        <v>4.9266788522839201E-2</v>
      </c>
    </row>
    <row r="256" spans="32:33">
      <c r="AF256">
        <v>40.749999996442057</v>
      </c>
      <c r="AG256">
        <v>5.015367562127003E-2</v>
      </c>
    </row>
    <row r="257" spans="32:33">
      <c r="AF257">
        <v>40.916666663094169</v>
      </c>
      <c r="AG257">
        <v>5.088251495803349E-2</v>
      </c>
    </row>
    <row r="258" spans="32:33">
      <c r="AF258">
        <v>41.083333329746281</v>
      </c>
      <c r="AG258">
        <v>5.1453306533157397E-2</v>
      </c>
    </row>
    <row r="259" spans="32:33">
      <c r="AF259">
        <v>41.249999996398401</v>
      </c>
      <c r="AG259">
        <v>5.1866050346635245E-2</v>
      </c>
    </row>
    <row r="260" spans="32:33">
      <c r="AF260">
        <v>41.416666663050513</v>
      </c>
      <c r="AG260">
        <v>5.2120746398466984E-2</v>
      </c>
    </row>
    <row r="261" spans="32:33">
      <c r="AF261">
        <v>41.583333329702626</v>
      </c>
      <c r="AG261">
        <v>5.2217394688637966E-2</v>
      </c>
    </row>
    <row r="262" spans="32:33">
      <c r="AF262">
        <v>41.749999996354745</v>
      </c>
      <c r="AG262">
        <v>5.2155995217162833E-2</v>
      </c>
    </row>
    <row r="263" spans="32:33">
      <c r="AF263">
        <v>41.916666663006858</v>
      </c>
      <c r="AG263">
        <v>5.1936547984052256E-2</v>
      </c>
    </row>
    <row r="264" spans="32:33">
      <c r="AF264">
        <v>42.08333332965897</v>
      </c>
      <c r="AG264">
        <v>5.155905298927025E-2</v>
      </c>
    </row>
    <row r="265" spans="32:33">
      <c r="AF265">
        <v>42.249999996311089</v>
      </c>
      <c r="AG265">
        <v>5.1023510232852794E-2</v>
      </c>
    </row>
    <row r="266" spans="32:33">
      <c r="AF266">
        <v>42.416666662963202</v>
      </c>
      <c r="AG266">
        <v>5.0329919714789305E-2</v>
      </c>
    </row>
    <row r="267" spans="32:33">
      <c r="AF267">
        <v>42.583333329615314</v>
      </c>
      <c r="AG267">
        <v>4.9478281435075558E-2</v>
      </c>
    </row>
    <row r="268" spans="32:33">
      <c r="AF268">
        <v>42.749999996267434</v>
      </c>
      <c r="AG268">
        <v>4.846859539370512E-2</v>
      </c>
    </row>
    <row r="269" spans="32:33">
      <c r="AF269">
        <v>42.916666662919546</v>
      </c>
      <c r="AG269">
        <v>4.7313192936234538E-2</v>
      </c>
    </row>
    <row r="270" spans="32:33">
      <c r="AF270">
        <v>43.083333329571659</v>
      </c>
      <c r="AG270">
        <v>4.6124955050639301E-2</v>
      </c>
    </row>
    <row r="271" spans="32:33">
      <c r="AF271">
        <v>43.249999996223778</v>
      </c>
      <c r="AG271">
        <v>4.4964444180639968E-2</v>
      </c>
    </row>
    <row r="272" spans="32:33">
      <c r="AF272">
        <v>43.41666666287589</v>
      </c>
      <c r="AG272">
        <v>4.383223845381988E-2</v>
      </c>
    </row>
    <row r="273" spans="32:33">
      <c r="AF273">
        <v>43.583333329528003</v>
      </c>
      <c r="AG273">
        <v>4.2728337870163322E-2</v>
      </c>
    </row>
    <row r="274" spans="32:33">
      <c r="AF274">
        <v>43.749999996180122</v>
      </c>
      <c r="AG274">
        <v>4.1652742429696674E-2</v>
      </c>
    </row>
    <row r="275" spans="32:33">
      <c r="AF275">
        <v>43.916666662832235</v>
      </c>
      <c r="AG275">
        <v>4.0605452132377436E-2</v>
      </c>
    </row>
    <row r="276" spans="32:33">
      <c r="AF276">
        <v>44.083333329484347</v>
      </c>
      <c r="AG276">
        <v>3.9586466978232107E-2</v>
      </c>
    </row>
    <row r="277" spans="32:33">
      <c r="AF277">
        <v>44.249999996136467</v>
      </c>
      <c r="AG277">
        <v>3.8595786967266163E-2</v>
      </c>
    </row>
    <row r="278" spans="32:33">
      <c r="AF278">
        <v>44.416666662788579</v>
      </c>
      <c r="AG278">
        <v>3.7633412099469077E-2</v>
      </c>
    </row>
    <row r="279" spans="32:33">
      <c r="AF279">
        <v>44.583333329440691</v>
      </c>
      <c r="AG279">
        <v>3.6699342374834992E-2</v>
      </c>
    </row>
    <row r="280" spans="32:33">
      <c r="AF280">
        <v>44.749999996092811</v>
      </c>
      <c r="AG280">
        <v>3.5793577793391075E-2</v>
      </c>
    </row>
    <row r="281" spans="32:33">
      <c r="AF281">
        <v>44.916666662744923</v>
      </c>
      <c r="AG281">
        <v>3.4916118355094804E-2</v>
      </c>
    </row>
    <row r="282" spans="32:33">
      <c r="AF282">
        <v>45.083333329397036</v>
      </c>
      <c r="AG282">
        <v>3.406696405997197E-2</v>
      </c>
    </row>
    <row r="283" spans="32:33">
      <c r="AF283">
        <v>45.249999996049155</v>
      </c>
      <c r="AG283">
        <v>3.3246114908028764E-2</v>
      </c>
    </row>
    <row r="284" spans="32:33">
      <c r="AF284">
        <v>45.416666662701267</v>
      </c>
      <c r="AG284">
        <v>3.2453570899254623E-2</v>
      </c>
    </row>
    <row r="285" spans="32:33">
      <c r="AF285">
        <v>45.58333332935338</v>
      </c>
      <c r="AG285">
        <v>3.1689332033653712E-2</v>
      </c>
    </row>
    <row r="286" spans="32:33">
      <c r="AF286">
        <v>45.749999996005499</v>
      </c>
      <c r="AG286">
        <v>3.0953398311211213E-2</v>
      </c>
    </row>
    <row r="287" spans="32:33">
      <c r="AF287">
        <v>45.916666662657612</v>
      </c>
      <c r="AG287">
        <v>3.0245769731959193E-2</v>
      </c>
    </row>
    <row r="288" spans="32:33">
      <c r="AF288">
        <v>46.083333329309724</v>
      </c>
      <c r="AG288">
        <v>2.9566446295858893E-2</v>
      </c>
    </row>
    <row r="289" spans="32:33">
      <c r="AF289">
        <v>46.249999995961844</v>
      </c>
      <c r="AG289">
        <v>2.8915428002927759E-2</v>
      </c>
    </row>
    <row r="290" spans="32:33">
      <c r="AF290">
        <v>46.416666662613956</v>
      </c>
      <c r="AG290">
        <v>2.8292714853187191E-2</v>
      </c>
    </row>
    <row r="291" spans="32:33">
      <c r="AF291">
        <v>46.583333329266068</v>
      </c>
      <c r="AG291">
        <v>2.7698306846598172E-2</v>
      </c>
    </row>
    <row r="292" spans="32:33">
      <c r="AF292">
        <v>46.749999995918188</v>
      </c>
      <c r="AG292">
        <v>2.7132203983189062E-2</v>
      </c>
    </row>
    <row r="293" spans="32:33">
      <c r="AF293">
        <v>46.9166666625703</v>
      </c>
      <c r="AG293">
        <v>2.6594406262949274E-2</v>
      </c>
    </row>
    <row r="294" spans="32:33">
      <c r="AF294">
        <v>47.083333329222413</v>
      </c>
      <c r="AG294">
        <v>2.608491368588221E-2</v>
      </c>
    </row>
    <row r="295" spans="32:33">
      <c r="AF295">
        <v>47.249999995874532</v>
      </c>
      <c r="AG295">
        <v>2.5603726251984468E-2</v>
      </c>
    </row>
    <row r="296" spans="32:33">
      <c r="AF296">
        <v>47.416666662526644</v>
      </c>
      <c r="AG296">
        <v>2.515084396124545E-2</v>
      </c>
    </row>
    <row r="297" spans="32:33">
      <c r="AF297">
        <v>47.583333329178757</v>
      </c>
      <c r="AG297">
        <v>2.4726266813689689E-2</v>
      </c>
    </row>
    <row r="298" spans="32:33">
      <c r="AF298">
        <v>47.749999995830876</v>
      </c>
      <c r="AG298">
        <v>2.4329994809303312E-2</v>
      </c>
    </row>
    <row r="299" spans="32:33">
      <c r="AF299">
        <v>47.916666662482989</v>
      </c>
      <c r="AG299">
        <v>2.396202794808637E-2</v>
      </c>
    </row>
    <row r="300" spans="32:33">
      <c r="AF300">
        <v>48.083333329135101</v>
      </c>
      <c r="AG300">
        <v>2.3622366230041925E-2</v>
      </c>
    </row>
    <row r="301" spans="32:33">
      <c r="AF301">
        <v>48.249999995787221</v>
      </c>
      <c r="AG301">
        <v>2.3311009655166914E-2</v>
      </c>
    </row>
    <row r="302" spans="32:33">
      <c r="AF302">
        <v>48.416666662439333</v>
      </c>
      <c r="AG302">
        <v>2.3027958223461379E-2</v>
      </c>
    </row>
    <row r="303" spans="32:33">
      <c r="AF303">
        <v>48.583333329091445</v>
      </c>
      <c r="AG303">
        <v>2.2773211934917603E-2</v>
      </c>
    </row>
    <row r="304" spans="32:33">
      <c r="AF304">
        <v>48.749999995743565</v>
      </c>
      <c r="AG304">
        <v>2.2546770789564616E-2</v>
      </c>
    </row>
    <row r="305" spans="32:33">
      <c r="AF305">
        <v>48.916666662395677</v>
      </c>
      <c r="AG305">
        <v>2.2348634787359819E-2</v>
      </c>
    </row>
    <row r="306" spans="32:33">
      <c r="AF306">
        <v>49.08333332904779</v>
      </c>
      <c r="AG306">
        <v>2.2178803928348697E-2</v>
      </c>
    </row>
    <row r="307" spans="32:33">
      <c r="AF307">
        <v>49.249999995699909</v>
      </c>
      <c r="AG307">
        <v>2.2037278212485762E-2</v>
      </c>
    </row>
    <row r="308" spans="32:33">
      <c r="AF308">
        <v>49.416666662352021</v>
      </c>
      <c r="AG308">
        <v>2.1924057639803003E-2</v>
      </c>
    </row>
    <row r="309" spans="32:33">
      <c r="AF309">
        <v>49.583333329004134</v>
      </c>
      <c r="AG309">
        <v>2.183914221029257E-2</v>
      </c>
    </row>
    <row r="310" spans="32:33">
      <c r="AF310">
        <v>49.749999995656253</v>
      </c>
      <c r="AG310">
        <v>2.1782531923962321E-2</v>
      </c>
    </row>
    <row r="311" spans="32:33">
      <c r="AF311">
        <v>49.916666662308366</v>
      </c>
      <c r="AG311">
        <v>2.1754226780780279E-2</v>
      </c>
    </row>
  </sheetData>
  <phoneticPr fontId="0" type="noConversion"/>
  <pageMargins left="0.78740157499999996" right="0.78740157499999996" top="0.984251969" bottom="0.984251969" header="0.49212598499999999" footer="0.49212598499999999"/>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172" r:id="rId4" name="Check Box 52">
              <controlPr defaultSize="0" autoFill="0" autoLine="0" autoPict="0" macro="[0]!PlotSimula0">
                <anchor moveWithCells="1">
                  <from>
                    <xdr:col>0</xdr:col>
                    <xdr:colOff>228600</xdr:colOff>
                    <xdr:row>2</xdr:row>
                    <xdr:rowOff>0</xdr:rowOff>
                  </from>
                  <to>
                    <xdr:col>1</xdr:col>
                    <xdr:colOff>323850</xdr:colOff>
                    <xdr:row>2</xdr:row>
                    <xdr:rowOff>219075</xdr:rowOff>
                  </to>
                </anchor>
              </controlPr>
            </control>
          </mc:Choice>
        </mc:AlternateContent>
        <mc:AlternateContent xmlns:mc="http://schemas.openxmlformats.org/markup-compatibility/2006">
          <mc:Choice Requires="x14">
            <control shapeId="5173" r:id="rId5" name="Check Box 53">
              <controlPr defaultSize="0" autoFill="0" autoLine="0" autoPict="0" macro="[0]!PlotSimula1">
                <anchor moveWithCells="1">
                  <from>
                    <xdr:col>1</xdr:col>
                    <xdr:colOff>447675</xdr:colOff>
                    <xdr:row>2</xdr:row>
                    <xdr:rowOff>0</xdr:rowOff>
                  </from>
                  <to>
                    <xdr:col>2</xdr:col>
                    <xdr:colOff>28575</xdr:colOff>
                    <xdr:row>2</xdr:row>
                    <xdr:rowOff>219075</xdr:rowOff>
                  </to>
                </anchor>
              </controlPr>
            </control>
          </mc:Choice>
        </mc:AlternateContent>
        <mc:AlternateContent xmlns:mc="http://schemas.openxmlformats.org/markup-compatibility/2006">
          <mc:Choice Requires="x14">
            <control shapeId="5174" r:id="rId6" name="Check Box 54">
              <controlPr defaultSize="0" autoFill="0" autoLine="0" autoPict="0" macro="[0]!PlotSimulaDisp0">
                <anchor moveWithCells="1">
                  <from>
                    <xdr:col>3</xdr:col>
                    <xdr:colOff>190500</xdr:colOff>
                    <xdr:row>2</xdr:row>
                    <xdr:rowOff>0</xdr:rowOff>
                  </from>
                  <to>
                    <xdr:col>5</xdr:col>
                    <xdr:colOff>171450</xdr:colOff>
                    <xdr:row>2</xdr:row>
                    <xdr:rowOff>219075</xdr:rowOff>
                  </to>
                </anchor>
              </controlPr>
            </control>
          </mc:Choice>
        </mc:AlternateContent>
        <mc:AlternateContent xmlns:mc="http://schemas.openxmlformats.org/markup-compatibility/2006">
          <mc:Choice Requires="x14">
            <control shapeId="5175" r:id="rId7" name="Check Box 55">
              <controlPr defaultSize="0" autoFill="0" autoLine="0" autoPict="0" macro="[0]!PlotSimulaDisp1">
                <anchor moveWithCells="1">
                  <from>
                    <xdr:col>5</xdr:col>
                    <xdr:colOff>266700</xdr:colOff>
                    <xdr:row>2</xdr:row>
                    <xdr:rowOff>9525</xdr:rowOff>
                  </from>
                  <to>
                    <xdr:col>5</xdr:col>
                    <xdr:colOff>876300</xdr:colOff>
                    <xdr:row>3</xdr:row>
                    <xdr:rowOff>0</xdr:rowOff>
                  </to>
                </anchor>
              </controlPr>
            </control>
          </mc:Choice>
        </mc:AlternateContent>
        <mc:AlternateContent xmlns:mc="http://schemas.openxmlformats.org/markup-compatibility/2006">
          <mc:Choice Requires="x14">
            <control shapeId="5176" r:id="rId8" name="Check Box 56">
              <controlPr defaultSize="0" autoFill="0" autoLine="0" autoPict="0" macro="[0]!PlotAnaliseIn0">
                <anchor moveWithCells="1">
                  <from>
                    <xdr:col>0</xdr:col>
                    <xdr:colOff>228600</xdr:colOff>
                    <xdr:row>3</xdr:row>
                    <xdr:rowOff>0</xdr:rowOff>
                  </from>
                  <to>
                    <xdr:col>1</xdr:col>
                    <xdr:colOff>742950</xdr:colOff>
                    <xdr:row>3</xdr:row>
                    <xdr:rowOff>219075</xdr:rowOff>
                  </to>
                </anchor>
              </controlPr>
            </control>
          </mc:Choice>
        </mc:AlternateContent>
        <mc:AlternateContent xmlns:mc="http://schemas.openxmlformats.org/markup-compatibility/2006">
          <mc:Choice Requires="x14">
            <control shapeId="5177" r:id="rId9" name="Check Box 57">
              <controlPr defaultSize="0" autoFill="0" autoLine="0" autoPict="0" macro="[0]!PlotAnalise0">
                <anchor moveWithCells="1">
                  <from>
                    <xdr:col>0</xdr:col>
                    <xdr:colOff>228600</xdr:colOff>
                    <xdr:row>4</xdr:row>
                    <xdr:rowOff>0</xdr:rowOff>
                  </from>
                  <to>
                    <xdr:col>1</xdr:col>
                    <xdr:colOff>742950</xdr:colOff>
                    <xdr:row>4</xdr:row>
                    <xdr:rowOff>219075</xdr:rowOff>
                  </to>
                </anchor>
              </controlPr>
            </control>
          </mc:Choice>
        </mc:AlternateContent>
        <mc:AlternateContent xmlns:mc="http://schemas.openxmlformats.org/markup-compatibility/2006">
          <mc:Choice Requires="x14">
            <control shapeId="5178" r:id="rId10" name="Check Box 58">
              <controlPr defaultSize="0" autoFill="0" autoLine="0" autoPict="0" macro="[0]!PlotAnaliseIn1">
                <anchor moveWithCells="1">
                  <from>
                    <xdr:col>1</xdr:col>
                    <xdr:colOff>447675</xdr:colOff>
                    <xdr:row>3</xdr:row>
                    <xdr:rowOff>0</xdr:rowOff>
                  </from>
                  <to>
                    <xdr:col>2</xdr:col>
                    <xdr:colOff>76200</xdr:colOff>
                    <xdr:row>3</xdr:row>
                    <xdr:rowOff>219075</xdr:rowOff>
                  </to>
                </anchor>
              </controlPr>
            </control>
          </mc:Choice>
        </mc:AlternateContent>
        <mc:AlternateContent xmlns:mc="http://schemas.openxmlformats.org/markup-compatibility/2006">
          <mc:Choice Requires="x14">
            <control shapeId="5179" r:id="rId11" name="Check Box 59">
              <controlPr defaultSize="0" autoFill="0" autoLine="0" autoPict="0" macro="[0]!PlotAnaliseInAlis0">
                <anchor moveWithCells="1">
                  <from>
                    <xdr:col>3</xdr:col>
                    <xdr:colOff>190500</xdr:colOff>
                    <xdr:row>3</xdr:row>
                    <xdr:rowOff>0</xdr:rowOff>
                  </from>
                  <to>
                    <xdr:col>5</xdr:col>
                    <xdr:colOff>238125</xdr:colOff>
                    <xdr:row>3</xdr:row>
                    <xdr:rowOff>219075</xdr:rowOff>
                  </to>
                </anchor>
              </controlPr>
            </control>
          </mc:Choice>
        </mc:AlternateContent>
        <mc:AlternateContent xmlns:mc="http://schemas.openxmlformats.org/markup-compatibility/2006">
          <mc:Choice Requires="x14">
            <control shapeId="5180" r:id="rId12" name="Check Box 60">
              <controlPr defaultSize="0" autoFill="0" autoLine="0" autoPict="0" macro="[0]!PlotAnaliseInAlis1">
                <anchor moveWithCells="1">
                  <from>
                    <xdr:col>5</xdr:col>
                    <xdr:colOff>266700</xdr:colOff>
                    <xdr:row>3</xdr:row>
                    <xdr:rowOff>9525</xdr:rowOff>
                  </from>
                  <to>
                    <xdr:col>5</xdr:col>
                    <xdr:colOff>885825</xdr:colOff>
                    <xdr:row>4</xdr:row>
                    <xdr:rowOff>0</xdr:rowOff>
                  </to>
                </anchor>
              </controlPr>
            </control>
          </mc:Choice>
        </mc:AlternateContent>
        <mc:AlternateContent xmlns:mc="http://schemas.openxmlformats.org/markup-compatibility/2006">
          <mc:Choice Requires="x14">
            <control shapeId="5181" r:id="rId13" name="Check Box 61">
              <controlPr defaultSize="0" autoFill="0" autoLine="0" autoPict="0" macro="[0]!PlotAnalise1">
                <anchor moveWithCells="1">
                  <from>
                    <xdr:col>1</xdr:col>
                    <xdr:colOff>447675</xdr:colOff>
                    <xdr:row>4</xdr:row>
                    <xdr:rowOff>0</xdr:rowOff>
                  </from>
                  <to>
                    <xdr:col>2</xdr:col>
                    <xdr:colOff>57150</xdr:colOff>
                    <xdr:row>4</xdr:row>
                    <xdr:rowOff>219075</xdr:rowOff>
                  </to>
                </anchor>
              </controlPr>
            </control>
          </mc:Choice>
        </mc:AlternateContent>
        <mc:AlternateContent xmlns:mc="http://schemas.openxmlformats.org/markup-compatibility/2006">
          <mc:Choice Requires="x14">
            <control shapeId="5182" r:id="rId14" name="Check Box 62">
              <controlPr defaultSize="0" autoFill="0" autoLine="0" autoPict="0" macro="[0]!PlotAnaliseAjust0">
                <anchor moveWithCells="1">
                  <from>
                    <xdr:col>3</xdr:col>
                    <xdr:colOff>190500</xdr:colOff>
                    <xdr:row>4</xdr:row>
                    <xdr:rowOff>0</xdr:rowOff>
                  </from>
                  <to>
                    <xdr:col>5</xdr:col>
                    <xdr:colOff>200025</xdr:colOff>
                    <xdr:row>4</xdr:row>
                    <xdr:rowOff>219075</xdr:rowOff>
                  </to>
                </anchor>
              </controlPr>
            </control>
          </mc:Choice>
        </mc:AlternateContent>
        <mc:AlternateContent xmlns:mc="http://schemas.openxmlformats.org/markup-compatibility/2006">
          <mc:Choice Requires="x14">
            <control shapeId="5183" r:id="rId15" name="Check Box 63">
              <controlPr defaultSize="0" autoFill="0" autoLine="0" autoPict="0" macro="[0]!PlotAnaliseAjust1">
                <anchor moveWithCells="1">
                  <from>
                    <xdr:col>5</xdr:col>
                    <xdr:colOff>266700</xdr:colOff>
                    <xdr:row>4</xdr:row>
                    <xdr:rowOff>0</xdr:rowOff>
                  </from>
                  <to>
                    <xdr:col>5</xdr:col>
                    <xdr:colOff>885825</xdr:colOff>
                    <xdr:row>4</xdr:row>
                    <xdr:rowOff>219075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10</vt:i4>
      </vt:variant>
    </vt:vector>
  </HeadingPairs>
  <TitlesOfParts>
    <vt:vector size="10" baseType="lpstr">
      <vt:lpstr>CurTiPot</vt:lpstr>
      <vt:lpstr>   pH_calc   </vt:lpstr>
      <vt:lpstr>Titration</vt:lpstr>
      <vt:lpstr>Simulation</vt:lpstr>
      <vt:lpstr>Distribution</vt:lpstr>
      <vt:lpstr>Fosforzuurbepaling</vt:lpstr>
      <vt:lpstr>Fosforzuurbepaling (2)</vt:lpstr>
      <vt:lpstr>Regression</vt:lpstr>
      <vt:lpstr>Graphs</vt:lpstr>
      <vt:lpstr>Database</vt:lpstr>
    </vt:vector>
  </TitlesOfParts>
  <Company>Instituto de Química - Universidade de São Paulo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CurTiPot pH and Acid-Base Titration</dc:title>
  <dc:subject>Acid-Base Titration Simulation and Analysis and pH Calculation</dc:subject>
  <dc:creator>Ivano G. R. Gutz</dc:creator>
  <cp:keywords>Acid-Base, pH, virtual titration, potentiometry, titration, data analysis, chemical equilibrium, buffer</cp:keywords>
  <dc:description>CurTiPot for Excel</dc:description>
  <cp:lastModifiedBy>SSN01</cp:lastModifiedBy>
  <cp:lastPrinted>2005-11-22T11:34:38Z</cp:lastPrinted>
  <dcterms:created xsi:type="dcterms:W3CDTF">2005-03-13T00:29:18Z</dcterms:created>
  <dcterms:modified xsi:type="dcterms:W3CDTF">2021-03-19T08:24:15Z</dcterms:modified>
  <cp:category>Software (freeware)</cp:category>
</cp:coreProperties>
</file>